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hidePivotFieldList="1" defaultThemeVersion="202300"/>
  <mc:AlternateContent xmlns:mc="http://schemas.openxmlformats.org/markup-compatibility/2006">
    <mc:Choice Requires="x15">
      <x15ac:absPath xmlns:x15ac="http://schemas.microsoft.com/office/spreadsheetml/2010/11/ac" url="/Users/reedgizinski/Desktop/Hotel Excel Files/Full/"/>
    </mc:Choice>
  </mc:AlternateContent>
  <xr:revisionPtr revIDLastSave="0" documentId="13_ncr:1_{80815BE2-C017-3A45-848C-125A5CD91BE9}" xr6:coauthVersionLast="47" xr6:coauthVersionMax="47" xr10:uidLastSave="{00000000-0000-0000-0000-000000000000}"/>
  <bookViews>
    <workbookView xWindow="-12320" yWindow="-22040" windowWidth="30240" windowHeight="17680" xr2:uid="{60F0A8B7-E3B0-1446-941B-5E208B7E4138}"/>
  </bookViews>
  <sheets>
    <sheet name="DISCLAIMER" sheetId="19" r:id="rId1"/>
    <sheet name="INSTRUCTIONS" sheetId="20" r:id="rId2"/>
    <sheet name="SUMMARY" sheetId="1" r:id="rId3"/>
    <sheet name="INPUTS" sheetId="8" r:id="rId4"/>
    <sheet name="PIP" sheetId="14" r:id="rId5"/>
    <sheet name="DIRTY P&amp;L" sheetId="2" r:id="rId6"/>
    <sheet name="ALLOCATION" sheetId="3" r:id="rId7"/>
    <sheet name="CLEAN P&amp;L" sheetId="4" r:id="rId8"/>
    <sheet name="INVESTMENT ANALYSIS" sheetId="18" r:id="rId9"/>
    <sheet name="STR INPUT" sheetId="5" r:id="rId10"/>
    <sheet name="STR PERFORMANCE" sheetId="22" r:id="rId11"/>
    <sheet name="STR COMP TABLE" sheetId="21" r:id="rId12"/>
    <sheet name="STR CHARTS" sheetId="6" r:id="rId13"/>
    <sheet name="PROJECTIONS" sheetId="7" r:id="rId14"/>
    <sheet name="PRO FORMA" sheetId="9" r:id="rId15"/>
    <sheet name="WATERFALL" sheetId="10" r:id="rId16"/>
    <sheet name="DEBT" sheetId="11" r:id="rId17"/>
    <sheet name="LP-B SENSITIVITY - PRINT" sheetId="12" r:id="rId18"/>
    <sheet name="PROPERTY SENSITIVITY - PRINT" sheetId="26" r:id="rId19"/>
    <sheet name="INVESTMENT SUMMARY - PRINT" sheetId="13" r:id="rId20"/>
    <sheet name="LP SUMMARY - PRINT" sheetId="16" r:id="rId21"/>
    <sheet name="SPONSORSHIP STRUCTURE - PRINT" sheetId="25" r:id="rId22"/>
    <sheet name="MONTHLY REVENUE CHART - PRINT" sheetId="17" r:id="rId23"/>
  </sheets>
  <definedNames>
    <definedName name="_xlnm.Print_Area" localSheetId="19">'INVESTMENT SUMMARY - PRINT'!$A$1:$H$36</definedName>
    <definedName name="_xlnm.Print_Area" localSheetId="20">'LP SUMMARY - PRINT'!$A$1:$D$32</definedName>
    <definedName name="_xlnm.Print_Area" localSheetId="17">'LP-B SENSITIVITY - PRINT'!$A$1:$U$40</definedName>
    <definedName name="_xlnm.Print_Area" localSheetId="22">'MONTHLY REVENUE CHART - PRINT'!$B$2:$K$27</definedName>
    <definedName name="_xlnm.Print_Area" localSheetId="18">'PROPERTY SENSITIVITY - PRINT'!$A$1:$U$40</definedName>
    <definedName name="_xlnm.Print_Area" localSheetId="21">'SPONSORSHIP STRUCTURE - PRINT'!$A$1:$D$24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3" l="1"/>
  <c r="E22" i="1"/>
  <c r="C25" i="13" s="1"/>
  <c r="E21" i="1"/>
  <c r="C24" i="13" s="1"/>
  <c r="E20" i="1"/>
  <c r="C23" i="13" s="1"/>
  <c r="E19" i="1"/>
  <c r="C22" i="13" s="1"/>
  <c r="E18" i="1"/>
  <c r="C21" i="13" s="1"/>
  <c r="E17" i="1"/>
  <c r="C20" i="13" s="1"/>
  <c r="E16" i="1"/>
  <c r="C19" i="13" s="1"/>
  <c r="E15" i="1"/>
  <c r="C18" i="13" s="1"/>
  <c r="S14" i="14"/>
  <c r="AF30" i="11" s="1"/>
  <c r="S13" i="14"/>
  <c r="AF29" i="11" s="1"/>
  <c r="S12" i="14"/>
  <c r="AF28" i="11" s="1"/>
  <c r="S11" i="14"/>
  <c r="AF27" i="11" s="1"/>
  <c r="S10" i="14"/>
  <c r="AF26" i="11" s="1"/>
  <c r="S9" i="14"/>
  <c r="AF25" i="11" s="1"/>
  <c r="S7" i="14"/>
  <c r="AF23" i="11" s="1"/>
  <c r="S6" i="14"/>
  <c r="Q20" i="14"/>
  <c r="S20" i="14" s="1"/>
  <c r="Q21" i="14"/>
  <c r="S21" i="14" s="1"/>
  <c r="Q22" i="14"/>
  <c r="S22" i="14" s="1"/>
  <c r="Q23" i="14"/>
  <c r="S23" i="14" s="1"/>
  <c r="Q24" i="14"/>
  <c r="S24" i="14" s="1"/>
  <c r="Q25" i="14"/>
  <c r="S25" i="14" s="1"/>
  <c r="Q26" i="14"/>
  <c r="S26" i="14" s="1"/>
  <c r="Q27" i="14"/>
  <c r="S27" i="14" s="1"/>
  <c r="Q28" i="14"/>
  <c r="S28" i="14" s="1"/>
  <c r="Q29" i="14"/>
  <c r="S29" i="14" s="1"/>
  <c r="Q60" i="14"/>
  <c r="S60" i="14" s="1"/>
  <c r="Q61" i="14"/>
  <c r="S61" i="14" s="1"/>
  <c r="Q62" i="14"/>
  <c r="S62" i="14" s="1"/>
  <c r="Q63" i="14"/>
  <c r="S63" i="14" s="1"/>
  <c r="Q64" i="14"/>
  <c r="S64" i="14" s="1"/>
  <c r="Q65" i="14"/>
  <c r="S65" i="14" s="1"/>
  <c r="Q66" i="14"/>
  <c r="S66" i="14" s="1"/>
  <c r="Q67" i="14"/>
  <c r="S67" i="14" s="1"/>
  <c r="Q68" i="14"/>
  <c r="S68" i="14" s="1"/>
  <c r="Q69" i="14"/>
  <c r="S69" i="14" s="1"/>
  <c r="Q70" i="14"/>
  <c r="S70" i="14" s="1"/>
  <c r="Q71" i="14"/>
  <c r="S71" i="14" s="1"/>
  <c r="Q72" i="14"/>
  <c r="S72" i="14" s="1"/>
  <c r="Q73" i="14"/>
  <c r="S73" i="14" s="1"/>
  <c r="Q74" i="14"/>
  <c r="S74" i="14" s="1"/>
  <c r="Q75" i="14"/>
  <c r="S75" i="14" s="1"/>
  <c r="Q76" i="14"/>
  <c r="S76" i="14" s="1"/>
  <c r="Q77" i="14"/>
  <c r="S77" i="14" s="1"/>
  <c r="Q78" i="14"/>
  <c r="S78" i="14" s="1"/>
  <c r="Q79" i="14"/>
  <c r="S79" i="14" s="1"/>
  <c r="Q80" i="14"/>
  <c r="S80" i="14" s="1"/>
  <c r="Q81" i="14"/>
  <c r="S81" i="14" s="1"/>
  <c r="Q82" i="14"/>
  <c r="S82" i="14" s="1"/>
  <c r="Q83" i="14"/>
  <c r="S83" i="14" s="1"/>
  <c r="Q84" i="14"/>
  <c r="S84" i="14" s="1"/>
  <c r="Q85" i="14"/>
  <c r="S85" i="14" s="1"/>
  <c r="Q86" i="14"/>
  <c r="S86" i="14" s="1"/>
  <c r="Q87" i="14"/>
  <c r="S87" i="14" s="1"/>
  <c r="Q88" i="14"/>
  <c r="S88" i="14" s="1"/>
  <c r="Q89" i="14"/>
  <c r="S89" i="14" s="1"/>
  <c r="Q90" i="14"/>
  <c r="S90" i="14" s="1"/>
  <c r="Q91" i="14"/>
  <c r="S91" i="14" s="1"/>
  <c r="Q92" i="14"/>
  <c r="S92" i="14" s="1"/>
  <c r="Q93" i="14"/>
  <c r="S93" i="14" s="1"/>
  <c r="Q94" i="14"/>
  <c r="S94" i="14" s="1"/>
  <c r="Q95" i="14"/>
  <c r="S95" i="14" s="1"/>
  <c r="Q96" i="14"/>
  <c r="S96" i="14" s="1"/>
  <c r="Q97" i="14"/>
  <c r="S97" i="14" s="1"/>
  <c r="Q98" i="14"/>
  <c r="S98" i="14" s="1"/>
  <c r="Q99" i="14"/>
  <c r="S99" i="14" s="1"/>
  <c r="Q100" i="14"/>
  <c r="S100" i="14" s="1"/>
  <c r="Q101" i="14"/>
  <c r="S101" i="14" s="1"/>
  <c r="Q102" i="14"/>
  <c r="S102" i="14" s="1"/>
  <c r="Q103" i="14"/>
  <c r="S103" i="14" s="1"/>
  <c r="Q104" i="14"/>
  <c r="S104" i="14" s="1"/>
  <c r="Q105" i="14"/>
  <c r="S105" i="14" s="1"/>
  <c r="Q106" i="14"/>
  <c r="S106" i="14" s="1"/>
  <c r="Q107" i="14"/>
  <c r="S107" i="14" s="1"/>
  <c r="Q108" i="14"/>
  <c r="S108" i="14" s="1"/>
  <c r="Q109" i="14"/>
  <c r="S109" i="14" s="1"/>
  <c r="Q110" i="14"/>
  <c r="S110" i="14" s="1"/>
  <c r="Q111" i="14"/>
  <c r="S111" i="14" s="1"/>
  <c r="Q112" i="14"/>
  <c r="S112" i="14" s="1"/>
  <c r="Q113" i="14"/>
  <c r="S113" i="14" s="1"/>
  <c r="Q114" i="14"/>
  <c r="S114" i="14" s="1"/>
  <c r="Q115" i="14"/>
  <c r="S115" i="14" s="1"/>
  <c r="Q116" i="14"/>
  <c r="S116" i="14" s="1"/>
  <c r="Q117" i="14"/>
  <c r="S117" i="14" s="1"/>
  <c r="Q118" i="14"/>
  <c r="S118" i="14" s="1"/>
  <c r="Q119" i="14"/>
  <c r="S119" i="14" s="1"/>
  <c r="Q120" i="14"/>
  <c r="S120" i="14" s="1"/>
  <c r="Q121" i="14"/>
  <c r="S121" i="14" s="1"/>
  <c r="Q122" i="14"/>
  <c r="S122" i="14" s="1"/>
  <c r="Q123" i="14"/>
  <c r="S123" i="14" s="1"/>
  <c r="Q124" i="14"/>
  <c r="S124" i="14" s="1"/>
  <c r="Q125" i="14"/>
  <c r="S125" i="14" s="1"/>
  <c r="Q126" i="14"/>
  <c r="S126" i="14" s="1"/>
  <c r="Q127" i="14"/>
  <c r="S127" i="14" s="1"/>
  <c r="Q128" i="14"/>
  <c r="S128" i="14" s="1"/>
  <c r="Q129" i="14"/>
  <c r="S129" i="14" s="1"/>
  <c r="Q130" i="14"/>
  <c r="S130" i="14" s="1"/>
  <c r="Q131" i="14"/>
  <c r="S131" i="14" s="1"/>
  <c r="Q132" i="14"/>
  <c r="S132" i="14" s="1"/>
  <c r="Q133" i="14"/>
  <c r="S133" i="14" s="1"/>
  <c r="Q134" i="14"/>
  <c r="S134" i="14" s="1"/>
  <c r="Q135" i="14"/>
  <c r="S135" i="14" s="1"/>
  <c r="Q136" i="14"/>
  <c r="S136" i="14" s="1"/>
  <c r="Q137" i="14"/>
  <c r="S137" i="14" s="1"/>
  <c r="Q138" i="14"/>
  <c r="S138" i="14" s="1"/>
  <c r="Q19" i="14"/>
  <c r="S19" i="14" s="1"/>
  <c r="P20" i="14"/>
  <c r="P21" i="14"/>
  <c r="P22" i="14"/>
  <c r="P23" i="14"/>
  <c r="P24" i="14"/>
  <c r="P25" i="14"/>
  <c r="P26" i="14"/>
  <c r="P27" i="14"/>
  <c r="P28" i="14"/>
  <c r="P29" i="14"/>
  <c r="P31" i="14"/>
  <c r="P32" i="14"/>
  <c r="P33" i="14"/>
  <c r="P34" i="14"/>
  <c r="P35" i="14"/>
  <c r="P36" i="14"/>
  <c r="P37" i="14"/>
  <c r="P38" i="14"/>
  <c r="P39" i="14"/>
  <c r="P40" i="14"/>
  <c r="P41" i="14"/>
  <c r="P43" i="14"/>
  <c r="P44" i="14"/>
  <c r="P45" i="14"/>
  <c r="P46" i="14"/>
  <c r="P47" i="14"/>
  <c r="P48" i="14"/>
  <c r="P49" i="14"/>
  <c r="P50" i="14"/>
  <c r="P51" i="14"/>
  <c r="P52" i="14"/>
  <c r="P53" i="14"/>
  <c r="P55" i="14"/>
  <c r="P56" i="14"/>
  <c r="P57" i="14"/>
  <c r="P58" i="14"/>
  <c r="P59" i="14"/>
  <c r="P60" i="14"/>
  <c r="P61" i="14"/>
  <c r="P62" i="14"/>
  <c r="P63" i="14"/>
  <c r="P64" i="14"/>
  <c r="P65" i="14"/>
  <c r="P66" i="14"/>
  <c r="P67" i="14"/>
  <c r="P68" i="14"/>
  <c r="P69" i="14"/>
  <c r="P70" i="14"/>
  <c r="P71" i="14"/>
  <c r="P72" i="14"/>
  <c r="P73" i="14"/>
  <c r="P74" i="14"/>
  <c r="P75" i="14"/>
  <c r="P76" i="14"/>
  <c r="P77" i="14"/>
  <c r="P78" i="14"/>
  <c r="P79" i="14"/>
  <c r="P80" i="14"/>
  <c r="P81" i="14"/>
  <c r="P82" i="14"/>
  <c r="P83" i="14"/>
  <c r="P84" i="14"/>
  <c r="P85" i="14"/>
  <c r="P86" i="14"/>
  <c r="P87" i="14"/>
  <c r="P88" i="14"/>
  <c r="P89" i="14"/>
  <c r="P90" i="14"/>
  <c r="P91" i="14"/>
  <c r="P92" i="14"/>
  <c r="P93" i="14"/>
  <c r="P94" i="14"/>
  <c r="P95" i="14"/>
  <c r="P96" i="14"/>
  <c r="P97" i="14"/>
  <c r="P98" i="14"/>
  <c r="P99" i="14"/>
  <c r="P100" i="14"/>
  <c r="P101" i="14"/>
  <c r="P102" i="14"/>
  <c r="P103" i="14"/>
  <c r="P104" i="14"/>
  <c r="P105" i="14"/>
  <c r="P106" i="14"/>
  <c r="P107" i="14"/>
  <c r="P108" i="14"/>
  <c r="P109" i="14"/>
  <c r="P110" i="14"/>
  <c r="P111" i="14"/>
  <c r="P112" i="14"/>
  <c r="P113" i="14"/>
  <c r="P114" i="14"/>
  <c r="P115" i="14"/>
  <c r="P116" i="14"/>
  <c r="P117" i="14"/>
  <c r="P118" i="14"/>
  <c r="P119" i="14"/>
  <c r="P120" i="14"/>
  <c r="P121" i="14"/>
  <c r="P122" i="14"/>
  <c r="P123" i="14"/>
  <c r="P124" i="14"/>
  <c r="P125" i="14"/>
  <c r="P126" i="14"/>
  <c r="P127" i="14"/>
  <c r="P128" i="14"/>
  <c r="P129" i="14"/>
  <c r="P130" i="14"/>
  <c r="P131" i="14"/>
  <c r="P132" i="14"/>
  <c r="P133" i="14"/>
  <c r="P134" i="14"/>
  <c r="P135" i="14"/>
  <c r="P136" i="14"/>
  <c r="P137" i="14"/>
  <c r="P138" i="14"/>
  <c r="P19" i="14"/>
  <c r="AF34" i="11"/>
  <c r="AE34" i="11"/>
  <c r="AE35" i="11"/>
  <c r="AE36" i="11"/>
  <c r="AE37" i="11"/>
  <c r="AE38" i="11"/>
  <c r="AE39" i="11"/>
  <c r="AE40" i="11"/>
  <c r="AE41" i="11"/>
  <c r="AE42" i="11"/>
  <c r="AE43" i="11"/>
  <c r="AE44" i="11"/>
  <c r="AE45" i="11"/>
  <c r="AE46" i="11"/>
  <c r="AE47" i="11"/>
  <c r="AE48" i="11"/>
  <c r="AE49" i="11"/>
  <c r="AE50" i="11"/>
  <c r="AE51" i="11"/>
  <c r="AE52" i="11"/>
  <c r="AE53" i="11"/>
  <c r="AE54" i="11"/>
  <c r="AE55" i="11"/>
  <c r="AE56" i="11"/>
  <c r="AE57" i="11"/>
  <c r="AE58" i="11"/>
  <c r="AE59" i="11"/>
  <c r="AE60" i="11"/>
  <c r="AE61" i="11"/>
  <c r="AE62" i="11"/>
  <c r="AE63" i="11"/>
  <c r="AE64" i="11"/>
  <c r="AE65" i="11"/>
  <c r="AE66" i="11"/>
  <c r="AE67" i="11"/>
  <c r="AE68" i="11"/>
  <c r="AE69" i="11"/>
  <c r="AE70" i="11"/>
  <c r="AE71" i="11"/>
  <c r="AE72" i="11"/>
  <c r="AE73" i="11"/>
  <c r="AE74" i="11"/>
  <c r="AE75" i="11"/>
  <c r="AE76" i="11"/>
  <c r="AE77" i="11"/>
  <c r="AE78" i="11"/>
  <c r="AE79" i="11"/>
  <c r="AE80" i="11"/>
  <c r="AE81" i="11"/>
  <c r="AE82" i="11"/>
  <c r="AE83" i="11"/>
  <c r="AE84" i="11"/>
  <c r="AE85" i="11"/>
  <c r="AE86" i="11"/>
  <c r="AE87" i="11"/>
  <c r="AE88" i="11"/>
  <c r="AE89" i="11"/>
  <c r="AE90" i="11"/>
  <c r="AE91" i="11"/>
  <c r="AE92" i="11"/>
  <c r="AE93" i="11"/>
  <c r="AE94" i="11"/>
  <c r="AE95" i="11"/>
  <c r="AE96" i="11"/>
  <c r="AE97" i="11"/>
  <c r="AE98" i="11"/>
  <c r="AE99" i="11"/>
  <c r="AE100" i="11"/>
  <c r="AE101" i="11"/>
  <c r="AE102" i="11"/>
  <c r="AE103" i="11"/>
  <c r="AE104" i="11"/>
  <c r="AE105" i="11"/>
  <c r="AE106" i="11"/>
  <c r="AE107" i="11"/>
  <c r="AE108" i="11"/>
  <c r="AE109" i="11"/>
  <c r="AE110" i="11"/>
  <c r="AE111" i="11"/>
  <c r="AE112" i="11"/>
  <c r="AE113" i="11"/>
  <c r="AE114" i="11"/>
  <c r="AE115" i="11"/>
  <c r="AE116" i="11"/>
  <c r="AE117" i="11"/>
  <c r="AE118" i="11"/>
  <c r="AE119" i="11"/>
  <c r="AE120" i="11"/>
  <c r="AE121" i="11"/>
  <c r="AE122" i="11"/>
  <c r="AE123" i="11"/>
  <c r="AE124" i="11"/>
  <c r="AE125" i="11"/>
  <c r="AE126" i="11"/>
  <c r="AE127" i="11"/>
  <c r="AE128" i="11"/>
  <c r="AE129" i="11"/>
  <c r="AE130" i="11"/>
  <c r="AE131" i="11"/>
  <c r="AE132" i="11"/>
  <c r="AE133" i="11"/>
  <c r="AE134" i="11"/>
  <c r="AE135" i="11"/>
  <c r="AE136" i="11"/>
  <c r="AE137" i="11"/>
  <c r="AE138" i="11"/>
  <c r="AE139" i="11"/>
  <c r="AE140" i="11"/>
  <c r="AE141" i="11"/>
  <c r="AE142" i="11"/>
  <c r="AE143" i="11"/>
  <c r="AE144" i="11"/>
  <c r="AE145" i="11"/>
  <c r="AE146" i="11"/>
  <c r="AE147" i="11"/>
  <c r="AE148" i="11"/>
  <c r="AE149" i="11"/>
  <c r="AE150" i="11"/>
  <c r="AE151" i="11"/>
  <c r="AE152" i="11"/>
  <c r="AE153" i="11"/>
  <c r="AD34" i="11"/>
  <c r="AD35" i="11"/>
  <c r="AD36" i="11"/>
  <c r="AD37" i="11"/>
  <c r="AD38" i="11"/>
  <c r="AD39" i="11"/>
  <c r="AD40" i="11"/>
  <c r="AD41" i="11"/>
  <c r="AD42" i="11"/>
  <c r="AD43" i="11"/>
  <c r="AD44" i="11"/>
  <c r="AD45" i="11"/>
  <c r="AD46" i="11"/>
  <c r="AD47" i="11"/>
  <c r="AD48" i="11"/>
  <c r="AD49" i="11"/>
  <c r="AD50" i="11"/>
  <c r="AD51" i="11"/>
  <c r="AD52" i="11"/>
  <c r="AD53" i="11"/>
  <c r="AD54" i="11"/>
  <c r="AD55" i="11"/>
  <c r="AD56" i="11"/>
  <c r="AD57" i="11"/>
  <c r="AD58" i="11"/>
  <c r="AD59" i="11"/>
  <c r="AD60" i="11"/>
  <c r="AD61" i="11"/>
  <c r="AD62" i="11"/>
  <c r="AD63" i="11"/>
  <c r="AD64" i="11"/>
  <c r="AD65" i="11"/>
  <c r="AD66" i="11"/>
  <c r="AD67" i="11"/>
  <c r="AD68" i="11"/>
  <c r="AD69" i="11"/>
  <c r="AD70" i="11"/>
  <c r="AD71" i="11"/>
  <c r="AD72" i="11"/>
  <c r="AD73" i="11"/>
  <c r="AD74" i="11"/>
  <c r="AD75" i="11"/>
  <c r="AD76" i="11"/>
  <c r="AD77" i="11"/>
  <c r="AD78" i="11"/>
  <c r="AD79" i="11"/>
  <c r="AD80" i="11"/>
  <c r="AD81" i="11"/>
  <c r="AD82" i="11"/>
  <c r="AD83" i="11"/>
  <c r="AD84" i="11"/>
  <c r="AD85" i="11"/>
  <c r="AD86" i="11"/>
  <c r="AD87" i="11"/>
  <c r="AD88" i="11"/>
  <c r="AD89" i="11"/>
  <c r="AD90" i="11"/>
  <c r="AD91" i="11"/>
  <c r="AD92" i="11"/>
  <c r="AD93" i="11"/>
  <c r="AD94" i="11"/>
  <c r="AD95" i="11"/>
  <c r="AD96" i="11"/>
  <c r="AD97" i="11"/>
  <c r="AD98" i="11"/>
  <c r="AD99" i="11"/>
  <c r="AD100" i="11"/>
  <c r="AD101" i="11"/>
  <c r="AD102" i="11"/>
  <c r="AD103" i="11"/>
  <c r="AD104" i="11"/>
  <c r="AD105" i="11"/>
  <c r="AD106" i="11"/>
  <c r="AD107" i="11"/>
  <c r="AD108" i="11"/>
  <c r="AD109" i="11"/>
  <c r="AD110" i="11"/>
  <c r="AD111" i="11"/>
  <c r="AD112" i="11"/>
  <c r="AD113" i="11"/>
  <c r="AD114" i="11"/>
  <c r="AD115" i="11"/>
  <c r="AD116" i="11"/>
  <c r="AD117" i="11"/>
  <c r="AD118" i="11"/>
  <c r="AD119" i="11"/>
  <c r="AD120" i="11"/>
  <c r="AD121" i="11"/>
  <c r="AD122" i="11"/>
  <c r="AD123" i="11"/>
  <c r="AD124" i="11"/>
  <c r="AD125" i="11"/>
  <c r="AD126" i="11"/>
  <c r="AD127" i="11"/>
  <c r="AD128" i="11"/>
  <c r="AD129" i="11"/>
  <c r="AD130" i="11"/>
  <c r="AD131" i="11"/>
  <c r="AD132" i="11"/>
  <c r="AD133" i="11"/>
  <c r="AD134" i="11"/>
  <c r="AD135" i="11"/>
  <c r="AD136" i="11"/>
  <c r="AD137" i="11"/>
  <c r="AD138" i="11"/>
  <c r="AD139" i="11"/>
  <c r="AD140" i="11"/>
  <c r="AD141" i="11"/>
  <c r="AD142" i="11"/>
  <c r="AD143" i="11"/>
  <c r="AD144" i="11"/>
  <c r="AD145" i="11"/>
  <c r="AD146" i="11"/>
  <c r="AD147" i="11"/>
  <c r="AD148" i="11"/>
  <c r="AD149" i="11"/>
  <c r="AD150" i="11"/>
  <c r="AD151" i="11"/>
  <c r="AD152" i="11"/>
  <c r="AD153" i="11"/>
  <c r="Q6" i="14" a="1"/>
  <c r="Q6" i="14" s="1"/>
  <c r="Q7" i="14" a="1"/>
  <c r="Q7" i="14" s="1"/>
  <c r="Q8" i="14" a="1"/>
  <c r="Q8" i="14" s="1"/>
  <c r="Q9" i="14" a="1"/>
  <c r="Q9" i="14" s="1"/>
  <c r="Q10" i="14" a="1"/>
  <c r="Q10" i="14" s="1"/>
  <c r="Q11" i="14" a="1"/>
  <c r="Q11" i="14" s="1"/>
  <c r="Q12" i="14" a="1"/>
  <c r="Q12" i="14" s="1"/>
  <c r="Q13" i="14" a="1"/>
  <c r="Q13" i="14" s="1"/>
  <c r="Q14" i="14" a="1"/>
  <c r="Q14" i="14" s="1"/>
  <c r="Q5" i="14" a="1"/>
  <c r="Q5" i="14" s="1"/>
  <c r="Y23" i="26"/>
  <c r="F103" i="12"/>
  <c r="G103" i="12"/>
  <c r="H103" i="12"/>
  <c r="I103" i="12"/>
  <c r="J103" i="12"/>
  <c r="K103" i="12"/>
  <c r="L103" i="12"/>
  <c r="M103" i="12"/>
  <c r="F104" i="12"/>
  <c r="G104" i="12"/>
  <c r="H104" i="12"/>
  <c r="I104" i="12"/>
  <c r="J104" i="12"/>
  <c r="K104" i="12"/>
  <c r="L104" i="12"/>
  <c r="M104" i="12"/>
  <c r="F105" i="12"/>
  <c r="G105" i="12"/>
  <c r="H105" i="12"/>
  <c r="I105" i="12"/>
  <c r="J105" i="12"/>
  <c r="K105" i="12"/>
  <c r="L105" i="12"/>
  <c r="M105" i="12"/>
  <c r="F106" i="12"/>
  <c r="G106" i="12"/>
  <c r="H106" i="12"/>
  <c r="I106" i="12"/>
  <c r="J106" i="12"/>
  <c r="K106" i="12"/>
  <c r="L106" i="12"/>
  <c r="M106" i="12"/>
  <c r="F107" i="12"/>
  <c r="G107" i="12"/>
  <c r="H107" i="12"/>
  <c r="I107" i="12"/>
  <c r="J107" i="12"/>
  <c r="K107" i="12"/>
  <c r="L107" i="12"/>
  <c r="M107" i="12"/>
  <c r="F108" i="12"/>
  <c r="G108" i="12"/>
  <c r="H108" i="12"/>
  <c r="I108" i="12"/>
  <c r="J108" i="12"/>
  <c r="K108" i="12"/>
  <c r="L108" i="12"/>
  <c r="M108" i="12"/>
  <c r="F109" i="12"/>
  <c r="G109" i="12"/>
  <c r="H109" i="12"/>
  <c r="I109" i="12"/>
  <c r="J109" i="12"/>
  <c r="K109" i="12"/>
  <c r="L109" i="12"/>
  <c r="M109" i="12"/>
  <c r="G110" i="12"/>
  <c r="H110" i="12"/>
  <c r="I110" i="12"/>
  <c r="J110" i="12"/>
  <c r="K110" i="12"/>
  <c r="L110" i="12"/>
  <c r="M110" i="12"/>
  <c r="G111" i="12"/>
  <c r="H111" i="12"/>
  <c r="I111" i="12"/>
  <c r="J111" i="12"/>
  <c r="K111" i="12"/>
  <c r="L111" i="12"/>
  <c r="M111" i="12"/>
  <c r="G112" i="12"/>
  <c r="H112" i="12"/>
  <c r="I112" i="12"/>
  <c r="J112" i="12"/>
  <c r="K112" i="12"/>
  <c r="L112" i="12"/>
  <c r="M112" i="12"/>
  <c r="G113" i="12"/>
  <c r="H113" i="12"/>
  <c r="I113" i="12"/>
  <c r="J113" i="12"/>
  <c r="K113" i="12"/>
  <c r="L113" i="12"/>
  <c r="M113" i="12"/>
  <c r="G114" i="12"/>
  <c r="H114" i="12"/>
  <c r="I114" i="12"/>
  <c r="J114" i="12"/>
  <c r="K114" i="12"/>
  <c r="L114" i="12"/>
  <c r="M114" i="12"/>
  <c r="G115" i="12"/>
  <c r="H115" i="12"/>
  <c r="I115" i="12"/>
  <c r="J115" i="12"/>
  <c r="K115" i="12"/>
  <c r="L115" i="12"/>
  <c r="M115" i="12"/>
  <c r="G116" i="12"/>
  <c r="H116" i="12"/>
  <c r="I116" i="12"/>
  <c r="J116" i="12"/>
  <c r="K116" i="12"/>
  <c r="L116" i="12"/>
  <c r="M116" i="12"/>
  <c r="H117" i="12"/>
  <c r="I117" i="12"/>
  <c r="J117" i="12"/>
  <c r="K117" i="12"/>
  <c r="L117" i="12"/>
  <c r="M117" i="12"/>
  <c r="H118" i="12"/>
  <c r="I118" i="12"/>
  <c r="J118" i="12"/>
  <c r="K118" i="12"/>
  <c r="L118" i="12"/>
  <c r="M118" i="12"/>
  <c r="H119" i="12"/>
  <c r="I119" i="12"/>
  <c r="J119" i="12"/>
  <c r="K119" i="12"/>
  <c r="L119" i="12"/>
  <c r="M119" i="12"/>
  <c r="H120" i="12"/>
  <c r="I120" i="12"/>
  <c r="J120" i="12"/>
  <c r="K120" i="12"/>
  <c r="L120" i="12"/>
  <c r="M120" i="12"/>
  <c r="H121" i="12"/>
  <c r="I121" i="12"/>
  <c r="J121" i="12"/>
  <c r="K121" i="12"/>
  <c r="L121" i="12"/>
  <c r="M121" i="12"/>
  <c r="H122" i="12"/>
  <c r="I122" i="12"/>
  <c r="J122" i="12"/>
  <c r="K122" i="12"/>
  <c r="L122" i="12"/>
  <c r="M122" i="12"/>
  <c r="H123" i="12"/>
  <c r="I123" i="12"/>
  <c r="J123" i="12"/>
  <c r="K123" i="12"/>
  <c r="L123" i="12"/>
  <c r="M123" i="12"/>
  <c r="I124" i="12"/>
  <c r="J124" i="12"/>
  <c r="K124" i="12"/>
  <c r="L124" i="12"/>
  <c r="M124" i="12"/>
  <c r="I125" i="12"/>
  <c r="J125" i="12"/>
  <c r="K125" i="12"/>
  <c r="L125" i="12"/>
  <c r="M125" i="12"/>
  <c r="I126" i="12"/>
  <c r="J126" i="12"/>
  <c r="K126" i="12"/>
  <c r="L126" i="12"/>
  <c r="M126" i="12"/>
  <c r="I127" i="12"/>
  <c r="J127" i="12"/>
  <c r="K127" i="12"/>
  <c r="L127" i="12"/>
  <c r="M127" i="12"/>
  <c r="I128" i="12"/>
  <c r="J128" i="12"/>
  <c r="K128" i="12"/>
  <c r="L128" i="12"/>
  <c r="M128" i="12"/>
  <c r="I129" i="12"/>
  <c r="J129" i="12"/>
  <c r="K129" i="12"/>
  <c r="L129" i="12"/>
  <c r="M129" i="12"/>
  <c r="I130" i="12"/>
  <c r="J130" i="12"/>
  <c r="K130" i="12"/>
  <c r="L130" i="12"/>
  <c r="M130" i="12"/>
  <c r="J131" i="12"/>
  <c r="K131" i="12"/>
  <c r="L131" i="12"/>
  <c r="M131" i="12"/>
  <c r="J132" i="12"/>
  <c r="K132" i="12"/>
  <c r="L132" i="12"/>
  <c r="M132" i="12"/>
  <c r="J133" i="12"/>
  <c r="K133" i="12"/>
  <c r="L133" i="12"/>
  <c r="M133" i="12"/>
  <c r="J134" i="12"/>
  <c r="K134" i="12"/>
  <c r="L134" i="12"/>
  <c r="M134" i="12"/>
  <c r="J135" i="12"/>
  <c r="K135" i="12"/>
  <c r="L135" i="12"/>
  <c r="M135" i="12"/>
  <c r="J136" i="12"/>
  <c r="K136" i="12"/>
  <c r="L136" i="12"/>
  <c r="M136" i="12"/>
  <c r="J137" i="12"/>
  <c r="K137" i="12"/>
  <c r="L137" i="12"/>
  <c r="M137" i="12"/>
  <c r="K138" i="12"/>
  <c r="L138" i="12"/>
  <c r="M138" i="12"/>
  <c r="K139" i="12"/>
  <c r="L139" i="12"/>
  <c r="M139" i="12"/>
  <c r="K140" i="12"/>
  <c r="L140" i="12"/>
  <c r="M140" i="12"/>
  <c r="K141" i="12"/>
  <c r="L141" i="12"/>
  <c r="M141" i="12"/>
  <c r="K142" i="12"/>
  <c r="L142" i="12"/>
  <c r="M142" i="12"/>
  <c r="K143" i="12"/>
  <c r="L143" i="12"/>
  <c r="M143" i="12"/>
  <c r="K144" i="12"/>
  <c r="L144" i="12"/>
  <c r="M144" i="12"/>
  <c r="L145" i="12"/>
  <c r="M145" i="12"/>
  <c r="L146" i="12"/>
  <c r="M146" i="12"/>
  <c r="L147" i="12"/>
  <c r="M147" i="12"/>
  <c r="L148" i="12"/>
  <c r="M148" i="12"/>
  <c r="L149" i="12"/>
  <c r="M149" i="12"/>
  <c r="L150" i="12"/>
  <c r="M150" i="12"/>
  <c r="L151" i="12"/>
  <c r="M151" i="12"/>
  <c r="M152" i="12"/>
  <c r="M153" i="12"/>
  <c r="M154" i="12"/>
  <c r="M155" i="12"/>
  <c r="M156" i="12"/>
  <c r="M157" i="12"/>
  <c r="M158" i="12"/>
  <c r="E102" i="12"/>
  <c r="F102" i="12"/>
  <c r="G102" i="12"/>
  <c r="H102" i="12"/>
  <c r="I102" i="12"/>
  <c r="J102" i="12"/>
  <c r="K102" i="12"/>
  <c r="L102" i="12"/>
  <c r="M102" i="12"/>
  <c r="E101" i="12"/>
  <c r="F101" i="12"/>
  <c r="G101" i="12"/>
  <c r="H101" i="12"/>
  <c r="I101" i="12"/>
  <c r="J101" i="12"/>
  <c r="K101" i="12"/>
  <c r="L101" i="12"/>
  <c r="M101" i="12"/>
  <c r="E100" i="12"/>
  <c r="F100" i="12"/>
  <c r="G100" i="12"/>
  <c r="H100" i="12"/>
  <c r="I100" i="12"/>
  <c r="J100" i="12"/>
  <c r="K100" i="12"/>
  <c r="L100" i="12"/>
  <c r="M100" i="12"/>
  <c r="E99" i="12"/>
  <c r="F99" i="12"/>
  <c r="G99" i="12"/>
  <c r="H99" i="12"/>
  <c r="I99" i="12"/>
  <c r="J99" i="12"/>
  <c r="K99" i="12"/>
  <c r="L99" i="12"/>
  <c r="M99" i="12"/>
  <c r="E98" i="12"/>
  <c r="F98" i="12"/>
  <c r="G98" i="12"/>
  <c r="H98" i="12"/>
  <c r="I98" i="12"/>
  <c r="J98" i="12"/>
  <c r="K98" i="12"/>
  <c r="L98" i="12"/>
  <c r="M98" i="12"/>
  <c r="E97" i="12"/>
  <c r="F97" i="12"/>
  <c r="G97" i="12"/>
  <c r="H97" i="12"/>
  <c r="I97" i="12"/>
  <c r="J97" i="12"/>
  <c r="K97" i="12"/>
  <c r="L97" i="12"/>
  <c r="M97" i="12"/>
  <c r="E96" i="12"/>
  <c r="F96" i="12"/>
  <c r="G96" i="12"/>
  <c r="H96" i="12"/>
  <c r="I96" i="12"/>
  <c r="J96" i="12"/>
  <c r="K96" i="12"/>
  <c r="L96" i="12"/>
  <c r="M96" i="12"/>
  <c r="Y21" i="12"/>
  <c r="Y20" i="12"/>
  <c r="M13" i="1"/>
  <c r="M12" i="1"/>
  <c r="M11" i="1"/>
  <c r="F31" i="13"/>
  <c r="J20" i="8"/>
  <c r="Y49" i="12"/>
  <c r="Y48" i="12"/>
  <c r="I32" i="1"/>
  <c r="G32" i="13" s="1"/>
  <c r="E72" i="10"/>
  <c r="Q20" i="10"/>
  <c r="J10" i="1"/>
  <c r="G10" i="13" s="1"/>
  <c r="J9" i="1"/>
  <c r="G9" i="13" s="1"/>
  <c r="E64" i="9" a="1"/>
  <c r="E64" i="9" s="1"/>
  <c r="E63" i="9" a="1"/>
  <c r="E63" i="9" s="1"/>
  <c r="AG15" i="11"/>
  <c r="AH15" i="11" s="1"/>
  <c r="AG14" i="11"/>
  <c r="AH14" i="11" s="1"/>
  <c r="AG13" i="11"/>
  <c r="AH13" i="11" s="1"/>
  <c r="AH12" i="11"/>
  <c r="AG11" i="11"/>
  <c r="AH9" i="11"/>
  <c r="AH7" i="11"/>
  <c r="S8" i="14" s="1"/>
  <c r="AF24" i="11" s="1"/>
  <c r="H10" i="11"/>
  <c r="H14" i="11"/>
  <c r="H13" i="11"/>
  <c r="H12" i="11"/>
  <c r="I11" i="11"/>
  <c r="I7" i="11"/>
  <c r="I6" i="11"/>
  <c r="D35" i="1" l="1"/>
  <c r="E66" i="9"/>
  <c r="S5" i="14"/>
  <c r="AF21" i="11" s="1"/>
  <c r="AF22" i="11"/>
  <c r="Q15" i="14"/>
  <c r="Y44" i="12"/>
  <c r="Y43" i="12"/>
  <c r="Y17" i="26"/>
  <c r="Y16" i="26"/>
  <c r="Y15" i="26"/>
  <c r="K21" i="26" s="1"/>
  <c r="Y5" i="26"/>
  <c r="Y17" i="12"/>
  <c r="Y16" i="12"/>
  <c r="Y15" i="12"/>
  <c r="Y5" i="12"/>
  <c r="V3" i="17"/>
  <c r="U3" i="17"/>
  <c r="V16" i="17"/>
  <c r="U16" i="17"/>
  <c r="T16" i="17"/>
  <c r="D21" i="25"/>
  <c r="C21" i="25"/>
  <c r="D20" i="25"/>
  <c r="C20" i="25"/>
  <c r="C15" i="25"/>
  <c r="C14" i="25"/>
  <c r="C13" i="25"/>
  <c r="C12" i="25"/>
  <c r="C7" i="25"/>
  <c r="C6" i="25"/>
  <c r="C29" i="16"/>
  <c r="C22" i="16"/>
  <c r="C6" i="16"/>
  <c r="C5" i="16"/>
  <c r="J40" i="18"/>
  <c r="G40" i="18"/>
  <c r="S178" i="2"/>
  <c r="P178" i="2"/>
  <c r="G178" i="2"/>
  <c r="E18" i="21"/>
  <c r="D18" i="21"/>
  <c r="E17" i="21"/>
  <c r="D17" i="21"/>
  <c r="E16" i="21"/>
  <c r="D16" i="21"/>
  <c r="E15" i="21"/>
  <c r="D15" i="21"/>
  <c r="E14" i="21"/>
  <c r="D14" i="21"/>
  <c r="E13" i="21"/>
  <c r="D13" i="21"/>
  <c r="L11" i="8"/>
  <c r="L12" i="8" s="1"/>
  <c r="F69" i="7" s="1"/>
  <c r="J26" i="8"/>
  <c r="O30" i="1"/>
  <c r="O29" i="1"/>
  <c r="N30" i="1"/>
  <c r="N29" i="1"/>
  <c r="N26" i="1"/>
  <c r="N25" i="1"/>
  <c r="N24" i="1"/>
  <c r="N23" i="1"/>
  <c r="M10" i="1"/>
  <c r="J19" i="18"/>
  <c r="J14" i="18"/>
  <c r="M14" i="18" s="1"/>
  <c r="J13" i="18"/>
  <c r="M13" i="18" s="1"/>
  <c r="J16" i="10"/>
  <c r="I16" i="10" s="1"/>
  <c r="Y40" i="12" s="1"/>
  <c r="V64" i="9"/>
  <c r="T64" i="9"/>
  <c r="R64" i="9"/>
  <c r="P64" i="9"/>
  <c r="N64" i="9"/>
  <c r="L64" i="9"/>
  <c r="J64" i="9"/>
  <c r="H64" i="9"/>
  <c r="X63" i="9"/>
  <c r="V63" i="9"/>
  <c r="T63" i="9"/>
  <c r="R63" i="9"/>
  <c r="P63" i="9"/>
  <c r="N63" i="9"/>
  <c r="L63" i="9"/>
  <c r="J63" i="9"/>
  <c r="H63" i="9"/>
  <c r="V56" i="9"/>
  <c r="T56" i="9"/>
  <c r="R56" i="9"/>
  <c r="P56" i="9"/>
  <c r="N56" i="9"/>
  <c r="L56" i="9"/>
  <c r="J56" i="9"/>
  <c r="H56" i="9"/>
  <c r="Q102" i="10"/>
  <c r="R102" i="10"/>
  <c r="S102" i="10"/>
  <c r="Q103" i="10"/>
  <c r="R103" i="10"/>
  <c r="S103" i="10"/>
  <c r="C257" i="10"/>
  <c r="F259" i="10" s="1"/>
  <c r="H12" i="10"/>
  <c r="G12" i="10"/>
  <c r="F12" i="10"/>
  <c r="E12" i="10"/>
  <c r="B268" i="10"/>
  <c r="B262" i="10"/>
  <c r="F258" i="10"/>
  <c r="B253" i="10"/>
  <c r="B247" i="10"/>
  <c r="F243" i="10"/>
  <c r="B238" i="10"/>
  <c r="F229" i="10"/>
  <c r="B227" i="10"/>
  <c r="F222" i="10"/>
  <c r="B219" i="10"/>
  <c r="F213" i="10"/>
  <c r="S205" i="10"/>
  <c r="R205" i="10"/>
  <c r="Q205" i="10"/>
  <c r="S204" i="10"/>
  <c r="R204" i="10"/>
  <c r="Q204" i="10"/>
  <c r="S203" i="10"/>
  <c r="S177" i="10" s="1"/>
  <c r="R203" i="10"/>
  <c r="R177" i="10" s="1"/>
  <c r="Q203" i="10"/>
  <c r="P185" i="10"/>
  <c r="O185" i="10"/>
  <c r="N185" i="10"/>
  <c r="M185" i="10"/>
  <c r="L185" i="10"/>
  <c r="K185" i="10"/>
  <c r="J185" i="10"/>
  <c r="I185" i="10"/>
  <c r="H185" i="10"/>
  <c r="G185" i="10"/>
  <c r="F185" i="10"/>
  <c r="C175" i="10"/>
  <c r="E174" i="10" s="1"/>
  <c r="C242" i="10" s="1"/>
  <c r="B175" i="10"/>
  <c r="C174" i="10"/>
  <c r="E173" i="10" s="1"/>
  <c r="C212" i="10" s="1"/>
  <c r="B174" i="10"/>
  <c r="B173" i="10"/>
  <c r="B172" i="10"/>
  <c r="B166" i="10"/>
  <c r="B160" i="10"/>
  <c r="F156" i="10"/>
  <c r="B151" i="10"/>
  <c r="B145" i="10"/>
  <c r="F141" i="10"/>
  <c r="B136" i="10"/>
  <c r="F127" i="10"/>
  <c r="B125" i="10"/>
  <c r="F120" i="10"/>
  <c r="B117" i="10"/>
  <c r="F111" i="10"/>
  <c r="S101" i="10"/>
  <c r="S74" i="10" s="1"/>
  <c r="R101" i="10"/>
  <c r="R74" i="10" s="1"/>
  <c r="Q101" i="10"/>
  <c r="Q74" i="10" s="1"/>
  <c r="Q92" i="10" s="1"/>
  <c r="F72" i="10"/>
  <c r="C155" i="10"/>
  <c r="B162" i="10" s="1"/>
  <c r="D72" i="10"/>
  <c r="E71" i="10" s="1"/>
  <c r="B72" i="10"/>
  <c r="F71" i="10"/>
  <c r="D71" i="10"/>
  <c r="E70" i="10" s="1"/>
  <c r="C110" i="10" s="1"/>
  <c r="B71" i="10"/>
  <c r="B70" i="10"/>
  <c r="B69" i="10"/>
  <c r="S20" i="10"/>
  <c r="S45" i="10" s="1"/>
  <c r="R20" i="10"/>
  <c r="R29" i="10" s="1"/>
  <c r="E17" i="10"/>
  <c r="H173" i="10"/>
  <c r="E16" i="10"/>
  <c r="C19" i="25" s="1"/>
  <c r="B15" i="10"/>
  <c r="C11" i="10"/>
  <c r="H18" i="10" s="1"/>
  <c r="H175" i="10" s="1"/>
  <c r="I175" i="10" s="1"/>
  <c r="S15" i="14" l="1"/>
  <c r="J20" i="18"/>
  <c r="M19" i="18"/>
  <c r="AB26" i="26"/>
  <c r="AB27" i="26"/>
  <c r="AC26" i="26"/>
  <c r="AB28" i="26"/>
  <c r="AC27" i="26"/>
  <c r="AB29" i="26"/>
  <c r="AC28" i="26"/>
  <c r="AB30" i="26"/>
  <c r="AC29" i="26"/>
  <c r="AB31" i="26"/>
  <c r="AC30" i="26"/>
  <c r="AB32" i="26"/>
  <c r="AC31" i="26"/>
  <c r="AB33" i="26"/>
  <c r="AC32" i="26"/>
  <c r="AB34" i="26"/>
  <c r="AC33" i="26"/>
  <c r="AB35" i="26"/>
  <c r="AC34" i="26"/>
  <c r="AC35" i="26"/>
  <c r="AB35" i="12"/>
  <c r="AB34" i="12"/>
  <c r="AB26" i="12"/>
  <c r="AB33" i="12"/>
  <c r="AB32" i="12"/>
  <c r="AB31" i="12"/>
  <c r="AB30" i="12"/>
  <c r="AB29" i="12"/>
  <c r="AB27" i="12"/>
  <c r="AB28" i="12"/>
  <c r="AC33" i="12"/>
  <c r="AC28" i="12"/>
  <c r="AC35" i="12"/>
  <c r="AC30" i="12"/>
  <c r="AC32" i="12"/>
  <c r="AC27" i="12"/>
  <c r="AC34" i="12"/>
  <c r="AC29" i="12"/>
  <c r="AC31" i="12"/>
  <c r="AC26" i="12"/>
  <c r="K8" i="26"/>
  <c r="Q177" i="10"/>
  <c r="Q196" i="10" s="1"/>
  <c r="C15" i="16"/>
  <c r="C140" i="10"/>
  <c r="B147" i="10" s="1"/>
  <c r="Y47" i="12"/>
  <c r="N28" i="1"/>
  <c r="Y46" i="12"/>
  <c r="Y38" i="12"/>
  <c r="C8" i="25"/>
  <c r="C9" i="25" s="1"/>
  <c r="Q76" i="10"/>
  <c r="R93" i="10"/>
  <c r="R92" i="10"/>
  <c r="R76" i="10"/>
  <c r="S92" i="10"/>
  <c r="S76" i="10"/>
  <c r="R194" i="10"/>
  <c r="R179" i="10"/>
  <c r="S182" i="10"/>
  <c r="S194" i="10"/>
  <c r="S179" i="10"/>
  <c r="K11" i="12"/>
  <c r="K10" i="12"/>
  <c r="K9" i="12"/>
  <c r="K8" i="12"/>
  <c r="K25" i="12"/>
  <c r="K24" i="12"/>
  <c r="K23" i="12"/>
  <c r="K14" i="12"/>
  <c r="K20" i="12"/>
  <c r="K22" i="12"/>
  <c r="K21" i="12"/>
  <c r="K13" i="12"/>
  <c r="K19" i="12"/>
  <c r="K12" i="12"/>
  <c r="K23" i="26"/>
  <c r="K20" i="26"/>
  <c r="K13" i="26"/>
  <c r="K10" i="26"/>
  <c r="K25" i="26"/>
  <c r="K24" i="26"/>
  <c r="K12" i="26"/>
  <c r="K9" i="26"/>
  <c r="K11" i="26"/>
  <c r="K19" i="26"/>
  <c r="K14" i="26"/>
  <c r="K22" i="26"/>
  <c r="B264" i="10"/>
  <c r="F113" i="10"/>
  <c r="Q26" i="10"/>
  <c r="Q45" i="10"/>
  <c r="Q42" i="10"/>
  <c r="F215" i="10"/>
  <c r="F223" i="10"/>
  <c r="R196" i="10"/>
  <c r="R195" i="10"/>
  <c r="R42" i="10"/>
  <c r="I18" i="10"/>
  <c r="Y42" i="12" s="1"/>
  <c r="R45" i="10"/>
  <c r="R47" i="10"/>
  <c r="Q25" i="10"/>
  <c r="R99" i="10"/>
  <c r="R104" i="10" s="1"/>
  <c r="H70" i="10"/>
  <c r="I70" i="10" s="1"/>
  <c r="R23" i="10"/>
  <c r="R26" i="10"/>
  <c r="S29" i="10"/>
  <c r="S154" i="10"/>
  <c r="S156" i="10" s="1"/>
  <c r="Q94" i="10"/>
  <c r="Q79" i="10"/>
  <c r="Q96" i="10"/>
  <c r="Q93" i="10"/>
  <c r="H72" i="10"/>
  <c r="I72" i="10" s="1"/>
  <c r="Q241" i="10"/>
  <c r="Q154" i="10"/>
  <c r="Q201" i="10"/>
  <c r="Q206" i="10" s="1"/>
  <c r="Q53" i="10"/>
  <c r="Q46" i="10"/>
  <c r="Q139" i="10"/>
  <c r="Q29" i="10"/>
  <c r="Q44" i="10"/>
  <c r="Q24" i="10"/>
  <c r="Q110" i="10"/>
  <c r="Q123" i="10" s="1"/>
  <c r="Q50" i="10"/>
  <c r="Q43" i="10"/>
  <c r="Q23" i="10"/>
  <c r="Q256" i="10"/>
  <c r="Q99" i="10"/>
  <c r="Q104" i="10" s="1"/>
  <c r="Q47" i="10"/>
  <c r="Q212" i="10"/>
  <c r="Q225" i="10" s="1"/>
  <c r="F244" i="10"/>
  <c r="B249" i="10"/>
  <c r="R241" i="10"/>
  <c r="R154" i="10"/>
  <c r="R201" i="10"/>
  <c r="R206" i="10" s="1"/>
  <c r="R256" i="10"/>
  <c r="R139" i="10"/>
  <c r="R25" i="10"/>
  <c r="R46" i="10"/>
  <c r="S256" i="10"/>
  <c r="S212" i="10"/>
  <c r="S225" i="10" s="1"/>
  <c r="S201" i="10"/>
  <c r="S206" i="10" s="1"/>
  <c r="S139" i="10"/>
  <c r="S50" i="10"/>
  <c r="S110" i="10"/>
  <c r="S123" i="10" s="1"/>
  <c r="S25" i="10"/>
  <c r="S46" i="10"/>
  <c r="R94" i="10"/>
  <c r="R79" i="10"/>
  <c r="R212" i="10"/>
  <c r="R225" i="10" s="1"/>
  <c r="A6" i="10"/>
  <c r="S47" i="10"/>
  <c r="S94" i="10"/>
  <c r="S79" i="10"/>
  <c r="S93" i="10"/>
  <c r="S99" i="10"/>
  <c r="S104" i="10" s="1"/>
  <c r="S26" i="10"/>
  <c r="S42" i="10"/>
  <c r="S196" i="10"/>
  <c r="S198" i="10"/>
  <c r="S195" i="10"/>
  <c r="S23" i="10"/>
  <c r="R43" i="10"/>
  <c r="R96" i="10"/>
  <c r="F157" i="10"/>
  <c r="I173" i="10"/>
  <c r="S43" i="10"/>
  <c r="S96" i="10"/>
  <c r="H17" i="10"/>
  <c r="R50" i="10"/>
  <c r="R53" i="10"/>
  <c r="R61" i="10" s="1"/>
  <c r="R110" i="10"/>
  <c r="R123" i="10" s="1"/>
  <c r="R24" i="10"/>
  <c r="R44" i="10"/>
  <c r="S53" i="10"/>
  <c r="S61" i="10" s="1"/>
  <c r="S241" i="10"/>
  <c r="S24" i="10"/>
  <c r="S44" i="10"/>
  <c r="R182" i="10"/>
  <c r="R198" i="10"/>
  <c r="F121" i="10"/>
  <c r="J173" i="10" l="1"/>
  <c r="F142" i="10"/>
  <c r="Q182" i="10"/>
  <c r="Q198" i="10"/>
  <c r="Q194" i="10"/>
  <c r="Q179" i="10"/>
  <c r="Q195" i="10"/>
  <c r="Q142" i="10"/>
  <c r="Q141" i="10"/>
  <c r="Q223" i="10"/>
  <c r="Q222" i="10"/>
  <c r="Q215" i="10"/>
  <c r="Q213" i="10"/>
  <c r="Q61" i="10"/>
  <c r="Q54" i="10"/>
  <c r="Q258" i="10"/>
  <c r="Q259" i="10"/>
  <c r="Q156" i="10"/>
  <c r="Q157" i="10"/>
  <c r="Q113" i="10"/>
  <c r="Q111" i="10"/>
  <c r="Q120" i="10"/>
  <c r="Q121" i="10" s="1"/>
  <c r="Q244" i="10"/>
  <c r="Q243" i="10"/>
  <c r="S167" i="10"/>
  <c r="S159" i="10"/>
  <c r="S165" i="10"/>
  <c r="S158" i="10"/>
  <c r="S157" i="10"/>
  <c r="Q115" i="10"/>
  <c r="Q118" i="10"/>
  <c r="Q144" i="10" s="1"/>
  <c r="R217" i="10"/>
  <c r="R220" i="10"/>
  <c r="R246" i="10" s="1"/>
  <c r="S164" i="10"/>
  <c r="S118" i="10"/>
  <c r="S144" i="10" s="1"/>
  <c r="S115" i="10"/>
  <c r="R118" i="10"/>
  <c r="R144" i="10" s="1"/>
  <c r="R115" i="10"/>
  <c r="Q217" i="10"/>
  <c r="Q220" i="10"/>
  <c r="Q246" i="10" s="1"/>
  <c r="S220" i="10"/>
  <c r="S246" i="10" s="1"/>
  <c r="S217" i="10"/>
  <c r="S160" i="10"/>
  <c r="S161" i="10"/>
  <c r="S162" i="10"/>
  <c r="S166" i="10"/>
  <c r="R269" i="10"/>
  <c r="R258" i="10"/>
  <c r="R263" i="10"/>
  <c r="R268" i="10"/>
  <c r="R260" i="10"/>
  <c r="R264" i="10"/>
  <c r="R261" i="10"/>
  <c r="R266" i="10"/>
  <c r="R262" i="10"/>
  <c r="R267" i="10"/>
  <c r="R259" i="10"/>
  <c r="Q152" i="10"/>
  <c r="Q146" i="10"/>
  <c r="Q149" i="10"/>
  <c r="Q150" i="10"/>
  <c r="Q151" i="10"/>
  <c r="Q145" i="10"/>
  <c r="Q147" i="10"/>
  <c r="Q143" i="10"/>
  <c r="R251" i="10"/>
  <c r="R245" i="10"/>
  <c r="R249" i="10"/>
  <c r="R244" i="10"/>
  <c r="R247" i="10"/>
  <c r="R254" i="10"/>
  <c r="R243" i="10"/>
  <c r="R248" i="10"/>
  <c r="R252" i="10"/>
  <c r="R253" i="10"/>
  <c r="S269" i="10"/>
  <c r="S258" i="10"/>
  <c r="S263" i="10"/>
  <c r="S268" i="10"/>
  <c r="S262" i="10"/>
  <c r="S264" i="10"/>
  <c r="S260" i="10"/>
  <c r="S261" i="10"/>
  <c r="S266" i="10"/>
  <c r="S267" i="10"/>
  <c r="S259" i="10"/>
  <c r="R122" i="10"/>
  <c r="R48" i="10" s="1"/>
  <c r="R116" i="10"/>
  <c r="R124" i="10"/>
  <c r="R112" i="10"/>
  <c r="R111" i="10"/>
  <c r="R120" i="10"/>
  <c r="R121" i="10" s="1"/>
  <c r="R125" i="10"/>
  <c r="R113" i="10"/>
  <c r="R137" i="10"/>
  <c r="R117" i="10"/>
  <c r="R136" i="10"/>
  <c r="R114" i="10"/>
  <c r="Q238" i="10"/>
  <c r="Q226" i="10"/>
  <c r="Q219" i="10"/>
  <c r="Q214" i="10"/>
  <c r="Q216" i="10"/>
  <c r="Q180" i="10" s="1"/>
  <c r="Q224" i="10"/>
  <c r="Q218" i="10"/>
  <c r="Q239" i="10"/>
  <c r="Q227" i="10"/>
  <c r="S245" i="10"/>
  <c r="S249" i="10"/>
  <c r="S244" i="10"/>
  <c r="S254" i="10"/>
  <c r="S243" i="10"/>
  <c r="S248" i="10"/>
  <c r="S251" i="10"/>
  <c r="S253" i="10"/>
  <c r="S247" i="10"/>
  <c r="S252" i="10"/>
  <c r="S124" i="10"/>
  <c r="S112" i="10"/>
  <c r="S122" i="10"/>
  <c r="S48" i="10" s="1"/>
  <c r="S111" i="10"/>
  <c r="S120" i="10"/>
  <c r="S121" i="10" s="1"/>
  <c r="S125" i="10"/>
  <c r="S113" i="10"/>
  <c r="S116" i="10"/>
  <c r="S137" i="10"/>
  <c r="S117" i="10"/>
  <c r="S114" i="10"/>
  <c r="S136" i="10"/>
  <c r="Q269" i="10"/>
  <c r="Q263" i="10"/>
  <c r="Q268" i="10"/>
  <c r="Q266" i="10"/>
  <c r="Q260" i="10"/>
  <c r="Q264" i="10"/>
  <c r="Q261" i="10"/>
  <c r="Q262" i="10"/>
  <c r="Q267" i="10"/>
  <c r="Q164" i="10"/>
  <c r="Q165" i="10"/>
  <c r="Q162" i="10"/>
  <c r="Q160" i="10"/>
  <c r="Q167" i="10"/>
  <c r="Q161" i="10"/>
  <c r="Q159" i="10"/>
  <c r="Q158" i="10"/>
  <c r="Q166" i="10"/>
  <c r="R54" i="10"/>
  <c r="H71" i="10"/>
  <c r="I71" i="10" s="1"/>
  <c r="J72" i="10" s="1"/>
  <c r="I17" i="10"/>
  <c r="Y41" i="12" s="1"/>
  <c r="H174" i="10"/>
  <c r="I174" i="10" s="1"/>
  <c r="Q251" i="10"/>
  <c r="Q245" i="10"/>
  <c r="Q249" i="10"/>
  <c r="Q253" i="10"/>
  <c r="Q247" i="10"/>
  <c r="Q254" i="10"/>
  <c r="Q248" i="10"/>
  <c r="Q252" i="10"/>
  <c r="R152" i="10"/>
  <c r="R146" i="10"/>
  <c r="R151" i="10"/>
  <c r="R150" i="10"/>
  <c r="R141" i="10"/>
  <c r="R142" i="10"/>
  <c r="R145" i="10"/>
  <c r="R147" i="10"/>
  <c r="R143" i="10"/>
  <c r="R149" i="10"/>
  <c r="S152" i="10"/>
  <c r="S141" i="10"/>
  <c r="S151" i="10"/>
  <c r="S145" i="10"/>
  <c r="S150" i="10"/>
  <c r="S142" i="10"/>
  <c r="S143" i="10"/>
  <c r="S147" i="10"/>
  <c r="S149" i="10"/>
  <c r="S146" i="10"/>
  <c r="R158" i="10"/>
  <c r="R164" i="10"/>
  <c r="R162" i="10"/>
  <c r="R161" i="10"/>
  <c r="R167" i="10"/>
  <c r="R156" i="10"/>
  <c r="R157" i="10"/>
  <c r="R165" i="10"/>
  <c r="R166" i="10"/>
  <c r="R159" i="10"/>
  <c r="R160" i="10"/>
  <c r="S54" i="10"/>
  <c r="R226" i="10"/>
  <c r="R219" i="10"/>
  <c r="R214" i="10"/>
  <c r="R216" i="10"/>
  <c r="R180" i="10" s="1"/>
  <c r="R224" i="10"/>
  <c r="R218" i="10"/>
  <c r="R222" i="10"/>
  <c r="R213" i="10"/>
  <c r="R239" i="10"/>
  <c r="R215" i="10"/>
  <c r="R238" i="10"/>
  <c r="R223" i="10"/>
  <c r="R227" i="10"/>
  <c r="S213" i="10"/>
  <c r="S224" i="10"/>
  <c r="S218" i="10"/>
  <c r="S219" i="10"/>
  <c r="S222" i="10"/>
  <c r="S239" i="10"/>
  <c r="S215" i="10"/>
  <c r="S226" i="10"/>
  <c r="S238" i="10"/>
  <c r="S223" i="10"/>
  <c r="S227" i="10"/>
  <c r="S214" i="10"/>
  <c r="S216" i="10"/>
  <c r="S180" i="10" s="1"/>
  <c r="Q124" i="10"/>
  <c r="Q112" i="10"/>
  <c r="Q122" i="10"/>
  <c r="Q48" i="10" s="1"/>
  <c r="Q136" i="10"/>
  <c r="Q125" i="10"/>
  <c r="Q116" i="10"/>
  <c r="Q137" i="10"/>
  <c r="Q114" i="10"/>
  <c r="Q117" i="10"/>
  <c r="Q77" i="10" l="1"/>
  <c r="Q27" i="10"/>
  <c r="S202" i="10"/>
  <c r="S100" i="10"/>
  <c r="J175" i="10"/>
  <c r="J174" i="10"/>
  <c r="S77" i="10"/>
  <c r="S27" i="10"/>
  <c r="R202" i="10"/>
  <c r="R100" i="10"/>
  <c r="Q202" i="10"/>
  <c r="Q100" i="10"/>
  <c r="R77" i="10"/>
  <c r="R27" i="10"/>
  <c r="V73" i="9" l="1"/>
  <c r="Q77" i="9"/>
  <c r="I33" i="1"/>
  <c r="G33" i="13" s="1"/>
  <c r="C35" i="13"/>
  <c r="L6" i="14"/>
  <c r="F20" i="8" s="1"/>
  <c r="K15" i="7"/>
  <c r="K26" i="7" s="1"/>
  <c r="M15" i="7"/>
  <c r="M26" i="7" s="1"/>
  <c r="O15" i="7"/>
  <c r="O26" i="7" s="1"/>
  <c r="Q15" i="7"/>
  <c r="Q26" i="7" s="1"/>
  <c r="S15" i="7"/>
  <c r="S26" i="7" s="1"/>
  <c r="U15" i="7"/>
  <c r="U26" i="7" s="1"/>
  <c r="W15" i="7"/>
  <c r="W26" i="7" s="1"/>
  <c r="Y15" i="7"/>
  <c r="Y26" i="7" s="1"/>
  <c r="AA15" i="7"/>
  <c r="AA26" i="7" s="1"/>
  <c r="F16" i="9"/>
  <c r="G5" i="9"/>
  <c r="E16" i="9"/>
  <c r="C7" i="9"/>
  <c r="E7" i="9" s="1"/>
  <c r="G7" i="9" s="1"/>
  <c r="I7" i="9" s="1"/>
  <c r="K7" i="9" s="1"/>
  <c r="M7" i="9" s="1"/>
  <c r="O7" i="9" s="1"/>
  <c r="Q7" i="9" s="1"/>
  <c r="S7" i="9" s="1"/>
  <c r="U7" i="9" s="1"/>
  <c r="W7" i="9" s="1"/>
  <c r="B49" i="9"/>
  <c r="B50" i="9"/>
  <c r="B44" i="9"/>
  <c r="B22" i="9"/>
  <c r="B24" i="9"/>
  <c r="B25" i="9"/>
  <c r="B30" i="9"/>
  <c r="B31" i="9"/>
  <c r="B33" i="9"/>
  <c r="B41" i="9"/>
  <c r="B42" i="9"/>
  <c r="B16" i="9"/>
  <c r="B21" i="22"/>
  <c r="B5" i="22"/>
  <c r="L71" i="7"/>
  <c r="N71" i="7"/>
  <c r="P71" i="7"/>
  <c r="R71" i="7"/>
  <c r="T71" i="7"/>
  <c r="V71" i="7"/>
  <c r="X71" i="7"/>
  <c r="Z71" i="7"/>
  <c r="AB71" i="7"/>
  <c r="J71" i="7"/>
  <c r="E46" i="9" s="1"/>
  <c r="L61" i="7"/>
  <c r="N61" i="7"/>
  <c r="P61" i="7"/>
  <c r="R61" i="7"/>
  <c r="T61" i="7"/>
  <c r="V61" i="7"/>
  <c r="X61" i="7"/>
  <c r="Z61" i="7"/>
  <c r="AB61" i="7"/>
  <c r="J61" i="7"/>
  <c r="E39" i="9" s="1"/>
  <c r="G66" i="9" l="1"/>
  <c r="J8" i="1"/>
  <c r="G8" i="13" s="1"/>
  <c r="Q32" i="14"/>
  <c r="S32" i="14" s="1"/>
  <c r="Q44" i="14"/>
  <c r="S44" i="14" s="1"/>
  <c r="Q56" i="14"/>
  <c r="S56" i="14" s="1"/>
  <c r="Q33" i="14"/>
  <c r="S33" i="14" s="1"/>
  <c r="Q45" i="14"/>
  <c r="S45" i="14" s="1"/>
  <c r="Q57" i="14"/>
  <c r="S57" i="14" s="1"/>
  <c r="Q47" i="14"/>
  <c r="S47" i="14" s="1"/>
  <c r="Q34" i="14"/>
  <c r="S34" i="14" s="1"/>
  <c r="Q46" i="14"/>
  <c r="S46" i="14" s="1"/>
  <c r="Q58" i="14"/>
  <c r="S58" i="14" s="1"/>
  <c r="Q35" i="14"/>
  <c r="S35" i="14" s="1"/>
  <c r="Q59" i="14"/>
  <c r="S59" i="14" s="1"/>
  <c r="Q36" i="14"/>
  <c r="S36" i="14" s="1"/>
  <c r="Q48" i="14"/>
  <c r="S48" i="14" s="1"/>
  <c r="Q37" i="14"/>
  <c r="S37" i="14" s="1"/>
  <c r="Q49" i="14"/>
  <c r="S49" i="14" s="1"/>
  <c r="Q38" i="14"/>
  <c r="S38" i="14" s="1"/>
  <c r="Q50" i="14"/>
  <c r="S50" i="14" s="1"/>
  <c r="Q39" i="14"/>
  <c r="S39" i="14" s="1"/>
  <c r="Q51" i="14"/>
  <c r="S51" i="14" s="1"/>
  <c r="Q40" i="14"/>
  <c r="S40" i="14" s="1"/>
  <c r="Q52" i="14"/>
  <c r="S52" i="14" s="1"/>
  <c r="Q41" i="14"/>
  <c r="S41" i="14" s="1"/>
  <c r="Q53" i="14"/>
  <c r="S53" i="14" s="1"/>
  <c r="Q30" i="14"/>
  <c r="Q42" i="14"/>
  <c r="S42" i="14" s="1"/>
  <c r="Q54" i="14"/>
  <c r="S54" i="14" s="1"/>
  <c r="P30" i="14"/>
  <c r="P42" i="14"/>
  <c r="P54" i="14"/>
  <c r="Q31" i="14"/>
  <c r="S31" i="14" s="1"/>
  <c r="Q43" i="14"/>
  <c r="S43" i="14" s="1"/>
  <c r="Q55" i="14"/>
  <c r="S55" i="14" s="1"/>
  <c r="F8" i="8"/>
  <c r="F10" i="8" s="1"/>
  <c r="AH6" i="11"/>
  <c r="AH8" i="11" s="1"/>
  <c r="AH10" i="11" s="1"/>
  <c r="J11" i="1"/>
  <c r="G11" i="13" s="1"/>
  <c r="G63" i="9" a="1"/>
  <c r="G63" i="9" s="1"/>
  <c r="G64" i="9" a="1"/>
  <c r="G64" i="9" s="1"/>
  <c r="F57" i="10"/>
  <c r="I35" i="1"/>
  <c r="G35" i="13" s="1"/>
  <c r="G39" i="9"/>
  <c r="I5" i="9"/>
  <c r="G46" i="9"/>
  <c r="G16" i="9"/>
  <c r="H16" i="9"/>
  <c r="I66" i="9" l="1"/>
  <c r="AH16" i="11"/>
  <c r="O5" i="14" a="1"/>
  <c r="O5" i="14" s="1"/>
  <c r="O10" i="14" a="1"/>
  <c r="O10" i="14" s="1"/>
  <c r="O9" i="14" a="1"/>
  <c r="O9" i="14" s="1"/>
  <c r="O12" i="14" a="1"/>
  <c r="O12" i="14" s="1"/>
  <c r="O8" i="14" a="1"/>
  <c r="O8" i="14" s="1"/>
  <c r="O14" i="14" a="1"/>
  <c r="O14" i="14" s="1"/>
  <c r="O6" i="14" a="1"/>
  <c r="O6" i="14" s="1"/>
  <c r="O7" i="14" a="1"/>
  <c r="O7" i="14" s="1"/>
  <c r="O13" i="14" a="1"/>
  <c r="O13" i="14" s="1"/>
  <c r="O11" i="14" a="1"/>
  <c r="O11" i="14" s="1"/>
  <c r="S30" i="14"/>
  <c r="P8" i="14" a="1"/>
  <c r="P8" i="14" s="1"/>
  <c r="P14" i="14" a="1"/>
  <c r="P14" i="14" s="1"/>
  <c r="P7" i="14" a="1"/>
  <c r="P7" i="14" s="1"/>
  <c r="P6" i="14" a="1"/>
  <c r="P6" i="14" s="1"/>
  <c r="P13" i="14" a="1"/>
  <c r="P13" i="14" s="1"/>
  <c r="P12" i="14" a="1"/>
  <c r="P12" i="14" s="1"/>
  <c r="P9" i="14" a="1"/>
  <c r="P9" i="14" s="1"/>
  <c r="P11" i="14" a="1"/>
  <c r="P11" i="14" s="1"/>
  <c r="P10" i="14" a="1"/>
  <c r="P10" i="14" s="1"/>
  <c r="P5" i="14" a="1"/>
  <c r="P5" i="14" s="1"/>
  <c r="F34" i="10"/>
  <c r="F47" i="10"/>
  <c r="F204" i="10"/>
  <c r="F205" i="10"/>
  <c r="F102" i="10"/>
  <c r="F103" i="10"/>
  <c r="D31" i="1"/>
  <c r="C31" i="13" s="1"/>
  <c r="AH11" i="11"/>
  <c r="AH17" i="11"/>
  <c r="I34" i="1"/>
  <c r="G34" i="13" s="1"/>
  <c r="I63" i="9" a="1"/>
  <c r="I63" i="9" s="1"/>
  <c r="I64" i="9" a="1"/>
  <c r="I64" i="9" s="1"/>
  <c r="K5" i="9"/>
  <c r="I16" i="9"/>
  <c r="I46" i="9"/>
  <c r="I39" i="9"/>
  <c r="J16" i="9"/>
  <c r="K66" i="9" l="1"/>
  <c r="R11" i="14" a="1"/>
  <c r="R11" i="14" s="1"/>
  <c r="AE27" i="11" s="1"/>
  <c r="R6" i="14" a="1"/>
  <c r="R6" i="14" s="1"/>
  <c r="R9" i="14" a="1"/>
  <c r="R9" i="14" s="1"/>
  <c r="AE25" i="11" s="1"/>
  <c r="R10" i="14" a="1"/>
  <c r="R10" i="14" s="1"/>
  <c r="AE26" i="11" s="1"/>
  <c r="R12" i="14" a="1"/>
  <c r="R12" i="14" s="1"/>
  <c r="AE28" i="11" s="1"/>
  <c r="R13" i="14" a="1"/>
  <c r="R13" i="14" s="1"/>
  <c r="AE29" i="11" s="1"/>
  <c r="R14" i="14" a="1"/>
  <c r="R14" i="14" s="1"/>
  <c r="AE30" i="11" s="1"/>
  <c r="R7" i="14" a="1"/>
  <c r="R7" i="14" s="1"/>
  <c r="R5" i="14" a="1"/>
  <c r="R5" i="14" s="1"/>
  <c r="R8" i="14" a="1"/>
  <c r="R8" i="14" s="1"/>
  <c r="AE24" i="11" s="1"/>
  <c r="P15" i="14"/>
  <c r="O15" i="14"/>
  <c r="F195" i="10"/>
  <c r="F93" i="10"/>
  <c r="K63" i="9" a="1"/>
  <c r="K63" i="9" s="1"/>
  <c r="K64" i="9" a="1"/>
  <c r="K64" i="9" s="1"/>
  <c r="M5" i="9"/>
  <c r="K46" i="9"/>
  <c r="K39" i="9"/>
  <c r="L16" i="9"/>
  <c r="K16" i="9"/>
  <c r="M66" i="9" l="1"/>
  <c r="K60" i="9" a="1"/>
  <c r="K60" i="9" s="1"/>
  <c r="AE23" i="11"/>
  <c r="I60" i="9" a="1"/>
  <c r="I60" i="9" s="1"/>
  <c r="E60" i="9" a="1"/>
  <c r="E60" i="9" s="1"/>
  <c r="T5" i="14"/>
  <c r="R15" i="14"/>
  <c r="AE21" i="11"/>
  <c r="AE22" i="11"/>
  <c r="G60" i="9" a="1"/>
  <c r="G60" i="9" s="1"/>
  <c r="M60" i="9" a="1"/>
  <c r="M60" i="9" s="1"/>
  <c r="M64" i="9" a="1"/>
  <c r="M64" i="9" s="1"/>
  <c r="O5" i="9"/>
  <c r="M46" i="9"/>
  <c r="M39" i="9"/>
  <c r="N16" i="9"/>
  <c r="M16" i="9"/>
  <c r="M62" i="9" l="1"/>
  <c r="K59" i="10" s="1"/>
  <c r="O66" i="9"/>
  <c r="E62" i="9"/>
  <c r="G59" i="10" s="1"/>
  <c r="K62" i="9"/>
  <c r="J59" i="10" s="1"/>
  <c r="I62" i="9"/>
  <c r="I59" i="10" s="1"/>
  <c r="G62" i="9"/>
  <c r="H59" i="10" s="1"/>
  <c r="T6" i="14"/>
  <c r="U5" i="14"/>
  <c r="AG21" i="11"/>
  <c r="O60" i="9" a="1"/>
  <c r="O60" i="9" s="1"/>
  <c r="O64" i="9" a="1"/>
  <c r="O64" i="9" s="1"/>
  <c r="O63" i="9" a="1"/>
  <c r="O63" i="9" s="1"/>
  <c r="O39" i="9"/>
  <c r="P16" i="9"/>
  <c r="O16" i="9"/>
  <c r="O46" i="9"/>
  <c r="Q5" i="9"/>
  <c r="Q66" i="9" l="1"/>
  <c r="O62" i="9"/>
  <c r="L59" i="10" s="1"/>
  <c r="T7" i="14"/>
  <c r="U6" i="14"/>
  <c r="T19" i="14" a="1"/>
  <c r="T19" i="14" s="1"/>
  <c r="AH21" i="11"/>
  <c r="E69" i="9" s="1" a="1"/>
  <c r="E69" i="9" s="1"/>
  <c r="V5" i="14"/>
  <c r="T28" i="14" a="1"/>
  <c r="T28" i="14" s="1"/>
  <c r="AG43" i="11" s="1"/>
  <c r="T27" i="14" a="1"/>
  <c r="T27" i="14" s="1"/>
  <c r="AG42" i="11" s="1"/>
  <c r="T24" i="14" a="1"/>
  <c r="T24" i="14" s="1"/>
  <c r="AG39" i="11" s="1"/>
  <c r="T20" i="14" a="1"/>
  <c r="T20" i="14" s="1"/>
  <c r="AG35" i="11" s="1"/>
  <c r="T25" i="14" a="1"/>
  <c r="T25" i="14" s="1"/>
  <c r="AG40" i="11" s="1"/>
  <c r="T22" i="14" a="1"/>
  <c r="T22" i="14" s="1"/>
  <c r="AG37" i="11" s="1"/>
  <c r="T21" i="14" a="1"/>
  <c r="T21" i="14" s="1"/>
  <c r="AG36" i="11" s="1"/>
  <c r="T23" i="14" a="1"/>
  <c r="T23" i="14" s="1"/>
  <c r="AG38" i="11" s="1"/>
  <c r="T26" i="14" a="1"/>
  <c r="T26" i="14" s="1"/>
  <c r="AG41" i="11" s="1"/>
  <c r="T30" i="14" a="1"/>
  <c r="T30" i="14" s="1"/>
  <c r="AG45" i="11" s="1"/>
  <c r="T29" i="14" a="1"/>
  <c r="T29" i="14" s="1"/>
  <c r="AG44" i="11" s="1"/>
  <c r="Q60" i="9" a="1"/>
  <c r="Q60" i="9" s="1"/>
  <c r="Q62" i="9" s="1"/>
  <c r="Q64" i="9" a="1"/>
  <c r="Q64" i="9" s="1"/>
  <c r="Q63" i="9" a="1"/>
  <c r="Q63" i="9" s="1"/>
  <c r="S5" i="9"/>
  <c r="R16" i="9"/>
  <c r="Q46" i="9"/>
  <c r="Q16" i="9"/>
  <c r="Q39" i="9"/>
  <c r="S66" i="9" l="1"/>
  <c r="M59" i="10"/>
  <c r="AI21" i="11"/>
  <c r="Z5" i="14"/>
  <c r="T8" i="14"/>
  <c r="U7" i="14"/>
  <c r="V19" i="14"/>
  <c r="AG34" i="11"/>
  <c r="S60" i="9" a="1"/>
  <c r="S60" i="9" s="1"/>
  <c r="S62" i="9" s="1"/>
  <c r="S63" i="9" a="1"/>
  <c r="S63" i="9" s="1"/>
  <c r="S64" i="9" a="1"/>
  <c r="S64" i="9" s="1"/>
  <c r="U5" i="9"/>
  <c r="S39" i="9"/>
  <c r="T16" i="9"/>
  <c r="S16" i="9"/>
  <c r="S46" i="9"/>
  <c r="U66" i="9" l="1"/>
  <c r="N59" i="10"/>
  <c r="X19" i="14"/>
  <c r="AJ34" i="11" s="1"/>
  <c r="W19" i="14"/>
  <c r="T9" i="14"/>
  <c r="U9" i="14" s="1"/>
  <c r="U8" i="14"/>
  <c r="AH34" i="11"/>
  <c r="U60" i="9" a="1"/>
  <c r="U60" i="9" s="1"/>
  <c r="U62" i="9" s="1"/>
  <c r="U63" i="9" a="1"/>
  <c r="U63" i="9" s="1"/>
  <c r="U64" i="9" a="1"/>
  <c r="U64" i="9" s="1"/>
  <c r="W5" i="9"/>
  <c r="U39" i="9"/>
  <c r="V16" i="9"/>
  <c r="U16" i="9"/>
  <c r="U46" i="9"/>
  <c r="W66" i="9" l="1"/>
  <c r="O59" i="10"/>
  <c r="T10" i="14"/>
  <c r="AI34" i="11"/>
  <c r="Y19" i="14"/>
  <c r="Z19" i="14" s="1"/>
  <c r="W60" i="9" a="1"/>
  <c r="W60" i="9" s="1"/>
  <c r="W62" i="9" s="1"/>
  <c r="P59" i="10" s="1"/>
  <c r="J18" i="8"/>
  <c r="J19" i="8"/>
  <c r="W64" i="9" a="1"/>
  <c r="W64" i="9" s="1"/>
  <c r="W46" i="9"/>
  <c r="W39" i="9"/>
  <c r="X16" i="9"/>
  <c r="W16" i="9"/>
  <c r="T11" i="14" l="1"/>
  <c r="U11" i="14" s="1"/>
  <c r="U10" i="14"/>
  <c r="T12" i="14"/>
  <c r="AK34" i="11"/>
  <c r="M7" i="3"/>
  <c r="F4" i="7"/>
  <c r="G17" i="7" s="1"/>
  <c r="G4" i="7"/>
  <c r="H17" i="7" s="1"/>
  <c r="H4" i="7"/>
  <c r="I4" i="7"/>
  <c r="C67" i="14"/>
  <c r="J5" i="18"/>
  <c r="G19" i="18"/>
  <c r="G20" i="18" s="1"/>
  <c r="G14" i="18"/>
  <c r="G13" i="18"/>
  <c r="BC15" i="5"/>
  <c r="M33" i="22" s="1"/>
  <c r="BC14" i="5"/>
  <c r="M32" i="22" s="1"/>
  <c r="BC13" i="5"/>
  <c r="M31" i="22" s="1"/>
  <c r="BC12" i="5"/>
  <c r="M30" i="22" s="1"/>
  <c r="BC11" i="5"/>
  <c r="M29" i="22" s="1"/>
  <c r="BC10" i="5"/>
  <c r="M28" i="22" s="1"/>
  <c r="BC9" i="5"/>
  <c r="M27" i="22" s="1"/>
  <c r="BC8" i="5"/>
  <c r="M26" i="22" s="1"/>
  <c r="BC7" i="5"/>
  <c r="M25" i="22" s="1"/>
  <c r="BB15" i="5"/>
  <c r="L33" i="22" s="1"/>
  <c r="BB14" i="5"/>
  <c r="L32" i="22" s="1"/>
  <c r="BB13" i="5"/>
  <c r="L31" i="22" s="1"/>
  <c r="BB12" i="5"/>
  <c r="L30" i="22" s="1"/>
  <c r="BB11" i="5"/>
  <c r="L29" i="22" s="1"/>
  <c r="BB10" i="5"/>
  <c r="L28" i="22" s="1"/>
  <c r="BB9" i="5"/>
  <c r="L27" i="22" s="1"/>
  <c r="BB8" i="5"/>
  <c r="L26" i="22" s="1"/>
  <c r="BB7" i="5"/>
  <c r="L25" i="22" s="1"/>
  <c r="BA15" i="5"/>
  <c r="I33" i="22" s="1"/>
  <c r="BA14" i="5"/>
  <c r="I32" i="22" s="1"/>
  <c r="BA13" i="5"/>
  <c r="I31" i="22" s="1"/>
  <c r="BA12" i="5"/>
  <c r="I30" i="22" s="1"/>
  <c r="BA11" i="5"/>
  <c r="I29" i="22" s="1"/>
  <c r="BA10" i="5"/>
  <c r="I28" i="22" s="1"/>
  <c r="BA9" i="5"/>
  <c r="I27" i="22" s="1"/>
  <c r="BA8" i="5"/>
  <c r="I26" i="22" s="1"/>
  <c r="BA7" i="5"/>
  <c r="I25" i="22" s="1"/>
  <c r="AZ15" i="5"/>
  <c r="H33" i="22" s="1"/>
  <c r="AZ14" i="5"/>
  <c r="H32" i="22" s="1"/>
  <c r="AZ13" i="5"/>
  <c r="H31" i="22" s="1"/>
  <c r="AZ12" i="5"/>
  <c r="H30" i="22" s="1"/>
  <c r="AZ11" i="5"/>
  <c r="H29" i="22" s="1"/>
  <c r="AZ10" i="5"/>
  <c r="H28" i="22" s="1"/>
  <c r="AZ9" i="5"/>
  <c r="H27" i="22" s="1"/>
  <c r="AZ8" i="5"/>
  <c r="H26" i="22" s="1"/>
  <c r="AZ7" i="5"/>
  <c r="H25" i="22" s="1"/>
  <c r="AY15" i="5"/>
  <c r="E33" i="22" s="1"/>
  <c r="AY14" i="5"/>
  <c r="E32" i="22" s="1"/>
  <c r="AY13" i="5"/>
  <c r="E31" i="22" s="1"/>
  <c r="AY12" i="5"/>
  <c r="E30" i="22" s="1"/>
  <c r="AY11" i="5"/>
  <c r="E29" i="22" s="1"/>
  <c r="AY10" i="5"/>
  <c r="E28" i="22" s="1"/>
  <c r="AY9" i="5"/>
  <c r="E27" i="22" s="1"/>
  <c r="AY8" i="5"/>
  <c r="E26" i="22" s="1"/>
  <c r="AY7" i="5"/>
  <c r="E25" i="22" s="1"/>
  <c r="AX15" i="5"/>
  <c r="D33" i="22" s="1"/>
  <c r="AX14" i="5"/>
  <c r="D32" i="22" s="1"/>
  <c r="AX13" i="5"/>
  <c r="D31" i="22" s="1"/>
  <c r="AX12" i="5"/>
  <c r="D30" i="22" s="1"/>
  <c r="AX11" i="5"/>
  <c r="D29" i="22" s="1"/>
  <c r="AX10" i="5"/>
  <c r="D28" i="22" s="1"/>
  <c r="AX9" i="5"/>
  <c r="D27" i="22" s="1"/>
  <c r="AX8" i="5"/>
  <c r="D26" i="22" s="1"/>
  <c r="AX7" i="5"/>
  <c r="D25" i="22" s="1"/>
  <c r="BS10" i="5"/>
  <c r="M18" i="22" s="1"/>
  <c r="BS9" i="5"/>
  <c r="M17" i="22" s="1"/>
  <c r="BS8" i="5"/>
  <c r="M16" i="22" s="1"/>
  <c r="BR10" i="5"/>
  <c r="I18" i="22" s="1"/>
  <c r="BR9" i="5"/>
  <c r="I17" i="22" s="1"/>
  <c r="BR8" i="5"/>
  <c r="I16" i="22" s="1"/>
  <c r="BQ10" i="5"/>
  <c r="E18" i="22" s="1"/>
  <c r="BQ9" i="5"/>
  <c r="E17" i="22" s="1"/>
  <c r="BQ8" i="5"/>
  <c r="E16" i="22" s="1"/>
  <c r="BO10" i="5"/>
  <c r="L18" i="22" s="1"/>
  <c r="BO9" i="5"/>
  <c r="L17" i="22" s="1"/>
  <c r="BO8" i="5"/>
  <c r="L16" i="22" s="1"/>
  <c r="BN10" i="5"/>
  <c r="H18" i="22" s="1"/>
  <c r="BN9" i="5"/>
  <c r="H17" i="22" s="1"/>
  <c r="BN8" i="5"/>
  <c r="H16" i="22" s="1"/>
  <c r="BM10" i="5"/>
  <c r="D18" i="22" s="1"/>
  <c r="BM9" i="5"/>
  <c r="D17" i="22" s="1"/>
  <c r="BM8" i="5"/>
  <c r="D16" i="22" s="1"/>
  <c r="BS6" i="5"/>
  <c r="M15" i="22" s="1"/>
  <c r="BS5" i="5"/>
  <c r="M14" i="22" s="1"/>
  <c r="BS4" i="5"/>
  <c r="M13" i="22" s="1"/>
  <c r="BR6" i="5"/>
  <c r="I15" i="22" s="1"/>
  <c r="BR5" i="5"/>
  <c r="I14" i="22" s="1"/>
  <c r="BR4" i="5"/>
  <c r="I13" i="22" s="1"/>
  <c r="BQ6" i="5"/>
  <c r="E15" i="22" s="1"/>
  <c r="BQ5" i="5"/>
  <c r="E14" i="22" s="1"/>
  <c r="BQ4" i="5"/>
  <c r="E13" i="22" s="1"/>
  <c r="BO6" i="5"/>
  <c r="L15" i="22" s="1"/>
  <c r="E25" i="1" s="1"/>
  <c r="C16" i="13" s="1"/>
  <c r="BO5" i="5"/>
  <c r="L14" i="22" s="1"/>
  <c r="BO4" i="5"/>
  <c r="L13" i="22" s="1"/>
  <c r="BN6" i="5"/>
  <c r="H15" i="22" s="1"/>
  <c r="BN5" i="5"/>
  <c r="H14" i="22" s="1"/>
  <c r="BN4" i="5"/>
  <c r="H13" i="22" s="1"/>
  <c r="BM6" i="5"/>
  <c r="D15" i="22" s="1"/>
  <c r="BM5" i="5"/>
  <c r="D14" i="22" s="1"/>
  <c r="BM4" i="5"/>
  <c r="D13" i="22" s="1"/>
  <c r="B33" i="22"/>
  <c r="AW15" i="5" s="1"/>
  <c r="B32" i="22"/>
  <c r="AW14" i="5" s="1"/>
  <c r="B31" i="22"/>
  <c r="AW13" i="5" s="1"/>
  <c r="B30" i="22"/>
  <c r="AW12" i="5" s="1"/>
  <c r="B29" i="22"/>
  <c r="AW11" i="5" s="1"/>
  <c r="B28" i="22"/>
  <c r="AW10" i="5" s="1"/>
  <c r="B18" i="22"/>
  <c r="B17" i="22"/>
  <c r="B16" i="22"/>
  <c r="B15" i="22"/>
  <c r="B14" i="22"/>
  <c r="B13" i="22"/>
  <c r="B27" i="22"/>
  <c r="AW9" i="5" s="1"/>
  <c r="B10" i="22"/>
  <c r="B9" i="22" s="1"/>
  <c r="B11" i="22"/>
  <c r="B12" i="22"/>
  <c r="BG7" i="5"/>
  <c r="D11" i="22" s="1"/>
  <c r="BH7" i="5"/>
  <c r="E11" i="22" s="1"/>
  <c r="BG8" i="5"/>
  <c r="D10" i="22" s="1"/>
  <c r="F6" i="7" s="1"/>
  <c r="BH8" i="5"/>
  <c r="E10" i="22" s="1"/>
  <c r="BH9" i="5"/>
  <c r="E9" i="22" s="1"/>
  <c r="BG9" i="5"/>
  <c r="D9" i="22" s="1"/>
  <c r="BH6" i="5"/>
  <c r="E12" i="22" s="1"/>
  <c r="BG6" i="5"/>
  <c r="D12" i="22" s="1"/>
  <c r="BF6" i="5"/>
  <c r="BF13" i="5" s="1"/>
  <c r="BL6" i="5" s="1"/>
  <c r="BP6" i="5" s="1"/>
  <c r="BP10" i="5" s="1"/>
  <c r="B4" i="21"/>
  <c r="H8" i="21"/>
  <c r="H9" i="21"/>
  <c r="H10" i="21"/>
  <c r="H11" i="21"/>
  <c r="H12" i="21"/>
  <c r="H13" i="21"/>
  <c r="H14" i="21"/>
  <c r="H15" i="21"/>
  <c r="H16" i="21"/>
  <c r="H17" i="21"/>
  <c r="H18" i="21"/>
  <c r="H7" i="21"/>
  <c r="G8" i="21"/>
  <c r="G9" i="21"/>
  <c r="G10" i="21"/>
  <c r="G11" i="21"/>
  <c r="G12" i="21"/>
  <c r="G13" i="21"/>
  <c r="G14" i="21"/>
  <c r="G15" i="21"/>
  <c r="G16" i="21"/>
  <c r="G17" i="21"/>
  <c r="G18" i="21"/>
  <c r="G7" i="21"/>
  <c r="G19" i="21" s="1"/>
  <c r="F8" i="21"/>
  <c r="F9" i="21"/>
  <c r="F10" i="21"/>
  <c r="F11" i="21"/>
  <c r="F12" i="21"/>
  <c r="F13" i="21"/>
  <c r="F14" i="21"/>
  <c r="F15" i="21"/>
  <c r="F16" i="21"/>
  <c r="F17" i="21"/>
  <c r="F18" i="21"/>
  <c r="F7" i="21"/>
  <c r="E8" i="21"/>
  <c r="E9" i="21"/>
  <c r="E10" i="21"/>
  <c r="E11" i="21"/>
  <c r="E12" i="21"/>
  <c r="E7" i="21"/>
  <c r="D8" i="21"/>
  <c r="D9" i="21"/>
  <c r="D10" i="21"/>
  <c r="D11" i="21"/>
  <c r="D12" i="21"/>
  <c r="D7" i="21"/>
  <c r="C8" i="21"/>
  <c r="C9" i="21"/>
  <c r="C10" i="21"/>
  <c r="C11" i="21"/>
  <c r="C12" i="21"/>
  <c r="C13" i="21"/>
  <c r="C14" i="21"/>
  <c r="C15" i="21"/>
  <c r="C16" i="21"/>
  <c r="C17" i="21"/>
  <c r="C18" i="21"/>
  <c r="C7" i="21"/>
  <c r="B9" i="21"/>
  <c r="B10" i="21" s="1"/>
  <c r="B11" i="21" s="1"/>
  <c r="B12" i="21" s="1"/>
  <c r="B13" i="21" s="1"/>
  <c r="B14" i="21" s="1"/>
  <c r="B15" i="21" s="1"/>
  <c r="B16" i="21" s="1"/>
  <c r="B17" i="21" s="1"/>
  <c r="B18" i="21" s="1"/>
  <c r="BH23" i="5"/>
  <c r="M9" i="22" s="1"/>
  <c r="BH22" i="5"/>
  <c r="M10" i="22" s="1"/>
  <c r="BH21" i="5"/>
  <c r="M11" i="22" s="1"/>
  <c r="BH20" i="5"/>
  <c r="M12" i="22" s="1"/>
  <c r="BG23" i="5"/>
  <c r="L9" i="22" s="1"/>
  <c r="BG22" i="5"/>
  <c r="BG29" i="5" s="1"/>
  <c r="BG21" i="5"/>
  <c r="BG28" i="5" s="1"/>
  <c r="BG20" i="5"/>
  <c r="L12" i="22" s="1"/>
  <c r="BH16" i="5"/>
  <c r="I9" i="22" s="1"/>
  <c r="BH15" i="5"/>
  <c r="I10" i="22" s="1"/>
  <c r="BH14" i="5"/>
  <c r="I11" i="22" s="1"/>
  <c r="BH13" i="5"/>
  <c r="I12" i="22" s="1"/>
  <c r="BG16" i="5"/>
  <c r="H9" i="22" s="1"/>
  <c r="BG15" i="5"/>
  <c r="H10" i="22" s="1"/>
  <c r="F9" i="7" s="1"/>
  <c r="BG14" i="5"/>
  <c r="H11" i="22" s="1"/>
  <c r="BG13" i="5"/>
  <c r="H12" i="22" s="1"/>
  <c r="H9" i="7" s="1"/>
  <c r="BF8" i="5"/>
  <c r="BL4" i="5" s="1"/>
  <c r="BF7" i="5"/>
  <c r="BF28" i="5" s="1"/>
  <c r="I30" i="8"/>
  <c r="I31" i="8"/>
  <c r="I32" i="8"/>
  <c r="I33" i="8"/>
  <c r="I34" i="8"/>
  <c r="I35" i="8"/>
  <c r="I36" i="8"/>
  <c r="I37" i="8"/>
  <c r="I38" i="8"/>
  <c r="I39" i="8"/>
  <c r="I40" i="8"/>
  <c r="I29" i="8"/>
  <c r="R45" i="3"/>
  <c r="V9" i="2"/>
  <c r="V10" i="2"/>
  <c r="V11" i="2"/>
  <c r="V8" i="2"/>
  <c r="M43" i="3"/>
  <c r="O43" i="3"/>
  <c r="Q43" i="3"/>
  <c r="T13" i="14" l="1"/>
  <c r="U12" i="14"/>
  <c r="U20" i="14"/>
  <c r="AL34" i="11"/>
  <c r="N16" i="22"/>
  <c r="BF14" i="5"/>
  <c r="BL5" i="5" s="1"/>
  <c r="BP5" i="5" s="1"/>
  <c r="BP9" i="5" s="1"/>
  <c r="BF20" i="5"/>
  <c r="I9" i="7"/>
  <c r="J9" i="7" s="1"/>
  <c r="E11" i="9" s="1"/>
  <c r="E23" i="1"/>
  <c r="C14" i="13" s="1"/>
  <c r="F16" i="22"/>
  <c r="J11" i="22"/>
  <c r="N9" i="22"/>
  <c r="BG30" i="5"/>
  <c r="BF21" i="5"/>
  <c r="I6" i="7"/>
  <c r="E24" i="1"/>
  <c r="C15" i="13" s="1"/>
  <c r="F9" i="22"/>
  <c r="BF27" i="5"/>
  <c r="BF29" i="5"/>
  <c r="BF9" i="5"/>
  <c r="BF16" i="5" s="1"/>
  <c r="BF15" i="5"/>
  <c r="F12" i="22"/>
  <c r="J17" i="22"/>
  <c r="J12" i="22"/>
  <c r="F10" i="22"/>
  <c r="F15" i="22"/>
  <c r="BF22" i="5"/>
  <c r="G20" i="21"/>
  <c r="BG27" i="5"/>
  <c r="L10" i="22"/>
  <c r="N10" i="22" s="1"/>
  <c r="F17" i="22"/>
  <c r="BP4" i="5"/>
  <c r="BP8" i="5" s="1"/>
  <c r="BL8" i="5"/>
  <c r="J13" i="22"/>
  <c r="F11" i="22"/>
  <c r="G22" i="18"/>
  <c r="G21" i="18" s="1"/>
  <c r="G6" i="7"/>
  <c r="G7" i="7" s="1"/>
  <c r="J15" i="22"/>
  <c r="G23" i="18"/>
  <c r="G9" i="7"/>
  <c r="N15" i="22"/>
  <c r="N13" i="22"/>
  <c r="J22" i="18"/>
  <c r="J21" i="18" s="1"/>
  <c r="C10" i="9"/>
  <c r="H6" i="7"/>
  <c r="H12" i="7" s="1"/>
  <c r="F18" i="22"/>
  <c r="F13" i="22"/>
  <c r="B26" i="22"/>
  <c r="L11" i="22"/>
  <c r="G24" i="18" s="1"/>
  <c r="J24" i="18"/>
  <c r="C12" i="9"/>
  <c r="BL10" i="5"/>
  <c r="J23" i="18"/>
  <c r="C11" i="9"/>
  <c r="M5" i="18"/>
  <c r="J3" i="7"/>
  <c r="C5" i="9"/>
  <c r="E4" i="9" s="1"/>
  <c r="I17" i="7"/>
  <c r="F12" i="7"/>
  <c r="G5" i="18"/>
  <c r="J48" i="18"/>
  <c r="J9" i="22"/>
  <c r="J10" i="22"/>
  <c r="J16" i="22"/>
  <c r="F14" i="22"/>
  <c r="N17" i="22"/>
  <c r="N12" i="22"/>
  <c r="J14" i="22"/>
  <c r="N18" i="22"/>
  <c r="J18" i="22"/>
  <c r="N14" i="22"/>
  <c r="I42" i="8"/>
  <c r="T14" i="14" l="1"/>
  <c r="U14" i="14" s="1"/>
  <c r="U13" i="14"/>
  <c r="V20" i="14"/>
  <c r="AF35" i="11"/>
  <c r="N32" i="22"/>
  <c r="BL9" i="5"/>
  <c r="J27" i="22"/>
  <c r="I12" i="7"/>
  <c r="I15" i="7" s="1"/>
  <c r="BF30" i="5"/>
  <c r="F32" i="22"/>
  <c r="F26" i="22"/>
  <c r="F33" i="22"/>
  <c r="N25" i="22"/>
  <c r="J33" i="22"/>
  <c r="BF23" i="5"/>
  <c r="N30" i="22"/>
  <c r="F25" i="22"/>
  <c r="J6" i="7"/>
  <c r="E10" i="9" s="1"/>
  <c r="F29" i="22"/>
  <c r="J32" i="22"/>
  <c r="I7" i="7"/>
  <c r="J29" i="22"/>
  <c r="J25" i="22"/>
  <c r="L9" i="7"/>
  <c r="G11" i="9" s="1"/>
  <c r="AW8" i="5"/>
  <c r="B25" i="22"/>
  <c r="AW7" i="5" s="1"/>
  <c r="G12" i="7"/>
  <c r="N11" i="22"/>
  <c r="N27" i="22" s="1"/>
  <c r="E8" i="9"/>
  <c r="F54" i="10"/>
  <c r="C16" i="9"/>
  <c r="C8" i="9"/>
  <c r="C9" i="9" s="1"/>
  <c r="L3" i="7"/>
  <c r="N3" i="7" s="1"/>
  <c r="P3" i="7" s="1"/>
  <c r="R3" i="7" s="1"/>
  <c r="T3" i="7" s="1"/>
  <c r="V3" i="7" s="1"/>
  <c r="X3" i="7" s="1"/>
  <c r="Z3" i="7" s="1"/>
  <c r="AB3" i="7" s="1"/>
  <c r="G48" i="18"/>
  <c r="M48" i="18"/>
  <c r="F30" i="22"/>
  <c r="N33" i="22"/>
  <c r="J30" i="22"/>
  <c r="F27" i="22"/>
  <c r="J26" i="22"/>
  <c r="N29" i="22"/>
  <c r="W20" i="14" l="1"/>
  <c r="X20" i="14"/>
  <c r="AJ35" i="11" s="1"/>
  <c r="AH35" i="11"/>
  <c r="J58" i="7"/>
  <c r="J20" i="7"/>
  <c r="N26" i="22"/>
  <c r="F202" i="10"/>
  <c r="F100" i="10"/>
  <c r="G4" i="9"/>
  <c r="G8" i="9" s="1"/>
  <c r="E9" i="9"/>
  <c r="AI35" i="11" l="1"/>
  <c r="Y20" i="14"/>
  <c r="Z20" i="14" s="1"/>
  <c r="E38" i="9"/>
  <c r="E18" i="9"/>
  <c r="I4" i="9"/>
  <c r="I8" i="9" s="1"/>
  <c r="M20" i="18" s="1"/>
  <c r="AK35" i="11" l="1"/>
  <c r="K4" i="9"/>
  <c r="K8" i="9" s="1"/>
  <c r="L5" i="8"/>
  <c r="F35" i="8"/>
  <c r="U21" i="14" l="1"/>
  <c r="AL35" i="11"/>
  <c r="M4" i="9"/>
  <c r="M8" i="9" s="1"/>
  <c r="G53" i="14"/>
  <c r="G52" i="14"/>
  <c r="G51" i="14"/>
  <c r="G50" i="14"/>
  <c r="G49" i="14"/>
  <c r="G48" i="14"/>
  <c r="G47" i="14"/>
  <c r="G46" i="14"/>
  <c r="G45" i="14"/>
  <c r="G12" i="14"/>
  <c r="G11" i="14"/>
  <c r="G26" i="14"/>
  <c r="G25" i="14"/>
  <c r="G24" i="14"/>
  <c r="G23" i="14"/>
  <c r="G22" i="14"/>
  <c r="G21" i="14"/>
  <c r="G20" i="14"/>
  <c r="G19" i="14"/>
  <c r="G18" i="14"/>
  <c r="G17" i="14"/>
  <c r="G16" i="14"/>
  <c r="G15" i="14"/>
  <c r="G14" i="14"/>
  <c r="G13" i="14"/>
  <c r="V21" i="14" l="1"/>
  <c r="AF36" i="11"/>
  <c r="O4" i="9"/>
  <c r="O8" i="9" s="1"/>
  <c r="E14" i="1"/>
  <c r="C13" i="13" s="1"/>
  <c r="E13" i="1"/>
  <c r="C12" i="13" s="1"/>
  <c r="E12" i="1"/>
  <c r="C11" i="13" s="1"/>
  <c r="E6" i="1"/>
  <c r="J13" i="1"/>
  <c r="G13" i="13" s="1"/>
  <c r="J6" i="1"/>
  <c r="G6" i="13" s="1"/>
  <c r="J5" i="1"/>
  <c r="G5" i="13" s="1"/>
  <c r="E9" i="1" l="1"/>
  <c r="C8" i="13" s="1"/>
  <c r="C5" i="13"/>
  <c r="W21" i="14"/>
  <c r="X21" i="14"/>
  <c r="AJ36" i="11" s="1"/>
  <c r="AH36" i="11"/>
  <c r="Q4" i="9"/>
  <c r="Q8" i="9" s="1"/>
  <c r="W11" i="11"/>
  <c r="W15" i="11"/>
  <c r="X15" i="11" s="1"/>
  <c r="W14" i="11"/>
  <c r="X14" i="11" s="1"/>
  <c r="W13" i="11"/>
  <c r="X13" i="11" s="1"/>
  <c r="X12" i="11"/>
  <c r="X8" i="11"/>
  <c r="I14" i="11"/>
  <c r="I13" i="11"/>
  <c r="C20" i="11" s="1"/>
  <c r="I12" i="11"/>
  <c r="W179" i="2"/>
  <c r="I30" i="1"/>
  <c r="G30" i="13" s="1"/>
  <c r="L42" i="8"/>
  <c r="L41" i="8"/>
  <c r="I41" i="4"/>
  <c r="L7" i="14"/>
  <c r="L8" i="1"/>
  <c r="L7" i="1"/>
  <c r="G64" i="14"/>
  <c r="G63" i="14"/>
  <c r="G62" i="14"/>
  <c r="G61" i="14"/>
  <c r="G60" i="14"/>
  <c r="G59" i="14"/>
  <c r="G58" i="14"/>
  <c r="G57" i="14"/>
  <c r="G56" i="14"/>
  <c r="G55" i="14"/>
  <c r="G54" i="14"/>
  <c r="G44" i="14"/>
  <c r="G43" i="14"/>
  <c r="G42" i="14"/>
  <c r="G41" i="14"/>
  <c r="G40" i="14"/>
  <c r="G39" i="14"/>
  <c r="G35" i="14"/>
  <c r="G34" i="14"/>
  <c r="G33" i="14"/>
  <c r="G32" i="14"/>
  <c r="G31" i="14"/>
  <c r="G30" i="14"/>
  <c r="G29" i="14"/>
  <c r="G28" i="14"/>
  <c r="G27" i="14"/>
  <c r="G10" i="14"/>
  <c r="G9" i="14"/>
  <c r="G8" i="14"/>
  <c r="G7" i="14"/>
  <c r="Q20" i="11"/>
  <c r="AB17" i="11"/>
  <c r="AB16" i="11"/>
  <c r="B19" i="11"/>
  <c r="M16" i="11"/>
  <c r="M15" i="11"/>
  <c r="V74" i="2"/>
  <c r="V73" i="2"/>
  <c r="V72" i="2"/>
  <c r="F48" i="3"/>
  <c r="F36" i="3"/>
  <c r="V33" i="2"/>
  <c r="G29" i="3" s="1"/>
  <c r="V34" i="2"/>
  <c r="G30" i="3" s="1"/>
  <c r="V35" i="2"/>
  <c r="G31" i="3" s="1"/>
  <c r="Q34" i="3" s="1"/>
  <c r="V36" i="2"/>
  <c r="G32" i="3" s="1"/>
  <c r="V37" i="2"/>
  <c r="G33" i="3" s="1"/>
  <c r="V38" i="2"/>
  <c r="G34" i="3" s="1"/>
  <c r="V39" i="2"/>
  <c r="G35" i="3" s="1"/>
  <c r="V41" i="2"/>
  <c r="G37" i="3" s="1"/>
  <c r="V42" i="2"/>
  <c r="G38" i="3" s="1"/>
  <c r="V43" i="2"/>
  <c r="G39" i="3" s="1"/>
  <c r="V44" i="2"/>
  <c r="G40" i="3" s="1"/>
  <c r="V45" i="2"/>
  <c r="G41" i="3" s="1"/>
  <c r="V46" i="2"/>
  <c r="G42" i="3" s="1"/>
  <c r="V47" i="2"/>
  <c r="G43" i="3" s="1"/>
  <c r="Q35" i="3" s="1"/>
  <c r="V48" i="2"/>
  <c r="G44" i="3" s="1"/>
  <c r="V49" i="2"/>
  <c r="G45" i="3" s="1"/>
  <c r="Q40" i="3" s="1"/>
  <c r="H35" i="4" s="1"/>
  <c r="V50" i="2"/>
  <c r="G46" i="3" s="1"/>
  <c r="V51" i="2"/>
  <c r="G47" i="3" s="1"/>
  <c r="Q41" i="3" s="1"/>
  <c r="H36" i="4" s="1"/>
  <c r="V53" i="2"/>
  <c r="G49" i="3" s="1"/>
  <c r="Q42" i="3" s="1"/>
  <c r="H37" i="4" s="1"/>
  <c r="V54" i="2"/>
  <c r="G50" i="3" s="1"/>
  <c r="V55" i="2"/>
  <c r="G51" i="3" s="1"/>
  <c r="V56" i="2"/>
  <c r="G52" i="3" s="1"/>
  <c r="V57" i="2"/>
  <c r="G53" i="3" s="1"/>
  <c r="V58" i="2"/>
  <c r="G54" i="3" s="1"/>
  <c r="V59" i="2"/>
  <c r="G55" i="3" s="1"/>
  <c r="Q39" i="3" s="1"/>
  <c r="H34" i="4" s="1"/>
  <c r="V60" i="2"/>
  <c r="G56" i="3" s="1"/>
  <c r="V61" i="2"/>
  <c r="G57" i="3" s="1"/>
  <c r="V62" i="2"/>
  <c r="G58" i="3" s="1"/>
  <c r="V63" i="2"/>
  <c r="G59" i="3" s="1"/>
  <c r="V64" i="2"/>
  <c r="G60" i="3" s="1"/>
  <c r="V65" i="2"/>
  <c r="G61" i="3" s="1"/>
  <c r="V66" i="2"/>
  <c r="G62" i="3" s="1"/>
  <c r="Q36" i="3" s="1"/>
  <c r="V67" i="2"/>
  <c r="G63" i="3" s="1"/>
  <c r="V68" i="2"/>
  <c r="G64" i="3" s="1"/>
  <c r="V69" i="2"/>
  <c r="G65" i="3" s="1"/>
  <c r="V70" i="2"/>
  <c r="G66" i="3" s="1"/>
  <c r="V71" i="2"/>
  <c r="G67" i="3" s="1"/>
  <c r="V75" i="2"/>
  <c r="V76" i="2"/>
  <c r="V77" i="2"/>
  <c r="V78" i="2"/>
  <c r="V79" i="2"/>
  <c r="V80" i="2"/>
  <c r="V81" i="2"/>
  <c r="V82" i="2"/>
  <c r="V83" i="2"/>
  <c r="V84" i="2"/>
  <c r="V85" i="2"/>
  <c r="V86" i="2"/>
  <c r="V87" i="2"/>
  <c r="V88" i="2"/>
  <c r="V89" i="2"/>
  <c r="V90" i="2"/>
  <c r="V91" i="2"/>
  <c r="V92" i="2"/>
  <c r="V93" i="2"/>
  <c r="V94" i="2"/>
  <c r="V95" i="2"/>
  <c r="V96" i="2"/>
  <c r="V97" i="2"/>
  <c r="V98" i="2"/>
  <c r="V99" i="2"/>
  <c r="V100" i="2"/>
  <c r="V101" i="2"/>
  <c r="V102" i="2"/>
  <c r="V103" i="2"/>
  <c r="V104" i="2"/>
  <c r="V105" i="2"/>
  <c r="V106" i="2"/>
  <c r="V107" i="2"/>
  <c r="V108" i="2"/>
  <c r="V109" i="2"/>
  <c r="V110" i="2"/>
  <c r="V111" i="2"/>
  <c r="V112" i="2"/>
  <c r="V113" i="2"/>
  <c r="V114" i="2"/>
  <c r="V115" i="2"/>
  <c r="V116" i="2"/>
  <c r="V117" i="2"/>
  <c r="V118" i="2"/>
  <c r="V119" i="2"/>
  <c r="V120" i="2"/>
  <c r="V121" i="2"/>
  <c r="V122" i="2"/>
  <c r="V123" i="2"/>
  <c r="V124" i="2"/>
  <c r="V125" i="2"/>
  <c r="V126" i="2"/>
  <c r="V127" i="2"/>
  <c r="V128" i="2"/>
  <c r="V129" i="2"/>
  <c r="V130" i="2"/>
  <c r="V131" i="2"/>
  <c r="V132" i="2"/>
  <c r="V133" i="2"/>
  <c r="V134" i="2"/>
  <c r="V135" i="2"/>
  <c r="V136" i="2"/>
  <c r="V137" i="2"/>
  <c r="V138" i="2"/>
  <c r="V139" i="2"/>
  <c r="V140" i="2"/>
  <c r="V141" i="2"/>
  <c r="V142" i="2"/>
  <c r="V143" i="2"/>
  <c r="V144" i="2"/>
  <c r="V145" i="2"/>
  <c r="V146" i="2"/>
  <c r="V147" i="2"/>
  <c r="V148" i="2"/>
  <c r="V149" i="2"/>
  <c r="V150" i="2"/>
  <c r="V151" i="2"/>
  <c r="V152" i="2"/>
  <c r="V153" i="2"/>
  <c r="V154" i="2"/>
  <c r="V155" i="2"/>
  <c r="V156" i="2"/>
  <c r="V157" i="2"/>
  <c r="V158" i="2"/>
  <c r="V159" i="2"/>
  <c r="V160" i="2"/>
  <c r="V161" i="2"/>
  <c r="V162" i="2"/>
  <c r="V163" i="2"/>
  <c r="V164" i="2"/>
  <c r="V165" i="2"/>
  <c r="V166" i="2"/>
  <c r="V167" i="2"/>
  <c r="V168" i="2"/>
  <c r="V169" i="2"/>
  <c r="V170" i="2"/>
  <c r="V171" i="2"/>
  <c r="V172" i="2"/>
  <c r="V173" i="2"/>
  <c r="V32" i="2"/>
  <c r="G28" i="3" s="1"/>
  <c r="G6" i="3"/>
  <c r="Q6" i="3" s="1"/>
  <c r="AB17" i="7"/>
  <c r="Z17" i="7"/>
  <c r="X17" i="7"/>
  <c r="V17" i="7"/>
  <c r="T17" i="7"/>
  <c r="R17" i="7"/>
  <c r="P17" i="7"/>
  <c r="N17" i="7"/>
  <c r="L17" i="7"/>
  <c r="J17" i="7"/>
  <c r="G9" i="3"/>
  <c r="V12" i="2"/>
  <c r="V13" i="2"/>
  <c r="V14" i="2"/>
  <c r="V15" i="2"/>
  <c r="V16" i="2"/>
  <c r="V17" i="2"/>
  <c r="V18" i="2"/>
  <c r="V19" i="2"/>
  <c r="V20" i="2"/>
  <c r="V21" i="2"/>
  <c r="V22" i="2"/>
  <c r="V23" i="2"/>
  <c r="V24" i="2"/>
  <c r="V25" i="2"/>
  <c r="V26" i="2"/>
  <c r="V27" i="2"/>
  <c r="V28" i="2"/>
  <c r="B42" i="4"/>
  <c r="B41" i="4"/>
  <c r="B52" i="9" s="1"/>
  <c r="B16" i="4"/>
  <c r="B27" i="9" s="1"/>
  <c r="B17" i="4"/>
  <c r="B18" i="4"/>
  <c r="B29" i="9" s="1"/>
  <c r="B23" i="4"/>
  <c r="B34" i="9" s="1"/>
  <c r="B24" i="4"/>
  <c r="B35" i="9" s="1"/>
  <c r="B25" i="4"/>
  <c r="B36" i="9" s="1"/>
  <c r="B26" i="4"/>
  <c r="B37" i="9" s="1"/>
  <c r="B27" i="4"/>
  <c r="B38" i="9" s="1"/>
  <c r="B28" i="4"/>
  <c r="B39" i="9" s="1"/>
  <c r="B29" i="4"/>
  <c r="B40" i="9" s="1"/>
  <c r="B34" i="4"/>
  <c r="B45" i="9" s="1"/>
  <c r="B35" i="4"/>
  <c r="B46" i="9" s="1"/>
  <c r="B36" i="4"/>
  <c r="B47" i="9" s="1"/>
  <c r="B37" i="4"/>
  <c r="B48" i="9" s="1"/>
  <c r="B15" i="4"/>
  <c r="B26" i="9" s="1"/>
  <c r="B7" i="4"/>
  <c r="B18" i="9" s="1"/>
  <c r="B8" i="4"/>
  <c r="B19" i="9" s="1"/>
  <c r="B9" i="4"/>
  <c r="B20" i="9" s="1"/>
  <c r="B10" i="4"/>
  <c r="B21" i="9" s="1"/>
  <c r="B6" i="4"/>
  <c r="B17" i="9" s="1"/>
  <c r="M29" i="3"/>
  <c r="D16" i="4" s="1"/>
  <c r="O29" i="3"/>
  <c r="F16" i="4" s="1"/>
  <c r="Q29" i="3"/>
  <c r="H16" i="4" s="1"/>
  <c r="M30" i="3"/>
  <c r="O30" i="3"/>
  <c r="Q30" i="3"/>
  <c r="M10" i="3"/>
  <c r="D10" i="4" s="1"/>
  <c r="D7" i="4"/>
  <c r="O7" i="3"/>
  <c r="F7" i="4" s="1"/>
  <c r="Q7" i="3"/>
  <c r="H7" i="4" s="1"/>
  <c r="O10" i="3"/>
  <c r="F10" i="4" s="1"/>
  <c r="Q10" i="3"/>
  <c r="H10" i="4" s="1"/>
  <c r="C29" i="3"/>
  <c r="D29" i="3"/>
  <c r="E29" i="3"/>
  <c r="F29" i="3"/>
  <c r="C30" i="3"/>
  <c r="D30" i="3"/>
  <c r="E30" i="3"/>
  <c r="F30" i="3"/>
  <c r="C31" i="3"/>
  <c r="M34" i="3" s="1"/>
  <c r="D31" i="3"/>
  <c r="O34" i="3" s="1"/>
  <c r="E31" i="3"/>
  <c r="F31" i="3"/>
  <c r="C32" i="3"/>
  <c r="D32" i="3"/>
  <c r="E32" i="3"/>
  <c r="F32" i="3"/>
  <c r="C33" i="3"/>
  <c r="D33" i="3"/>
  <c r="E33" i="3"/>
  <c r="F33" i="3"/>
  <c r="C34" i="3"/>
  <c r="D34" i="3"/>
  <c r="E34" i="3"/>
  <c r="F34" i="3"/>
  <c r="C35" i="3"/>
  <c r="D35" i="3"/>
  <c r="E35" i="3"/>
  <c r="F35" i="3"/>
  <c r="C36" i="3"/>
  <c r="D36" i="3"/>
  <c r="E36" i="3"/>
  <c r="C37" i="3"/>
  <c r="D37" i="3"/>
  <c r="E37" i="3"/>
  <c r="F37" i="3"/>
  <c r="C38" i="3"/>
  <c r="D38" i="3"/>
  <c r="E38" i="3"/>
  <c r="F38" i="3"/>
  <c r="C39" i="3"/>
  <c r="D39" i="3"/>
  <c r="E39" i="3"/>
  <c r="F39" i="3"/>
  <c r="C40" i="3"/>
  <c r="D40" i="3"/>
  <c r="E40" i="3"/>
  <c r="F40" i="3"/>
  <c r="C41" i="3"/>
  <c r="D41" i="3"/>
  <c r="E41" i="3"/>
  <c r="F41" i="3"/>
  <c r="C42" i="3"/>
  <c r="D42" i="3"/>
  <c r="E42" i="3"/>
  <c r="F42" i="3"/>
  <c r="C43" i="3"/>
  <c r="M35" i="3" s="1"/>
  <c r="D43" i="3"/>
  <c r="O35" i="3" s="1"/>
  <c r="E43" i="3"/>
  <c r="F43" i="3"/>
  <c r="C44" i="3"/>
  <c r="D44" i="3"/>
  <c r="E44" i="3"/>
  <c r="F44" i="3"/>
  <c r="C45" i="3"/>
  <c r="M40" i="3" s="1"/>
  <c r="D35" i="4" s="1"/>
  <c r="D45" i="3"/>
  <c r="O40" i="3" s="1"/>
  <c r="F35" i="4" s="1"/>
  <c r="E45" i="3"/>
  <c r="F45" i="3"/>
  <c r="C46" i="3"/>
  <c r="D46" i="3"/>
  <c r="E46" i="3"/>
  <c r="F46" i="3"/>
  <c r="C47" i="3"/>
  <c r="M41" i="3" s="1"/>
  <c r="D36" i="4" s="1"/>
  <c r="D47" i="3"/>
  <c r="O41" i="3" s="1"/>
  <c r="F36" i="4" s="1"/>
  <c r="E47" i="3"/>
  <c r="F47" i="3"/>
  <c r="C48" i="3"/>
  <c r="D48" i="3"/>
  <c r="E48" i="3"/>
  <c r="C49" i="3"/>
  <c r="M42" i="3" s="1"/>
  <c r="D37" i="4" s="1"/>
  <c r="D49" i="3"/>
  <c r="O42" i="3" s="1"/>
  <c r="F37" i="4" s="1"/>
  <c r="E49" i="3"/>
  <c r="F49" i="3"/>
  <c r="C50" i="3"/>
  <c r="D50" i="3"/>
  <c r="E50" i="3"/>
  <c r="F50" i="3"/>
  <c r="C51" i="3"/>
  <c r="D51" i="3"/>
  <c r="E51" i="3"/>
  <c r="F51" i="3"/>
  <c r="C52" i="3"/>
  <c r="D52" i="3"/>
  <c r="E52" i="3"/>
  <c r="F52" i="3"/>
  <c r="C53" i="3"/>
  <c r="D53" i="3"/>
  <c r="E53" i="3"/>
  <c r="F53" i="3"/>
  <c r="C54" i="3"/>
  <c r="D54" i="3"/>
  <c r="E54" i="3"/>
  <c r="F54" i="3"/>
  <c r="C55" i="3"/>
  <c r="M39" i="3" s="1"/>
  <c r="D34" i="4" s="1"/>
  <c r="D55" i="3"/>
  <c r="O39" i="3" s="1"/>
  <c r="F34" i="4" s="1"/>
  <c r="E55" i="3"/>
  <c r="F55" i="3"/>
  <c r="C56" i="3"/>
  <c r="D56" i="3"/>
  <c r="E56" i="3"/>
  <c r="F56" i="3"/>
  <c r="C57" i="3"/>
  <c r="D57" i="3"/>
  <c r="E57" i="3"/>
  <c r="F57" i="3"/>
  <c r="C58" i="3"/>
  <c r="D58" i="3"/>
  <c r="E58" i="3"/>
  <c r="F58" i="3"/>
  <c r="C59" i="3"/>
  <c r="D59" i="3"/>
  <c r="E59" i="3"/>
  <c r="F59" i="3"/>
  <c r="C60" i="3"/>
  <c r="D60" i="3"/>
  <c r="E60" i="3"/>
  <c r="F60" i="3"/>
  <c r="C61" i="3"/>
  <c r="D61" i="3"/>
  <c r="E61" i="3"/>
  <c r="F61" i="3"/>
  <c r="C62" i="3"/>
  <c r="M36" i="3" s="1"/>
  <c r="D62" i="3"/>
  <c r="O36" i="3" s="1"/>
  <c r="E62" i="3"/>
  <c r="F62" i="3"/>
  <c r="C63" i="3"/>
  <c r="D63" i="3"/>
  <c r="E63" i="3"/>
  <c r="F63" i="3"/>
  <c r="C64" i="3"/>
  <c r="D64" i="3"/>
  <c r="E64" i="3"/>
  <c r="F64" i="3"/>
  <c r="C65" i="3"/>
  <c r="D65" i="3"/>
  <c r="E65" i="3"/>
  <c r="F65" i="3"/>
  <c r="C66" i="3"/>
  <c r="D66" i="3"/>
  <c r="E66" i="3"/>
  <c r="F66" i="3"/>
  <c r="C67" i="3"/>
  <c r="D67" i="3"/>
  <c r="E67" i="3"/>
  <c r="F67" i="3"/>
  <c r="F28" i="3"/>
  <c r="E28" i="3"/>
  <c r="D28" i="3"/>
  <c r="C28" i="3"/>
  <c r="C7" i="3"/>
  <c r="D7" i="3"/>
  <c r="E7" i="3"/>
  <c r="F7" i="3"/>
  <c r="G7" i="3"/>
  <c r="C8" i="3"/>
  <c r="M9" i="3" s="1"/>
  <c r="D9" i="4" s="1"/>
  <c r="D8" i="3"/>
  <c r="O9" i="3" s="1"/>
  <c r="F9" i="4" s="1"/>
  <c r="E8" i="3"/>
  <c r="F8" i="3"/>
  <c r="G8" i="3"/>
  <c r="Q9" i="3" s="1"/>
  <c r="H9" i="4" s="1"/>
  <c r="C9" i="3"/>
  <c r="D9" i="3"/>
  <c r="E9" i="3"/>
  <c r="F9" i="3"/>
  <c r="F6" i="3"/>
  <c r="E6" i="3"/>
  <c r="D6" i="3"/>
  <c r="O6" i="3" s="1"/>
  <c r="C6" i="3"/>
  <c r="M6" i="3" s="1"/>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28" i="3"/>
  <c r="V4" i="2"/>
  <c r="G4" i="3" s="1"/>
  <c r="Q5" i="3" s="1"/>
  <c r="F4" i="3"/>
  <c r="E4" i="3"/>
  <c r="D4" i="3"/>
  <c r="O5" i="3" s="1"/>
  <c r="C4" i="3"/>
  <c r="M5" i="3" s="1"/>
  <c r="B7" i="3"/>
  <c r="B8" i="3"/>
  <c r="B9" i="3"/>
  <c r="B6" i="3"/>
  <c r="M178" i="2"/>
  <c r="J178" i="2"/>
  <c r="G41" i="4" s="1"/>
  <c r="E41" i="4"/>
  <c r="U174" i="2"/>
  <c r="R174" i="2"/>
  <c r="S174" i="2" s="1"/>
  <c r="O174" i="2"/>
  <c r="P174" i="2" s="1"/>
  <c r="L174" i="2"/>
  <c r="M174" i="2" s="1"/>
  <c r="I174" i="2"/>
  <c r="J174" i="2" s="1"/>
  <c r="F174" i="2"/>
  <c r="G174" i="2" s="1"/>
  <c r="R29" i="2"/>
  <c r="O29" i="2"/>
  <c r="L29" i="2"/>
  <c r="M23" i="2" s="1"/>
  <c r="I29" i="2"/>
  <c r="J169" i="2" s="1"/>
  <c r="F29" i="2"/>
  <c r="AI36" i="11" l="1"/>
  <c r="Y21" i="14"/>
  <c r="Z21" i="14" s="1"/>
  <c r="F25" i="4"/>
  <c r="H52" i="7" s="1"/>
  <c r="H23" i="7"/>
  <c r="H71" i="7"/>
  <c r="H72" i="7" s="1"/>
  <c r="H26" i="7"/>
  <c r="H74" i="7"/>
  <c r="H68" i="7"/>
  <c r="O37" i="3"/>
  <c r="F28" i="4" s="1"/>
  <c r="H77" i="7"/>
  <c r="M37" i="3"/>
  <c r="D28" i="4" s="1"/>
  <c r="G61" i="7" s="1"/>
  <c r="G62" i="7" s="1"/>
  <c r="H29" i="7"/>
  <c r="O8" i="3"/>
  <c r="F8" i="4" s="1"/>
  <c r="H20" i="7" s="1"/>
  <c r="H21" i="7" s="1"/>
  <c r="H26" i="4"/>
  <c r="C37" i="9" s="1"/>
  <c r="Q37" i="3"/>
  <c r="H28" i="4" s="1"/>
  <c r="C47" i="9"/>
  <c r="I74" i="7"/>
  <c r="J74" i="7" s="1"/>
  <c r="E47" i="9" s="1"/>
  <c r="C20" i="9"/>
  <c r="G77" i="7"/>
  <c r="G71" i="7"/>
  <c r="G72" i="7" s="1"/>
  <c r="M28" i="3"/>
  <c r="D15" i="4" s="1"/>
  <c r="G33" i="7" s="1"/>
  <c r="C45" i="9"/>
  <c r="I68" i="7"/>
  <c r="J68" i="7" s="1"/>
  <c r="E45" i="9" s="1"/>
  <c r="G16" i="4"/>
  <c r="H25" i="4"/>
  <c r="H27" i="4"/>
  <c r="Q33" i="3"/>
  <c r="H24" i="4" s="1"/>
  <c r="G15" i="2"/>
  <c r="G27" i="2"/>
  <c r="G41" i="2"/>
  <c r="G53" i="2"/>
  <c r="G65" i="2"/>
  <c r="G77" i="2"/>
  <c r="G89" i="2"/>
  <c r="G101" i="2"/>
  <c r="G113" i="2"/>
  <c r="G125" i="2"/>
  <c r="G137" i="2"/>
  <c r="G149" i="2"/>
  <c r="G161" i="2"/>
  <c r="G173" i="2"/>
  <c r="G16" i="2"/>
  <c r="G28" i="2"/>
  <c r="G42" i="2"/>
  <c r="G54" i="2"/>
  <c r="G66" i="2"/>
  <c r="G78" i="2"/>
  <c r="G90" i="2"/>
  <c r="G102" i="2"/>
  <c r="G114" i="2"/>
  <c r="G126" i="2"/>
  <c r="G138" i="2"/>
  <c r="G150" i="2"/>
  <c r="G162" i="2"/>
  <c r="G17" i="2"/>
  <c r="G29" i="2"/>
  <c r="G43" i="2"/>
  <c r="G55" i="2"/>
  <c r="G67" i="2"/>
  <c r="G79" i="2"/>
  <c r="G91" i="2"/>
  <c r="G103" i="2"/>
  <c r="G115" i="2"/>
  <c r="G127" i="2"/>
  <c r="G139" i="2"/>
  <c r="G151" i="2"/>
  <c r="G163" i="2"/>
  <c r="G18" i="2"/>
  <c r="G32" i="2"/>
  <c r="G44" i="2"/>
  <c r="G56" i="2"/>
  <c r="G68" i="2"/>
  <c r="G80" i="2"/>
  <c r="G92" i="2"/>
  <c r="G104" i="2"/>
  <c r="G116" i="2"/>
  <c r="G128" i="2"/>
  <c r="G140" i="2"/>
  <c r="G152" i="2"/>
  <c r="G164" i="2"/>
  <c r="G19" i="2"/>
  <c r="G33" i="2"/>
  <c r="G45" i="2"/>
  <c r="G57" i="2"/>
  <c r="G69" i="2"/>
  <c r="G81" i="2"/>
  <c r="G93" i="2"/>
  <c r="G105" i="2"/>
  <c r="G117" i="2"/>
  <c r="G129" i="2"/>
  <c r="G141" i="2"/>
  <c r="G153" i="2"/>
  <c r="G165" i="2"/>
  <c r="G8" i="2"/>
  <c r="G20" i="2"/>
  <c r="G34" i="2"/>
  <c r="G46" i="2"/>
  <c r="G58" i="2"/>
  <c r="G70" i="2"/>
  <c r="G82" i="2"/>
  <c r="G94" i="2"/>
  <c r="G106" i="2"/>
  <c r="G118" i="2"/>
  <c r="G130" i="2"/>
  <c r="G142" i="2"/>
  <c r="G154" i="2"/>
  <c r="G166" i="2"/>
  <c r="G9" i="2"/>
  <c r="G21" i="2"/>
  <c r="G35" i="2"/>
  <c r="G47" i="2"/>
  <c r="G59" i="2"/>
  <c r="G71" i="2"/>
  <c r="G83" i="2"/>
  <c r="G95" i="2"/>
  <c r="G107" i="2"/>
  <c r="G119" i="2"/>
  <c r="G131" i="2"/>
  <c r="G143" i="2"/>
  <c r="G155" i="2"/>
  <c r="G167" i="2"/>
  <c r="G10" i="2"/>
  <c r="G22" i="2"/>
  <c r="G36" i="2"/>
  <c r="G48" i="2"/>
  <c r="G60" i="2"/>
  <c r="G72" i="2"/>
  <c r="G84" i="2"/>
  <c r="G96" i="2"/>
  <c r="G108" i="2"/>
  <c r="G120" i="2"/>
  <c r="G132" i="2"/>
  <c r="G144" i="2"/>
  <c r="G156" i="2"/>
  <c r="G168" i="2"/>
  <c r="G11" i="2"/>
  <c r="G23" i="2"/>
  <c r="G37" i="2"/>
  <c r="G49" i="2"/>
  <c r="G61" i="2"/>
  <c r="G73" i="2"/>
  <c r="G85" i="2"/>
  <c r="G97" i="2"/>
  <c r="G109" i="2"/>
  <c r="G121" i="2"/>
  <c r="G133" i="2"/>
  <c r="G145" i="2"/>
  <c r="G157" i="2"/>
  <c r="G169" i="2"/>
  <c r="G12" i="2"/>
  <c r="G24" i="2"/>
  <c r="G38" i="2"/>
  <c r="G50" i="2"/>
  <c r="G62" i="2"/>
  <c r="G74" i="2"/>
  <c r="G86" i="2"/>
  <c r="G98" i="2"/>
  <c r="G110" i="2"/>
  <c r="G122" i="2"/>
  <c r="G134" i="2"/>
  <c r="G146" i="2"/>
  <c r="G158" i="2"/>
  <c r="G170" i="2"/>
  <c r="G13" i="2"/>
  <c r="G25" i="2"/>
  <c r="G39" i="2"/>
  <c r="G51" i="2"/>
  <c r="G63" i="2"/>
  <c r="G75" i="2"/>
  <c r="G87" i="2"/>
  <c r="G99" i="2"/>
  <c r="G111" i="2"/>
  <c r="G123" i="2"/>
  <c r="G135" i="2"/>
  <c r="G147" i="2"/>
  <c r="G159" i="2"/>
  <c r="G171" i="2"/>
  <c r="G14" i="2"/>
  <c r="G26" i="2"/>
  <c r="G40" i="2"/>
  <c r="G52" i="2"/>
  <c r="G64" i="2"/>
  <c r="G76" i="2"/>
  <c r="G88" i="2"/>
  <c r="G100" i="2"/>
  <c r="G112" i="2"/>
  <c r="G124" i="2"/>
  <c r="G136" i="2"/>
  <c r="G148" i="2"/>
  <c r="G160" i="2"/>
  <c r="G172" i="2"/>
  <c r="O28" i="3"/>
  <c r="F15" i="4" s="1"/>
  <c r="O38" i="3"/>
  <c r="F29" i="4" s="1"/>
  <c r="E16" i="4"/>
  <c r="Q38" i="3"/>
  <c r="H29" i="4" s="1"/>
  <c r="D27" i="4"/>
  <c r="M33" i="3"/>
  <c r="D24" i="4" s="1"/>
  <c r="M38" i="3"/>
  <c r="D29" i="4" s="1"/>
  <c r="G64" i="7" s="1"/>
  <c r="G68" i="7"/>
  <c r="V29" i="2"/>
  <c r="V179" i="2" s="1"/>
  <c r="M31" i="3"/>
  <c r="D18" i="4" s="1"/>
  <c r="P14" i="2"/>
  <c r="P26" i="2"/>
  <c r="P41" i="2"/>
  <c r="P53" i="2"/>
  <c r="P65" i="2"/>
  <c r="P77" i="2"/>
  <c r="P89" i="2"/>
  <c r="P101" i="2"/>
  <c r="P113" i="2"/>
  <c r="P125" i="2"/>
  <c r="P137" i="2"/>
  <c r="P149" i="2"/>
  <c r="P161" i="2"/>
  <c r="P173" i="2"/>
  <c r="P15" i="2"/>
  <c r="P27" i="2"/>
  <c r="P42" i="2"/>
  <c r="P54" i="2"/>
  <c r="P66" i="2"/>
  <c r="P78" i="2"/>
  <c r="P90" i="2"/>
  <c r="P102" i="2"/>
  <c r="P114" i="2"/>
  <c r="P126" i="2"/>
  <c r="P138" i="2"/>
  <c r="P150" i="2"/>
  <c r="P162" i="2"/>
  <c r="P16" i="2"/>
  <c r="P28" i="2"/>
  <c r="P43" i="2"/>
  <c r="P55" i="2"/>
  <c r="P67" i="2"/>
  <c r="P79" i="2"/>
  <c r="P91" i="2"/>
  <c r="P103" i="2"/>
  <c r="P115" i="2"/>
  <c r="P127" i="2"/>
  <c r="P139" i="2"/>
  <c r="P151" i="2"/>
  <c r="P163" i="2"/>
  <c r="P17" i="2"/>
  <c r="P32" i="2"/>
  <c r="P44" i="2"/>
  <c r="P56" i="2"/>
  <c r="P68" i="2"/>
  <c r="P80" i="2"/>
  <c r="P92" i="2"/>
  <c r="P104" i="2"/>
  <c r="P116" i="2"/>
  <c r="P128" i="2"/>
  <c r="P140" i="2"/>
  <c r="P152" i="2"/>
  <c r="P164" i="2"/>
  <c r="P18" i="2"/>
  <c r="P33" i="2"/>
  <c r="P45" i="2"/>
  <c r="P57" i="2"/>
  <c r="P69" i="2"/>
  <c r="P81" i="2"/>
  <c r="P93" i="2"/>
  <c r="P105" i="2"/>
  <c r="P117" i="2"/>
  <c r="P129" i="2"/>
  <c r="P141" i="2"/>
  <c r="P153" i="2"/>
  <c r="P165" i="2"/>
  <c r="P19" i="2"/>
  <c r="P34" i="2"/>
  <c r="P46" i="2"/>
  <c r="P58" i="2"/>
  <c r="P70" i="2"/>
  <c r="P82" i="2"/>
  <c r="P94" i="2"/>
  <c r="P106" i="2"/>
  <c r="P118" i="2"/>
  <c r="P130" i="2"/>
  <c r="P142" i="2"/>
  <c r="P154" i="2"/>
  <c r="P166" i="2"/>
  <c r="P8" i="2"/>
  <c r="P20" i="2"/>
  <c r="P35" i="2"/>
  <c r="P47" i="2"/>
  <c r="P59" i="2"/>
  <c r="P71" i="2"/>
  <c r="P83" i="2"/>
  <c r="P95" i="2"/>
  <c r="P107" i="2"/>
  <c r="P119" i="2"/>
  <c r="P131" i="2"/>
  <c r="P143" i="2"/>
  <c r="P155" i="2"/>
  <c r="P167" i="2"/>
  <c r="P9" i="2"/>
  <c r="P21" i="2"/>
  <c r="P36" i="2"/>
  <c r="P48" i="2"/>
  <c r="P60" i="2"/>
  <c r="P72" i="2"/>
  <c r="P84" i="2"/>
  <c r="P96" i="2"/>
  <c r="P108" i="2"/>
  <c r="P120" i="2"/>
  <c r="P132" i="2"/>
  <c r="P144" i="2"/>
  <c r="P156" i="2"/>
  <c r="P168" i="2"/>
  <c r="P10" i="2"/>
  <c r="P22" i="2"/>
  <c r="P37" i="2"/>
  <c r="P49" i="2"/>
  <c r="P61" i="2"/>
  <c r="P73" i="2"/>
  <c r="P85" i="2"/>
  <c r="P97" i="2"/>
  <c r="P109" i="2"/>
  <c r="P121" i="2"/>
  <c r="P133" i="2"/>
  <c r="P145" i="2"/>
  <c r="P157" i="2"/>
  <c r="P169" i="2"/>
  <c r="P11" i="2"/>
  <c r="P23" i="2"/>
  <c r="P38" i="2"/>
  <c r="P50" i="2"/>
  <c r="P62" i="2"/>
  <c r="P74" i="2"/>
  <c r="P86" i="2"/>
  <c r="P98" i="2"/>
  <c r="P110" i="2"/>
  <c r="P122" i="2"/>
  <c r="P134" i="2"/>
  <c r="P146" i="2"/>
  <c r="P158" i="2"/>
  <c r="P170" i="2"/>
  <c r="P12" i="2"/>
  <c r="P24" i="2"/>
  <c r="P39" i="2"/>
  <c r="P51" i="2"/>
  <c r="P63" i="2"/>
  <c r="P75" i="2"/>
  <c r="P87" i="2"/>
  <c r="P99" i="2"/>
  <c r="P111" i="2"/>
  <c r="P123" i="2"/>
  <c r="P135" i="2"/>
  <c r="P147" i="2"/>
  <c r="P159" i="2"/>
  <c r="P171" i="2"/>
  <c r="P13" i="2"/>
  <c r="P25" i="2"/>
  <c r="P40" i="2"/>
  <c r="P52" i="2"/>
  <c r="P64" i="2"/>
  <c r="P76" i="2"/>
  <c r="P88" i="2"/>
  <c r="P100" i="2"/>
  <c r="P112" i="2"/>
  <c r="P124" i="2"/>
  <c r="P136" i="2"/>
  <c r="P148" i="2"/>
  <c r="P160" i="2"/>
  <c r="P172" i="2"/>
  <c r="C21" i="9"/>
  <c r="C48" i="9"/>
  <c r="I77" i="7"/>
  <c r="J77" i="7" s="1"/>
  <c r="O31" i="3"/>
  <c r="F18" i="4" s="1"/>
  <c r="O32" i="3"/>
  <c r="F23" i="4" s="1"/>
  <c r="Q32" i="3"/>
  <c r="H23" i="4" s="1"/>
  <c r="F26" i="4"/>
  <c r="H55" i="7" s="1"/>
  <c r="S13" i="2"/>
  <c r="S25" i="2"/>
  <c r="S40" i="2"/>
  <c r="S52" i="2"/>
  <c r="S64" i="2"/>
  <c r="S76" i="2"/>
  <c r="S88" i="2"/>
  <c r="S100" i="2"/>
  <c r="S112" i="2"/>
  <c r="S124" i="2"/>
  <c r="S136" i="2"/>
  <c r="S148" i="2"/>
  <c r="S160" i="2"/>
  <c r="S172" i="2"/>
  <c r="S14" i="2"/>
  <c r="S26" i="2"/>
  <c r="S41" i="2"/>
  <c r="S53" i="2"/>
  <c r="S65" i="2"/>
  <c r="S77" i="2"/>
  <c r="S89" i="2"/>
  <c r="S101" i="2"/>
  <c r="S113" i="2"/>
  <c r="S125" i="2"/>
  <c r="S137" i="2"/>
  <c r="S149" i="2"/>
  <c r="S161" i="2"/>
  <c r="S173" i="2"/>
  <c r="S15" i="2"/>
  <c r="S27" i="2"/>
  <c r="S42" i="2"/>
  <c r="S54" i="2"/>
  <c r="S66" i="2"/>
  <c r="S78" i="2"/>
  <c r="S90" i="2"/>
  <c r="S102" i="2"/>
  <c r="S114" i="2"/>
  <c r="S126" i="2"/>
  <c r="S138" i="2"/>
  <c r="S150" i="2"/>
  <c r="S162" i="2"/>
  <c r="S16" i="2"/>
  <c r="S28" i="2"/>
  <c r="S43" i="2"/>
  <c r="S55" i="2"/>
  <c r="S67" i="2"/>
  <c r="S79" i="2"/>
  <c r="S91" i="2"/>
  <c r="S103" i="2"/>
  <c r="S115" i="2"/>
  <c r="S127" i="2"/>
  <c r="S139" i="2"/>
  <c r="S151" i="2"/>
  <c r="S163" i="2"/>
  <c r="S17" i="2"/>
  <c r="S32" i="2"/>
  <c r="S44" i="2"/>
  <c r="S56" i="2"/>
  <c r="S68" i="2"/>
  <c r="S80" i="2"/>
  <c r="S92" i="2"/>
  <c r="S104" i="2"/>
  <c r="S116" i="2"/>
  <c r="S128" i="2"/>
  <c r="S140" i="2"/>
  <c r="S152" i="2"/>
  <c r="S164" i="2"/>
  <c r="S18" i="2"/>
  <c r="S33" i="2"/>
  <c r="S45" i="2"/>
  <c r="S57" i="2"/>
  <c r="S69" i="2"/>
  <c r="S81" i="2"/>
  <c r="S93" i="2"/>
  <c r="S105" i="2"/>
  <c r="S117" i="2"/>
  <c r="S129" i="2"/>
  <c r="S141" i="2"/>
  <c r="S153" i="2"/>
  <c r="S165" i="2"/>
  <c r="S19" i="2"/>
  <c r="S34" i="2"/>
  <c r="S46" i="2"/>
  <c r="S58" i="2"/>
  <c r="S70" i="2"/>
  <c r="S82" i="2"/>
  <c r="S94" i="2"/>
  <c r="S106" i="2"/>
  <c r="S118" i="2"/>
  <c r="S130" i="2"/>
  <c r="S142" i="2"/>
  <c r="S154" i="2"/>
  <c r="S166" i="2"/>
  <c r="S8" i="2"/>
  <c r="S20" i="2"/>
  <c r="S35" i="2"/>
  <c r="S47" i="2"/>
  <c r="S59" i="2"/>
  <c r="S71" i="2"/>
  <c r="S83" i="2"/>
  <c r="S95" i="2"/>
  <c r="S107" i="2"/>
  <c r="S119" i="2"/>
  <c r="S131" i="2"/>
  <c r="S143" i="2"/>
  <c r="S155" i="2"/>
  <c r="S167" i="2"/>
  <c r="S9" i="2"/>
  <c r="S21" i="2"/>
  <c r="S36" i="2"/>
  <c r="S48" i="2"/>
  <c r="S60" i="2"/>
  <c r="S72" i="2"/>
  <c r="S84" i="2"/>
  <c r="S96" i="2"/>
  <c r="S108" i="2"/>
  <c r="S120" i="2"/>
  <c r="S132" i="2"/>
  <c r="S144" i="2"/>
  <c r="S156" i="2"/>
  <c r="S168" i="2"/>
  <c r="S10" i="2"/>
  <c r="S22" i="2"/>
  <c r="S37" i="2"/>
  <c r="S49" i="2"/>
  <c r="S61" i="2"/>
  <c r="S73" i="2"/>
  <c r="S85" i="2"/>
  <c r="S97" i="2"/>
  <c r="S109" i="2"/>
  <c r="S121" i="2"/>
  <c r="S133" i="2"/>
  <c r="S145" i="2"/>
  <c r="S157" i="2"/>
  <c r="S169" i="2"/>
  <c r="S11" i="2"/>
  <c r="S23" i="2"/>
  <c r="S38" i="2"/>
  <c r="S50" i="2"/>
  <c r="S62" i="2"/>
  <c r="S74" i="2"/>
  <c r="S86" i="2"/>
  <c r="S98" i="2"/>
  <c r="S110" i="2"/>
  <c r="S122" i="2"/>
  <c r="S134" i="2"/>
  <c r="S146" i="2"/>
  <c r="S158" i="2"/>
  <c r="S170" i="2"/>
  <c r="S12" i="2"/>
  <c r="S24" i="2"/>
  <c r="S39" i="2"/>
  <c r="S51" i="2"/>
  <c r="S63" i="2"/>
  <c r="S75" i="2"/>
  <c r="S87" i="2"/>
  <c r="S99" i="2"/>
  <c r="S111" i="2"/>
  <c r="S123" i="2"/>
  <c r="S135" i="2"/>
  <c r="S147" i="2"/>
  <c r="S159" i="2"/>
  <c r="S171" i="2"/>
  <c r="Q8" i="3"/>
  <c r="H8" i="4" s="1"/>
  <c r="D26" i="4"/>
  <c r="G55" i="7" s="1"/>
  <c r="M32" i="3"/>
  <c r="D23" i="4" s="1"/>
  <c r="G74" i="7"/>
  <c r="B28" i="9"/>
  <c r="B39" i="7"/>
  <c r="D25" i="4"/>
  <c r="F27" i="4"/>
  <c r="O33" i="3"/>
  <c r="F24" i="4" s="1"/>
  <c r="I71" i="7"/>
  <c r="I72" i="7" s="1"/>
  <c r="C46" i="9"/>
  <c r="Q31" i="3"/>
  <c r="H18" i="4" s="1"/>
  <c r="G36" i="14"/>
  <c r="G26" i="7"/>
  <c r="G65" i="14"/>
  <c r="P179" i="2"/>
  <c r="G179" i="2"/>
  <c r="E42" i="4" s="1"/>
  <c r="S179" i="2"/>
  <c r="M8" i="3"/>
  <c r="D8" i="4" s="1"/>
  <c r="C18" i="9"/>
  <c r="I23" i="7"/>
  <c r="I16" i="4"/>
  <c r="C27" i="9"/>
  <c r="E11" i="1"/>
  <c r="C10" i="13" s="1"/>
  <c r="I8" i="11"/>
  <c r="S4" i="9"/>
  <c r="S8" i="9" s="1"/>
  <c r="G23" i="7"/>
  <c r="H24" i="7" s="1"/>
  <c r="I9" i="11"/>
  <c r="I42" i="4"/>
  <c r="R46" i="3"/>
  <c r="H6" i="4"/>
  <c r="F6" i="4"/>
  <c r="F38" i="4"/>
  <c r="D38" i="4"/>
  <c r="H38" i="4"/>
  <c r="H36" i="7"/>
  <c r="H37" i="7" s="1"/>
  <c r="D17" i="4"/>
  <c r="E17" i="4" s="1"/>
  <c r="F17" i="4"/>
  <c r="G17" i="4" s="1"/>
  <c r="H17" i="4"/>
  <c r="D6" i="4"/>
  <c r="L178" i="2"/>
  <c r="V52" i="2"/>
  <c r="G48" i="3" s="1"/>
  <c r="V40" i="2"/>
  <c r="G36" i="3" s="1"/>
  <c r="I26" i="7"/>
  <c r="M29" i="2"/>
  <c r="J29" i="2"/>
  <c r="B29" i="7"/>
  <c r="B26" i="7"/>
  <c r="I178" i="2"/>
  <c r="I10" i="7"/>
  <c r="Q28" i="3"/>
  <c r="F178" i="2"/>
  <c r="H10" i="7"/>
  <c r="G10" i="7"/>
  <c r="R21" i="11"/>
  <c r="C21" i="11"/>
  <c r="B20" i="11"/>
  <c r="I36" i="7"/>
  <c r="J179" i="2"/>
  <c r="M179" i="2"/>
  <c r="L179" i="2" s="1"/>
  <c r="H4" i="4"/>
  <c r="J18" i="18" s="1"/>
  <c r="G36" i="7"/>
  <c r="D4" i="4"/>
  <c r="F4" i="4"/>
  <c r="G18" i="18" s="1"/>
  <c r="J157" i="2"/>
  <c r="I29" i="7"/>
  <c r="J145" i="2"/>
  <c r="G29" i="7"/>
  <c r="L176" i="2"/>
  <c r="J9" i="2"/>
  <c r="J21" i="2"/>
  <c r="J16" i="2"/>
  <c r="J28" i="2"/>
  <c r="J15" i="2"/>
  <c r="J27" i="2"/>
  <c r="J10" i="2"/>
  <c r="J22" i="2"/>
  <c r="M32" i="2"/>
  <c r="J167" i="2"/>
  <c r="M162" i="2"/>
  <c r="J155" i="2"/>
  <c r="M150" i="2"/>
  <c r="J143" i="2"/>
  <c r="M138" i="2"/>
  <c r="J131" i="2"/>
  <c r="M126" i="2"/>
  <c r="J119" i="2"/>
  <c r="M114" i="2"/>
  <c r="J107" i="2"/>
  <c r="M102" i="2"/>
  <c r="J95" i="2"/>
  <c r="M90" i="2"/>
  <c r="J83" i="2"/>
  <c r="M78" i="2"/>
  <c r="J71" i="2"/>
  <c r="M66" i="2"/>
  <c r="J59" i="2"/>
  <c r="M54" i="2"/>
  <c r="J47" i="2"/>
  <c r="M42" i="2"/>
  <c r="J35" i="2"/>
  <c r="M18" i="2"/>
  <c r="M16" i="2"/>
  <c r="I176" i="2"/>
  <c r="M169" i="2"/>
  <c r="J162" i="2"/>
  <c r="M157" i="2"/>
  <c r="J150" i="2"/>
  <c r="M145" i="2"/>
  <c r="J138" i="2"/>
  <c r="M133" i="2"/>
  <c r="J126" i="2"/>
  <c r="M121" i="2"/>
  <c r="J114" i="2"/>
  <c r="M109" i="2"/>
  <c r="J102" i="2"/>
  <c r="M97" i="2"/>
  <c r="J90" i="2"/>
  <c r="M85" i="2"/>
  <c r="J78" i="2"/>
  <c r="M73" i="2"/>
  <c r="J66" i="2"/>
  <c r="M61" i="2"/>
  <c r="J54" i="2"/>
  <c r="M49" i="2"/>
  <c r="J42" i="2"/>
  <c r="M37" i="2"/>
  <c r="J8" i="2"/>
  <c r="J18" i="2"/>
  <c r="M164" i="2"/>
  <c r="M152" i="2"/>
  <c r="M140" i="2"/>
  <c r="J133" i="2"/>
  <c r="M128" i="2"/>
  <c r="J121" i="2"/>
  <c r="M116" i="2"/>
  <c r="J109" i="2"/>
  <c r="M104" i="2"/>
  <c r="J97" i="2"/>
  <c r="M92" i="2"/>
  <c r="J85" i="2"/>
  <c r="M80" i="2"/>
  <c r="J73" i="2"/>
  <c r="M68" i="2"/>
  <c r="J61" i="2"/>
  <c r="M56" i="2"/>
  <c r="J49" i="2"/>
  <c r="M44" i="2"/>
  <c r="J37" i="2"/>
  <c r="M8" i="2"/>
  <c r="J20" i="2"/>
  <c r="M13" i="2"/>
  <c r="M11" i="2"/>
  <c r="M171" i="2"/>
  <c r="J164" i="2"/>
  <c r="M159" i="2"/>
  <c r="J152" i="2"/>
  <c r="M147" i="2"/>
  <c r="J140" i="2"/>
  <c r="M135" i="2"/>
  <c r="J128" i="2"/>
  <c r="M123" i="2"/>
  <c r="J116" i="2"/>
  <c r="M111" i="2"/>
  <c r="J104" i="2"/>
  <c r="M99" i="2"/>
  <c r="J92" i="2"/>
  <c r="M87" i="2"/>
  <c r="J80" i="2"/>
  <c r="M75" i="2"/>
  <c r="J68" i="2"/>
  <c r="M63" i="2"/>
  <c r="J56" i="2"/>
  <c r="M51" i="2"/>
  <c r="J44" i="2"/>
  <c r="M39" i="2"/>
  <c r="J13" i="2"/>
  <c r="J11" i="2"/>
  <c r="J171" i="2"/>
  <c r="M166" i="2"/>
  <c r="J159" i="2"/>
  <c r="M154" i="2"/>
  <c r="J147" i="2"/>
  <c r="M142" i="2"/>
  <c r="J135" i="2"/>
  <c r="M130" i="2"/>
  <c r="J123" i="2"/>
  <c r="M118" i="2"/>
  <c r="J111" i="2"/>
  <c r="M106" i="2"/>
  <c r="J99" i="2"/>
  <c r="M94" i="2"/>
  <c r="J87" i="2"/>
  <c r="M82" i="2"/>
  <c r="J75" i="2"/>
  <c r="M70" i="2"/>
  <c r="J63" i="2"/>
  <c r="M58" i="2"/>
  <c r="J51" i="2"/>
  <c r="M46" i="2"/>
  <c r="J39" i="2"/>
  <c r="M34" i="2"/>
  <c r="M24" i="2"/>
  <c r="M22" i="2"/>
  <c r="M173" i="2"/>
  <c r="J166" i="2"/>
  <c r="M161" i="2"/>
  <c r="J154" i="2"/>
  <c r="M149" i="2"/>
  <c r="J142" i="2"/>
  <c r="M137" i="2"/>
  <c r="J130" i="2"/>
  <c r="M125" i="2"/>
  <c r="J118" i="2"/>
  <c r="M113" i="2"/>
  <c r="J106" i="2"/>
  <c r="M101" i="2"/>
  <c r="J94" i="2"/>
  <c r="M89" i="2"/>
  <c r="J82" i="2"/>
  <c r="M77" i="2"/>
  <c r="J70" i="2"/>
  <c r="M65" i="2"/>
  <c r="J58" i="2"/>
  <c r="M53" i="2"/>
  <c r="J46" i="2"/>
  <c r="M41" i="2"/>
  <c r="J34" i="2"/>
  <c r="J24" i="2"/>
  <c r="J173" i="2"/>
  <c r="M168" i="2"/>
  <c r="J161" i="2"/>
  <c r="M156" i="2"/>
  <c r="J149" i="2"/>
  <c r="M144" i="2"/>
  <c r="J137" i="2"/>
  <c r="M132" i="2"/>
  <c r="J125" i="2"/>
  <c r="M120" i="2"/>
  <c r="J113" i="2"/>
  <c r="M108" i="2"/>
  <c r="J101" i="2"/>
  <c r="M96" i="2"/>
  <c r="J89" i="2"/>
  <c r="M84" i="2"/>
  <c r="J77" i="2"/>
  <c r="M72" i="2"/>
  <c r="J65" i="2"/>
  <c r="M60" i="2"/>
  <c r="J53" i="2"/>
  <c r="M48" i="2"/>
  <c r="J41" i="2"/>
  <c r="M36" i="2"/>
  <c r="J26" i="2"/>
  <c r="M19" i="2"/>
  <c r="M17" i="2"/>
  <c r="J168" i="2"/>
  <c r="M163" i="2"/>
  <c r="J156" i="2"/>
  <c r="M151" i="2"/>
  <c r="J144" i="2"/>
  <c r="M139" i="2"/>
  <c r="J132" i="2"/>
  <c r="M127" i="2"/>
  <c r="J120" i="2"/>
  <c r="M115" i="2"/>
  <c r="J108" i="2"/>
  <c r="M103" i="2"/>
  <c r="J96" i="2"/>
  <c r="M91" i="2"/>
  <c r="J84" i="2"/>
  <c r="M79" i="2"/>
  <c r="J72" i="2"/>
  <c r="M67" i="2"/>
  <c r="J60" i="2"/>
  <c r="M55" i="2"/>
  <c r="J48" i="2"/>
  <c r="M43" i="2"/>
  <c r="J36" i="2"/>
  <c r="J19" i="2"/>
  <c r="J17" i="2"/>
  <c r="M170" i="2"/>
  <c r="J163" i="2"/>
  <c r="M158" i="2"/>
  <c r="J151" i="2"/>
  <c r="M146" i="2"/>
  <c r="J139" i="2"/>
  <c r="M134" i="2"/>
  <c r="J127" i="2"/>
  <c r="M122" i="2"/>
  <c r="J115" i="2"/>
  <c r="M110" i="2"/>
  <c r="J103" i="2"/>
  <c r="M98" i="2"/>
  <c r="J91" i="2"/>
  <c r="M86" i="2"/>
  <c r="J79" i="2"/>
  <c r="M74" i="2"/>
  <c r="J67" i="2"/>
  <c r="M62" i="2"/>
  <c r="J55" i="2"/>
  <c r="M50" i="2"/>
  <c r="J43" i="2"/>
  <c r="M38" i="2"/>
  <c r="M28" i="2"/>
  <c r="M12" i="2"/>
  <c r="M10" i="2"/>
  <c r="J146" i="2"/>
  <c r="J134" i="2"/>
  <c r="J122" i="2"/>
  <c r="J98" i="2"/>
  <c r="M93" i="2"/>
  <c r="M81" i="2"/>
  <c r="J74" i="2"/>
  <c r="M69" i="2"/>
  <c r="J62" i="2"/>
  <c r="M57" i="2"/>
  <c r="J50" i="2"/>
  <c r="M45" i="2"/>
  <c r="J38" i="2"/>
  <c r="M33" i="2"/>
  <c r="J12" i="2"/>
  <c r="J170" i="2"/>
  <c r="M165" i="2"/>
  <c r="J158" i="2"/>
  <c r="M117" i="2"/>
  <c r="J110" i="2"/>
  <c r="R176" i="2"/>
  <c r="S176" i="2" s="1"/>
  <c r="M172" i="2"/>
  <c r="J165" i="2"/>
  <c r="M160" i="2"/>
  <c r="J153" i="2"/>
  <c r="M148" i="2"/>
  <c r="J141" i="2"/>
  <c r="M136" i="2"/>
  <c r="J129" i="2"/>
  <c r="M124" i="2"/>
  <c r="J117" i="2"/>
  <c r="M112" i="2"/>
  <c r="J105" i="2"/>
  <c r="M100" i="2"/>
  <c r="J93" i="2"/>
  <c r="M88" i="2"/>
  <c r="J81" i="2"/>
  <c r="M76" i="2"/>
  <c r="J69" i="2"/>
  <c r="M64" i="2"/>
  <c r="J57" i="2"/>
  <c r="M52" i="2"/>
  <c r="J45" i="2"/>
  <c r="M40" i="2"/>
  <c r="J33" i="2"/>
  <c r="M25" i="2"/>
  <c r="J14" i="2"/>
  <c r="M14" i="2"/>
  <c r="M26" i="2"/>
  <c r="M9" i="2"/>
  <c r="M21" i="2"/>
  <c r="M20" i="2"/>
  <c r="M15" i="2"/>
  <c r="M27" i="2"/>
  <c r="M153" i="2"/>
  <c r="M141" i="2"/>
  <c r="M129" i="2"/>
  <c r="M105" i="2"/>
  <c r="J86" i="2"/>
  <c r="J32" i="2"/>
  <c r="J172" i="2"/>
  <c r="M167" i="2"/>
  <c r="J160" i="2"/>
  <c r="M155" i="2"/>
  <c r="J148" i="2"/>
  <c r="M143" i="2"/>
  <c r="J136" i="2"/>
  <c r="M131" i="2"/>
  <c r="J124" i="2"/>
  <c r="M119" i="2"/>
  <c r="J112" i="2"/>
  <c r="M107" i="2"/>
  <c r="J100" i="2"/>
  <c r="M95" i="2"/>
  <c r="J88" i="2"/>
  <c r="M83" i="2"/>
  <c r="J76" i="2"/>
  <c r="M71" i="2"/>
  <c r="J64" i="2"/>
  <c r="M59" i="2"/>
  <c r="J52" i="2"/>
  <c r="M47" i="2"/>
  <c r="J40" i="2"/>
  <c r="M35" i="2"/>
  <c r="J25" i="2"/>
  <c r="J23" i="2"/>
  <c r="F176" i="2"/>
  <c r="G176" i="2" s="1"/>
  <c r="O176" i="2"/>
  <c r="P176" i="2" s="1"/>
  <c r="AK36" i="11" l="1"/>
  <c r="I55" i="7"/>
  <c r="H69" i="7"/>
  <c r="H75" i="7"/>
  <c r="O45" i="3"/>
  <c r="I30" i="7"/>
  <c r="H30" i="7"/>
  <c r="G15" i="4"/>
  <c r="M45" i="3"/>
  <c r="D27" i="9"/>
  <c r="M44" i="3"/>
  <c r="H78" i="7"/>
  <c r="I37" i="7"/>
  <c r="H58" i="7"/>
  <c r="H59" i="7" s="1"/>
  <c r="H64" i="7"/>
  <c r="H65" i="7" s="1"/>
  <c r="I61" i="7"/>
  <c r="I62" i="7" s="1"/>
  <c r="H46" i="7"/>
  <c r="I20" i="7"/>
  <c r="I21" i="7" s="1"/>
  <c r="H61" i="7"/>
  <c r="H62" i="7" s="1"/>
  <c r="C29" i="9"/>
  <c r="F11" i="4"/>
  <c r="G38" i="4" s="1"/>
  <c r="C28" i="9"/>
  <c r="D28" i="9" s="1"/>
  <c r="I17" i="4"/>
  <c r="M46" i="3"/>
  <c r="I10" i="11"/>
  <c r="I31" i="1" s="1"/>
  <c r="C8" i="16"/>
  <c r="O44" i="3"/>
  <c r="H11" i="4"/>
  <c r="H41" i="4" s="1"/>
  <c r="G37" i="7"/>
  <c r="D30" i="4"/>
  <c r="C39" i="9"/>
  <c r="H49" i="7"/>
  <c r="F30" i="4"/>
  <c r="I64" i="7"/>
  <c r="J64" i="7" s="1"/>
  <c r="L64" i="7" s="1"/>
  <c r="C40" i="9"/>
  <c r="H30" i="4"/>
  <c r="I49" i="7"/>
  <c r="C35" i="9"/>
  <c r="G52" i="7"/>
  <c r="H53" i="7" s="1"/>
  <c r="R22" i="11"/>
  <c r="R23" i="11" s="1"/>
  <c r="Q23" i="11" s="1"/>
  <c r="H42" i="7"/>
  <c r="I58" i="7"/>
  <c r="I59" i="7" s="1"/>
  <c r="C38" i="9"/>
  <c r="G26" i="18"/>
  <c r="G15" i="7"/>
  <c r="H27" i="7" s="1"/>
  <c r="J26" i="18"/>
  <c r="H15" i="7"/>
  <c r="I27" i="7" s="1"/>
  <c r="C17" i="9"/>
  <c r="J23" i="7"/>
  <c r="L23" i="7" s="1"/>
  <c r="I24" i="7"/>
  <c r="I52" i="7"/>
  <c r="C36" i="9"/>
  <c r="D11" i="4"/>
  <c r="E18" i="4" s="1"/>
  <c r="F15" i="7"/>
  <c r="G27" i="7" s="1"/>
  <c r="V174" i="2"/>
  <c r="I42" i="7"/>
  <c r="G46" i="7"/>
  <c r="I46" i="7"/>
  <c r="C34" i="9"/>
  <c r="C49" i="9"/>
  <c r="G49" i="7"/>
  <c r="Q44" i="3"/>
  <c r="G20" i="7"/>
  <c r="G21" i="7" s="1"/>
  <c r="G42" i="7"/>
  <c r="G58" i="7"/>
  <c r="G59" i="7" s="1"/>
  <c r="C19" i="9"/>
  <c r="E7" i="1"/>
  <c r="C6" i="13" s="1"/>
  <c r="Q45" i="3"/>
  <c r="E15" i="4"/>
  <c r="I15" i="11"/>
  <c r="M6" i="11" s="1"/>
  <c r="L19" i="11"/>
  <c r="G20" i="11" s="1"/>
  <c r="I16" i="11"/>
  <c r="E10" i="1"/>
  <c r="O46" i="3"/>
  <c r="L77" i="7"/>
  <c r="E48" i="9"/>
  <c r="E49" i="9" s="1"/>
  <c r="U4" i="9"/>
  <c r="U8" i="9" s="1"/>
  <c r="G39" i="7"/>
  <c r="G40" i="7" s="1"/>
  <c r="H39" i="7"/>
  <c r="H40" i="7" s="1"/>
  <c r="J29" i="7"/>
  <c r="J39" i="7" s="1"/>
  <c r="E28" i="9" s="1"/>
  <c r="Q46" i="3"/>
  <c r="D19" i="4"/>
  <c r="F19" i="4"/>
  <c r="I39" i="7"/>
  <c r="I40" i="7" s="1"/>
  <c r="H33" i="7"/>
  <c r="H15" i="4"/>
  <c r="I15" i="4" s="1"/>
  <c r="I69" i="7"/>
  <c r="F179" i="2"/>
  <c r="F181" i="2" s="1"/>
  <c r="G181" i="2" s="1"/>
  <c r="I78" i="7"/>
  <c r="G42" i="4"/>
  <c r="I179" i="2"/>
  <c r="I181" i="2" s="1"/>
  <c r="J181" i="2" s="1"/>
  <c r="G66" i="14"/>
  <c r="L74" i="7"/>
  <c r="L20" i="7"/>
  <c r="G68" i="14"/>
  <c r="N9" i="7"/>
  <c r="I75" i="7"/>
  <c r="L68" i="7"/>
  <c r="W16" i="2"/>
  <c r="V178" i="2"/>
  <c r="W29" i="2"/>
  <c r="G67" i="14"/>
  <c r="Q21" i="11"/>
  <c r="S21" i="11" s="1"/>
  <c r="M176" i="2"/>
  <c r="L181" i="2"/>
  <c r="M181" i="2" s="1"/>
  <c r="J176" i="2"/>
  <c r="D20" i="11"/>
  <c r="E20" i="11"/>
  <c r="F20" i="11"/>
  <c r="C22" i="11"/>
  <c r="B21" i="11"/>
  <c r="W34" i="2"/>
  <c r="W36" i="2"/>
  <c r="W38" i="2"/>
  <c r="W40" i="2"/>
  <c r="W42" i="2"/>
  <c r="W44" i="2"/>
  <c r="W46" i="2"/>
  <c r="W48" i="2"/>
  <c r="W50" i="2"/>
  <c r="W52" i="2"/>
  <c r="W54" i="2"/>
  <c r="W56" i="2"/>
  <c r="W58" i="2"/>
  <c r="W60" i="2"/>
  <c r="W62" i="2"/>
  <c r="W64" i="2"/>
  <c r="W66" i="2"/>
  <c r="W68" i="2"/>
  <c r="W70" i="2"/>
  <c r="W72" i="2"/>
  <c r="W74" i="2"/>
  <c r="W76" i="2"/>
  <c r="W78" i="2"/>
  <c r="W80" i="2"/>
  <c r="W82" i="2"/>
  <c r="W84" i="2"/>
  <c r="W86" i="2"/>
  <c r="W88" i="2"/>
  <c r="W90" i="2"/>
  <c r="W92" i="2"/>
  <c r="W94" i="2"/>
  <c r="W96" i="2"/>
  <c r="W98" i="2"/>
  <c r="W100" i="2"/>
  <c r="W102" i="2"/>
  <c r="W104" i="2"/>
  <c r="W106" i="2"/>
  <c r="W108" i="2"/>
  <c r="W110" i="2"/>
  <c r="W112" i="2"/>
  <c r="W114" i="2"/>
  <c r="W116" i="2"/>
  <c r="W118" i="2"/>
  <c r="W120" i="2"/>
  <c r="W122" i="2"/>
  <c r="W124" i="2"/>
  <c r="W126" i="2"/>
  <c r="W128" i="2"/>
  <c r="W130" i="2"/>
  <c r="W132" i="2"/>
  <c r="W134" i="2"/>
  <c r="W136" i="2"/>
  <c r="W138" i="2"/>
  <c r="W140" i="2"/>
  <c r="W142" i="2"/>
  <c r="W144" i="2"/>
  <c r="W146" i="2"/>
  <c r="W148" i="2"/>
  <c r="W150" i="2"/>
  <c r="W152" i="2"/>
  <c r="W154" i="2"/>
  <c r="W156" i="2"/>
  <c r="W158" i="2"/>
  <c r="W160" i="2"/>
  <c r="W162" i="2"/>
  <c r="W164" i="2"/>
  <c r="W166" i="2"/>
  <c r="W168" i="2"/>
  <c r="W170" i="2"/>
  <c r="W172" i="2"/>
  <c r="W17" i="2"/>
  <c r="W9" i="2"/>
  <c r="W33" i="2"/>
  <c r="W35" i="2"/>
  <c r="W37" i="2"/>
  <c r="W39" i="2"/>
  <c r="W41" i="2"/>
  <c r="W43" i="2"/>
  <c r="W45" i="2"/>
  <c r="W47" i="2"/>
  <c r="W49" i="2"/>
  <c r="W51" i="2"/>
  <c r="W53" i="2"/>
  <c r="W55" i="2"/>
  <c r="W57" i="2"/>
  <c r="W59" i="2"/>
  <c r="W61" i="2"/>
  <c r="W63" i="2"/>
  <c r="W65" i="2"/>
  <c r="W67" i="2"/>
  <c r="W69" i="2"/>
  <c r="W71" i="2"/>
  <c r="W73" i="2"/>
  <c r="W75" i="2"/>
  <c r="W77" i="2"/>
  <c r="W79" i="2"/>
  <c r="W81" i="2"/>
  <c r="W83" i="2"/>
  <c r="W85" i="2"/>
  <c r="W87" i="2"/>
  <c r="W89" i="2"/>
  <c r="W91" i="2"/>
  <c r="W93" i="2"/>
  <c r="W95" i="2"/>
  <c r="W97" i="2"/>
  <c r="W99" i="2"/>
  <c r="W101" i="2"/>
  <c r="W103" i="2"/>
  <c r="W105" i="2"/>
  <c r="W107" i="2"/>
  <c r="W109" i="2"/>
  <c r="W111" i="2"/>
  <c r="W113" i="2"/>
  <c r="W115" i="2"/>
  <c r="W117" i="2"/>
  <c r="W119" i="2"/>
  <c r="W121" i="2"/>
  <c r="W123" i="2"/>
  <c r="W125" i="2"/>
  <c r="W127" i="2"/>
  <c r="W129" i="2"/>
  <c r="W131" i="2"/>
  <c r="W133" i="2"/>
  <c r="W135" i="2"/>
  <c r="W137" i="2"/>
  <c r="W139" i="2"/>
  <c r="W141" i="2"/>
  <c r="W143" i="2"/>
  <c r="W145" i="2"/>
  <c r="W147" i="2"/>
  <c r="W149" i="2"/>
  <c r="W151" i="2"/>
  <c r="W153" i="2"/>
  <c r="W155" i="2"/>
  <c r="W157" i="2"/>
  <c r="W159" i="2"/>
  <c r="W161" i="2"/>
  <c r="W163" i="2"/>
  <c r="W165" i="2"/>
  <c r="W167" i="2"/>
  <c r="W169" i="2"/>
  <c r="W171" i="2"/>
  <c r="W173" i="2"/>
  <c r="W11" i="2"/>
  <c r="W23" i="2"/>
  <c r="W8" i="2"/>
  <c r="W32" i="2"/>
  <c r="W27" i="2"/>
  <c r="W18" i="2"/>
  <c r="W21" i="2"/>
  <c r="W12" i="2"/>
  <c r="W19" i="2"/>
  <c r="W15" i="2"/>
  <c r="W24" i="2"/>
  <c r="W13" i="2"/>
  <c r="W22" i="2"/>
  <c r="W14" i="2"/>
  <c r="W25" i="2"/>
  <c r="W10" i="2"/>
  <c r="W20" i="2"/>
  <c r="W28" i="2"/>
  <c r="W26" i="2"/>
  <c r="D30" i="1" l="1"/>
  <c r="C30" i="13" s="1"/>
  <c r="C9" i="13"/>
  <c r="AL36" i="11"/>
  <c r="U22" i="14"/>
  <c r="F41" i="4"/>
  <c r="H83" i="7" s="1"/>
  <c r="H84" i="7" s="1"/>
  <c r="I36" i="1"/>
  <c r="J31" i="1" s="1"/>
  <c r="G31" i="13"/>
  <c r="H42" i="4"/>
  <c r="I80" i="7" s="1"/>
  <c r="I81" i="7" s="1"/>
  <c r="D41" i="4"/>
  <c r="G83" i="7" s="1"/>
  <c r="G84" i="7" s="1"/>
  <c r="F42" i="4"/>
  <c r="H80" i="7" s="1"/>
  <c r="H81" i="7" s="1"/>
  <c r="M47" i="3"/>
  <c r="I27" i="4"/>
  <c r="I24" i="4"/>
  <c r="J28" i="18"/>
  <c r="J27" i="18" s="1"/>
  <c r="K27" i="18" s="1"/>
  <c r="G8" i="4"/>
  <c r="G6" i="4"/>
  <c r="G28" i="18"/>
  <c r="H28" i="18" s="1"/>
  <c r="I18" i="4"/>
  <c r="I23" i="4"/>
  <c r="H47" i="7"/>
  <c r="I30" i="4"/>
  <c r="I28" i="4"/>
  <c r="I43" i="7"/>
  <c r="G28" i="4"/>
  <c r="G29" i="4"/>
  <c r="G30" i="4"/>
  <c r="G43" i="7"/>
  <c r="G18" i="4"/>
  <c r="G26" i="4"/>
  <c r="G24" i="4"/>
  <c r="I8" i="4"/>
  <c r="G19" i="4"/>
  <c r="O47" i="3"/>
  <c r="E8" i="4"/>
  <c r="M19" i="11"/>
  <c r="D42" i="4"/>
  <c r="G80" i="7" s="1"/>
  <c r="G81" i="7" s="1"/>
  <c r="I11" i="4"/>
  <c r="I34" i="4"/>
  <c r="I35" i="4"/>
  <c r="I7" i="4"/>
  <c r="I37" i="4"/>
  <c r="I36" i="4"/>
  <c r="I9" i="4"/>
  <c r="I10" i="4"/>
  <c r="I6" i="4"/>
  <c r="I38" i="4"/>
  <c r="E28" i="4"/>
  <c r="E27" i="4"/>
  <c r="E23" i="4"/>
  <c r="I25" i="4"/>
  <c r="I29" i="4"/>
  <c r="G11" i="4"/>
  <c r="G25" i="4"/>
  <c r="G10" i="4"/>
  <c r="G7" i="4"/>
  <c r="G34" i="4"/>
  <c r="G35" i="4"/>
  <c r="G9" i="4"/>
  <c r="G37" i="4"/>
  <c r="G36" i="4"/>
  <c r="G23" i="4"/>
  <c r="G27" i="4"/>
  <c r="E19" i="4"/>
  <c r="E26" i="4"/>
  <c r="I26" i="4"/>
  <c r="R24" i="11"/>
  <c r="Q24" i="11" s="1"/>
  <c r="I65" i="7"/>
  <c r="Q22" i="11"/>
  <c r="T22" i="11" s="1"/>
  <c r="Y9" i="12"/>
  <c r="Y9" i="26"/>
  <c r="J6" i="18"/>
  <c r="G6" i="18" s="1"/>
  <c r="I50" i="7"/>
  <c r="H43" i="7"/>
  <c r="E40" i="9"/>
  <c r="H34" i="7"/>
  <c r="Q47" i="3"/>
  <c r="E25" i="4"/>
  <c r="E38" i="4"/>
  <c r="E24" i="4"/>
  <c r="G50" i="7"/>
  <c r="E6" i="4"/>
  <c r="E29" i="4"/>
  <c r="C26" i="9"/>
  <c r="J36" i="7"/>
  <c r="E27" i="9" s="1"/>
  <c r="F27" i="9" s="1"/>
  <c r="E19" i="9"/>
  <c r="G29" i="18"/>
  <c r="C13" i="9"/>
  <c r="C22" i="9"/>
  <c r="D49" i="9" s="1"/>
  <c r="V176" i="2"/>
  <c r="V181" i="2" s="1"/>
  <c r="W181" i="2" s="1"/>
  <c r="W174" i="2"/>
  <c r="N20" i="7"/>
  <c r="G18" i="9"/>
  <c r="L36" i="7"/>
  <c r="G27" i="9" s="1"/>
  <c r="G19" i="9"/>
  <c r="C52" i="9"/>
  <c r="I83" i="7"/>
  <c r="I84" i="7" s="1"/>
  <c r="C41" i="9"/>
  <c r="I47" i="7"/>
  <c r="J46" i="7"/>
  <c r="J46" i="18"/>
  <c r="H56" i="7"/>
  <c r="E11" i="4"/>
  <c r="E36" i="4"/>
  <c r="E37" i="4"/>
  <c r="E10" i="4"/>
  <c r="E34" i="4"/>
  <c r="E9" i="4"/>
  <c r="E35" i="4"/>
  <c r="E7" i="4"/>
  <c r="G56" i="7"/>
  <c r="I56" i="7"/>
  <c r="G34" i="7"/>
  <c r="E30" i="4"/>
  <c r="G46" i="18"/>
  <c r="P9" i="7"/>
  <c r="I11" i="9"/>
  <c r="M23" i="18" s="1"/>
  <c r="J52" i="7"/>
  <c r="I53" i="7"/>
  <c r="H50" i="7"/>
  <c r="T21" i="11"/>
  <c r="N68" i="7"/>
  <c r="G45" i="9"/>
  <c r="N74" i="7"/>
  <c r="G47" i="9"/>
  <c r="N64" i="7"/>
  <c r="G40" i="9"/>
  <c r="N77" i="7"/>
  <c r="G48" i="9"/>
  <c r="W4" i="9"/>
  <c r="W8" i="9" s="1"/>
  <c r="L29" i="7"/>
  <c r="G21" i="9" s="1"/>
  <c r="E21" i="9"/>
  <c r="F28" i="9" s="1"/>
  <c r="D20" i="4"/>
  <c r="E20" i="4" s="1"/>
  <c r="I33" i="7"/>
  <c r="I34" i="7" s="1"/>
  <c r="H19" i="4"/>
  <c r="F20" i="4"/>
  <c r="G69" i="14"/>
  <c r="U21" i="11"/>
  <c r="U23" i="11"/>
  <c r="T23" i="11"/>
  <c r="I20" i="11"/>
  <c r="C23" i="11"/>
  <c r="B22" i="11"/>
  <c r="D21" i="11"/>
  <c r="F21" i="11"/>
  <c r="E21" i="11"/>
  <c r="N23" i="7"/>
  <c r="V22" i="14" l="1"/>
  <c r="AF37" i="11"/>
  <c r="Z26" i="26"/>
  <c r="C53" i="9"/>
  <c r="D53" i="9" s="1"/>
  <c r="J31" i="18"/>
  <c r="K31" i="18" s="1"/>
  <c r="I18" i="9"/>
  <c r="Z26" i="12"/>
  <c r="G31" i="18"/>
  <c r="H31" i="18" s="1"/>
  <c r="K33" i="18"/>
  <c r="K26" i="18"/>
  <c r="U22" i="11"/>
  <c r="K28" i="18"/>
  <c r="H26" i="18"/>
  <c r="H29" i="18"/>
  <c r="D19" i="9"/>
  <c r="G27" i="18"/>
  <c r="H27" i="18" s="1"/>
  <c r="H33" i="18"/>
  <c r="R25" i="11"/>
  <c r="Q25" i="11" s="1"/>
  <c r="F31" i="4"/>
  <c r="G31" i="4" s="1"/>
  <c r="G20" i="4"/>
  <c r="J29" i="18"/>
  <c r="K29" i="18" s="1"/>
  <c r="I19" i="4"/>
  <c r="D40" i="9"/>
  <c r="P20" i="7"/>
  <c r="D41" i="9"/>
  <c r="D34" i="9"/>
  <c r="D36" i="9"/>
  <c r="S22" i="11"/>
  <c r="S23" i="11" s="1"/>
  <c r="S24" i="11" s="1"/>
  <c r="G36" i="13"/>
  <c r="D38" i="9"/>
  <c r="D35" i="9"/>
  <c r="W176" i="2"/>
  <c r="D52" i="9"/>
  <c r="D17" i="9"/>
  <c r="H27" i="9"/>
  <c r="E34" i="9"/>
  <c r="L46" i="7"/>
  <c r="N36" i="7"/>
  <c r="I27" i="9" s="1"/>
  <c r="I19" i="9"/>
  <c r="G30" i="18"/>
  <c r="L52" i="7"/>
  <c r="E36" i="9"/>
  <c r="D22" i="9"/>
  <c r="D20" i="9"/>
  <c r="D29" i="9"/>
  <c r="D46" i="9"/>
  <c r="D21" i="9"/>
  <c r="D45" i="9"/>
  <c r="D39" i="9"/>
  <c r="D48" i="9"/>
  <c r="D47" i="9"/>
  <c r="D18" i="9"/>
  <c r="D37" i="9"/>
  <c r="D26" i="9"/>
  <c r="C30" i="9"/>
  <c r="D30" i="9" s="1"/>
  <c r="R9" i="7"/>
  <c r="K11" i="9"/>
  <c r="P74" i="7"/>
  <c r="I47" i="9"/>
  <c r="P77" i="7"/>
  <c r="I48" i="9"/>
  <c r="G49" i="9"/>
  <c r="P64" i="7"/>
  <c r="I40" i="9"/>
  <c r="P68" i="7"/>
  <c r="I45" i="9"/>
  <c r="N29" i="7"/>
  <c r="I21" i="9" s="1"/>
  <c r="L39" i="7"/>
  <c r="G28" i="9" s="1"/>
  <c r="H28" i="9" s="1"/>
  <c r="D31" i="4"/>
  <c r="E31" i="4" s="1"/>
  <c r="H20" i="4"/>
  <c r="I41" i="8"/>
  <c r="H86" i="7"/>
  <c r="H7" i="7"/>
  <c r="U24" i="11"/>
  <c r="T24" i="11"/>
  <c r="H20" i="11"/>
  <c r="E22" i="11"/>
  <c r="D22" i="11"/>
  <c r="F22" i="11"/>
  <c r="C24" i="11"/>
  <c r="B23" i="11"/>
  <c r="P23" i="7"/>
  <c r="W22" i="14" l="1"/>
  <c r="X22" i="14"/>
  <c r="AJ37" i="11" s="1"/>
  <c r="AH37" i="11"/>
  <c r="Z27" i="26"/>
  <c r="J27" i="9"/>
  <c r="K18" i="9"/>
  <c r="Z27" i="12"/>
  <c r="H31" i="13"/>
  <c r="H35" i="13"/>
  <c r="H34" i="13"/>
  <c r="F39" i="4"/>
  <c r="G39" i="4" s="1"/>
  <c r="R26" i="11"/>
  <c r="Q26" i="11" s="1"/>
  <c r="J30" i="18"/>
  <c r="J44" i="18" s="1"/>
  <c r="R20" i="7"/>
  <c r="H31" i="4"/>
  <c r="I20" i="4"/>
  <c r="H30" i="13"/>
  <c r="H33" i="13"/>
  <c r="H32" i="13"/>
  <c r="C31" i="9"/>
  <c r="N52" i="7"/>
  <c r="G36" i="9"/>
  <c r="C14" i="9"/>
  <c r="G44" i="18"/>
  <c r="H30" i="18"/>
  <c r="G32" i="18"/>
  <c r="P36" i="7"/>
  <c r="K27" i="9" s="1"/>
  <c r="K19" i="9"/>
  <c r="N46" i="7"/>
  <c r="G34" i="9"/>
  <c r="T9" i="7"/>
  <c r="M11" i="9"/>
  <c r="R64" i="7"/>
  <c r="K40" i="9"/>
  <c r="R77" i="7"/>
  <c r="K48" i="9"/>
  <c r="I49" i="9"/>
  <c r="R68" i="7"/>
  <c r="K45" i="9"/>
  <c r="R74" i="7"/>
  <c r="K47" i="9"/>
  <c r="P29" i="7"/>
  <c r="K21" i="9" s="1"/>
  <c r="N39" i="7"/>
  <c r="I28" i="9" s="1"/>
  <c r="J28" i="9" s="1"/>
  <c r="J7" i="18"/>
  <c r="M6" i="18"/>
  <c r="F55" i="10"/>
  <c r="C65" i="9"/>
  <c r="D39" i="4"/>
  <c r="E39" i="4" s="1"/>
  <c r="G86" i="7"/>
  <c r="G13" i="7"/>
  <c r="H13" i="7"/>
  <c r="U25" i="11"/>
  <c r="T25" i="11"/>
  <c r="S25" i="11"/>
  <c r="F23" i="11"/>
  <c r="E23" i="11"/>
  <c r="D23" i="11"/>
  <c r="M10" i="11"/>
  <c r="J15" i="18" s="1"/>
  <c r="M15" i="18" s="1"/>
  <c r="J20" i="11"/>
  <c r="C25" i="11"/>
  <c r="B24" i="11"/>
  <c r="R23" i="7"/>
  <c r="J47" i="18" l="1"/>
  <c r="G7" i="18"/>
  <c r="M7" i="18"/>
  <c r="M49" i="18" s="1"/>
  <c r="AI37" i="11"/>
  <c r="Y22" i="14"/>
  <c r="Z22" i="14" s="1"/>
  <c r="Z28" i="26"/>
  <c r="R27" i="11"/>
  <c r="Q27" i="11" s="1"/>
  <c r="L27" i="9"/>
  <c r="M18" i="9"/>
  <c r="Z28" i="12"/>
  <c r="K30" i="18"/>
  <c r="T20" i="7"/>
  <c r="J32" i="18"/>
  <c r="J45" i="18" s="1"/>
  <c r="H39" i="4"/>
  <c r="I31" i="4"/>
  <c r="H36" i="13"/>
  <c r="G47" i="18"/>
  <c r="V9" i="7"/>
  <c r="O11" i="9"/>
  <c r="P46" i="7"/>
  <c r="I34" i="9"/>
  <c r="I36" i="9"/>
  <c r="P52" i="7"/>
  <c r="G34" i="18"/>
  <c r="H34" i="18" s="1"/>
  <c r="H32" i="18"/>
  <c r="G45" i="18"/>
  <c r="R36" i="7"/>
  <c r="M27" i="9" s="1"/>
  <c r="M19" i="9"/>
  <c r="D31" i="9"/>
  <c r="C42" i="9"/>
  <c r="D42" i="9" s="1"/>
  <c r="F61" i="10"/>
  <c r="M35" i="18"/>
  <c r="G15" i="18"/>
  <c r="G35" i="18" s="1"/>
  <c r="H35" i="18" s="1"/>
  <c r="J35" i="18"/>
  <c r="J32" i="1"/>
  <c r="J33" i="1"/>
  <c r="T74" i="7"/>
  <c r="M47" i="9"/>
  <c r="K49" i="9"/>
  <c r="T68" i="7"/>
  <c r="M45" i="9"/>
  <c r="T77" i="7"/>
  <c r="M48" i="9"/>
  <c r="T64" i="7"/>
  <c r="M40" i="9"/>
  <c r="R29" i="7"/>
  <c r="M21" i="9" s="1"/>
  <c r="P39" i="7"/>
  <c r="K28" i="9" s="1"/>
  <c r="L28" i="9" s="1"/>
  <c r="J49" i="18"/>
  <c r="G49" i="18" s="1"/>
  <c r="J34" i="1"/>
  <c r="J30" i="1"/>
  <c r="J35" i="1"/>
  <c r="U26" i="11"/>
  <c r="T26" i="11"/>
  <c r="S26" i="11"/>
  <c r="K20" i="11"/>
  <c r="L20" i="11" s="1"/>
  <c r="G21" i="11" s="1"/>
  <c r="F24" i="11"/>
  <c r="E24" i="11"/>
  <c r="D24" i="11"/>
  <c r="C26" i="11"/>
  <c r="B25" i="11"/>
  <c r="T23" i="7"/>
  <c r="AK37" i="11" l="1"/>
  <c r="N27" i="9"/>
  <c r="R28" i="11"/>
  <c r="Q28" i="11" s="1"/>
  <c r="Z29" i="26"/>
  <c r="V20" i="7"/>
  <c r="Z29" i="12"/>
  <c r="O18" i="9"/>
  <c r="J34" i="18"/>
  <c r="K34" i="18" s="1"/>
  <c r="K32" i="18"/>
  <c r="C50" i="9"/>
  <c r="I39" i="4"/>
  <c r="F203" i="10"/>
  <c r="F206" i="10" s="1"/>
  <c r="F101" i="10"/>
  <c r="F104" i="10" s="1"/>
  <c r="T36" i="7"/>
  <c r="O27" i="9" s="1"/>
  <c r="O19" i="9"/>
  <c r="K35" i="18"/>
  <c r="J39" i="18"/>
  <c r="J41" i="18" s="1"/>
  <c r="J36" i="18"/>
  <c r="G36" i="18"/>
  <c r="R46" i="7"/>
  <c r="K34" i="9"/>
  <c r="X9" i="7"/>
  <c r="Q11" i="9"/>
  <c r="R52" i="7"/>
  <c r="K36" i="9"/>
  <c r="D12" i="10"/>
  <c r="G39" i="18"/>
  <c r="F158" i="10"/>
  <c r="F245" i="10"/>
  <c r="F143" i="10"/>
  <c r="F260" i="10"/>
  <c r="V77" i="7"/>
  <c r="O48" i="9"/>
  <c r="M49" i="9"/>
  <c r="V64" i="7"/>
  <c r="O40" i="9"/>
  <c r="V68" i="7"/>
  <c r="O45" i="9"/>
  <c r="V74" i="7"/>
  <c r="O47" i="9"/>
  <c r="T29" i="7"/>
  <c r="O21" i="9" s="1"/>
  <c r="R39" i="7"/>
  <c r="M28" i="9" s="1"/>
  <c r="N28" i="9" s="1"/>
  <c r="J36" i="1"/>
  <c r="L6" i="7"/>
  <c r="J12" i="7"/>
  <c r="J15" i="7" s="1"/>
  <c r="J26" i="7" s="1"/>
  <c r="I13" i="7"/>
  <c r="I86" i="7"/>
  <c r="M20" i="11"/>
  <c r="U27" i="11"/>
  <c r="T27" i="11"/>
  <c r="S27" i="11"/>
  <c r="I21" i="11"/>
  <c r="C27" i="11"/>
  <c r="B26" i="11"/>
  <c r="F25" i="11"/>
  <c r="E25" i="11"/>
  <c r="D25" i="11"/>
  <c r="V23" i="7"/>
  <c r="U23" i="14" l="1"/>
  <c r="AL37" i="11"/>
  <c r="R29" i="11"/>
  <c r="Q29" i="11" s="1"/>
  <c r="Z30" i="26"/>
  <c r="Q18" i="9"/>
  <c r="P27" i="9"/>
  <c r="X20" i="7"/>
  <c r="Z20" i="7" s="1"/>
  <c r="Z30" i="12"/>
  <c r="D50" i="9"/>
  <c r="C55" i="9"/>
  <c r="D55" i="9" s="1"/>
  <c r="Y12" i="26"/>
  <c r="Y12" i="12"/>
  <c r="Y39" i="12" s="1"/>
  <c r="C7" i="16"/>
  <c r="Z9" i="7"/>
  <c r="S11" i="9"/>
  <c r="T46" i="7"/>
  <c r="M34" i="9"/>
  <c r="V36" i="7"/>
  <c r="Q27" i="9" s="1"/>
  <c r="Q19" i="9"/>
  <c r="L58" i="7"/>
  <c r="G10" i="9"/>
  <c r="G9" i="9" s="1"/>
  <c r="G9" i="18"/>
  <c r="M36" i="9"/>
  <c r="T52" i="7"/>
  <c r="D10" i="10"/>
  <c r="N5" i="1"/>
  <c r="G15" i="13" s="1"/>
  <c r="G41" i="18"/>
  <c r="F224" i="10"/>
  <c r="F231" i="10"/>
  <c r="F216" i="10"/>
  <c r="F232" i="10"/>
  <c r="F235" i="10" s="1"/>
  <c r="F186" i="10" s="1"/>
  <c r="F129" i="10"/>
  <c r="F130" i="10"/>
  <c r="F133" i="10" s="1"/>
  <c r="F114" i="10"/>
  <c r="F122" i="10"/>
  <c r="X74" i="7"/>
  <c r="Q47" i="9"/>
  <c r="X64" i="7"/>
  <c r="Q40" i="9"/>
  <c r="O49" i="9"/>
  <c r="X68" i="7"/>
  <c r="Q45" i="9"/>
  <c r="X77" i="7"/>
  <c r="Q48" i="9"/>
  <c r="J55" i="7"/>
  <c r="E37" i="9" s="1"/>
  <c r="E12" i="9"/>
  <c r="V29" i="7"/>
  <c r="Q21" i="9" s="1"/>
  <c r="T39" i="7"/>
  <c r="O28" i="9" s="1"/>
  <c r="P28" i="9" s="1"/>
  <c r="J13" i="7"/>
  <c r="N6" i="7"/>
  <c r="L12" i="7"/>
  <c r="U28" i="11"/>
  <c r="T28" i="11"/>
  <c r="S28" i="11"/>
  <c r="F26" i="11"/>
  <c r="E26" i="11"/>
  <c r="D26" i="11"/>
  <c r="C28" i="11"/>
  <c r="B27" i="11"/>
  <c r="H21" i="11"/>
  <c r="J21" i="11" s="1"/>
  <c r="X23" i="7"/>
  <c r="R30" i="11" l="1"/>
  <c r="V23" i="14"/>
  <c r="AF38" i="11"/>
  <c r="R27" i="9"/>
  <c r="S18" i="9"/>
  <c r="Z31" i="26"/>
  <c r="N96" i="12"/>
  <c r="N99" i="12"/>
  <c r="N97" i="12"/>
  <c r="N98" i="12"/>
  <c r="O100" i="12"/>
  <c r="O96" i="12"/>
  <c r="N100" i="12"/>
  <c r="O97" i="12"/>
  <c r="N101" i="12"/>
  <c r="O98" i="12"/>
  <c r="N102" i="12"/>
  <c r="O101" i="12"/>
  <c r="O99" i="12"/>
  <c r="O102" i="12"/>
  <c r="G38" i="9"/>
  <c r="Z31" i="12"/>
  <c r="U18" i="9"/>
  <c r="C90" i="12"/>
  <c r="C78" i="12"/>
  <c r="C66" i="12"/>
  <c r="C54" i="12"/>
  <c r="C89" i="12"/>
  <c r="C77" i="12"/>
  <c r="C65" i="12"/>
  <c r="C53" i="12"/>
  <c r="C88" i="12"/>
  <c r="C76" i="12"/>
  <c r="C64" i="12"/>
  <c r="C52" i="12"/>
  <c r="C87" i="12"/>
  <c r="C75" i="12"/>
  <c r="C63" i="12"/>
  <c r="C51" i="12"/>
  <c r="C86" i="12"/>
  <c r="C74" i="12"/>
  <c r="C62" i="12"/>
  <c r="C50" i="12"/>
  <c r="C85" i="12"/>
  <c r="C73" i="12"/>
  <c r="C61" i="12"/>
  <c r="C49" i="12"/>
  <c r="C84" i="12"/>
  <c r="C72" i="12"/>
  <c r="C60" i="12"/>
  <c r="C48" i="12"/>
  <c r="C83" i="12"/>
  <c r="C71" i="12"/>
  <c r="C59" i="12"/>
  <c r="C47" i="12"/>
  <c r="C94" i="12"/>
  <c r="C82" i="12"/>
  <c r="C70" i="12"/>
  <c r="C58" i="12"/>
  <c r="C46" i="12"/>
  <c r="C93" i="12"/>
  <c r="C81" i="12"/>
  <c r="C69" i="12"/>
  <c r="C57" i="12"/>
  <c r="C92" i="12"/>
  <c r="C80" i="12"/>
  <c r="C68" i="12"/>
  <c r="C56" i="12"/>
  <c r="C91" i="12"/>
  <c r="C79" i="12"/>
  <c r="C67" i="12"/>
  <c r="C55" i="12"/>
  <c r="C159" i="12"/>
  <c r="C147" i="12"/>
  <c r="C135" i="12"/>
  <c r="C123" i="12"/>
  <c r="C111" i="12"/>
  <c r="C99" i="12"/>
  <c r="C161" i="12"/>
  <c r="C149" i="12"/>
  <c r="C137" i="12"/>
  <c r="C160" i="12"/>
  <c r="C148" i="12"/>
  <c r="C136" i="12"/>
  <c r="C124" i="12"/>
  <c r="C112" i="12"/>
  <c r="C100" i="12"/>
  <c r="C162" i="12"/>
  <c r="C150" i="12"/>
  <c r="C138" i="12"/>
  <c r="C126" i="12"/>
  <c r="C114" i="12"/>
  <c r="C102" i="12"/>
  <c r="C163" i="12"/>
  <c r="C164" i="12"/>
  <c r="C152" i="12"/>
  <c r="C140" i="12"/>
  <c r="C128" i="12"/>
  <c r="C116" i="12"/>
  <c r="C104" i="12"/>
  <c r="C165" i="12"/>
  <c r="C157" i="12"/>
  <c r="C145" i="12"/>
  <c r="C133" i="12"/>
  <c r="C121" i="12"/>
  <c r="C109" i="12"/>
  <c r="C97" i="12"/>
  <c r="C158" i="12"/>
  <c r="C146" i="12"/>
  <c r="C151" i="12"/>
  <c r="C127" i="12"/>
  <c r="C119" i="12"/>
  <c r="C115" i="12"/>
  <c r="C105" i="12"/>
  <c r="C106" i="12"/>
  <c r="C130" i="12"/>
  <c r="C110" i="12"/>
  <c r="C129" i="12"/>
  <c r="C101" i="12"/>
  <c r="C96" i="12"/>
  <c r="C156" i="12"/>
  <c r="C139" i="12"/>
  <c r="C120" i="12"/>
  <c r="C125" i="12"/>
  <c r="C144" i="12"/>
  <c r="C153" i="12"/>
  <c r="C107" i="12"/>
  <c r="C141" i="12"/>
  <c r="C103" i="12"/>
  <c r="C143" i="12"/>
  <c r="C134" i="12"/>
  <c r="C113" i="12"/>
  <c r="C108" i="12"/>
  <c r="C131" i="12"/>
  <c r="C122" i="12"/>
  <c r="C117" i="12"/>
  <c r="C155" i="12"/>
  <c r="C118" i="12"/>
  <c r="C98" i="12"/>
  <c r="C154" i="12"/>
  <c r="C142" i="12"/>
  <c r="C132" i="12"/>
  <c r="D7" i="25"/>
  <c r="C21" i="16"/>
  <c r="C89" i="26"/>
  <c r="C91" i="26"/>
  <c r="C55" i="26"/>
  <c r="C86" i="26"/>
  <c r="C52" i="26"/>
  <c r="C84" i="26"/>
  <c r="C49" i="26"/>
  <c r="C81" i="26"/>
  <c r="C46" i="26"/>
  <c r="C79" i="26"/>
  <c r="C74" i="26"/>
  <c r="C72" i="26"/>
  <c r="C69" i="26"/>
  <c r="C67" i="26"/>
  <c r="C64" i="26"/>
  <c r="C61" i="26"/>
  <c r="C93" i="26"/>
  <c r="C58" i="26"/>
  <c r="C71" i="26"/>
  <c r="C90" i="26"/>
  <c r="C53" i="26"/>
  <c r="C83" i="26"/>
  <c r="C56" i="26"/>
  <c r="C59" i="26"/>
  <c r="C62" i="26"/>
  <c r="C94" i="26"/>
  <c r="C76" i="26"/>
  <c r="C48" i="26"/>
  <c r="C75" i="26"/>
  <c r="C65" i="26"/>
  <c r="C82" i="26"/>
  <c r="C88" i="26"/>
  <c r="C51" i="26"/>
  <c r="C87" i="26"/>
  <c r="C70" i="26"/>
  <c r="C77" i="26"/>
  <c r="C54" i="26"/>
  <c r="C57" i="26"/>
  <c r="C73" i="26"/>
  <c r="C60" i="26"/>
  <c r="C68" i="26"/>
  <c r="C63" i="26"/>
  <c r="C85" i="26"/>
  <c r="C66" i="26"/>
  <c r="C80" i="26"/>
  <c r="C47" i="26"/>
  <c r="C78" i="26"/>
  <c r="C92" i="26"/>
  <c r="C50" i="26"/>
  <c r="H9" i="18"/>
  <c r="J9" i="18"/>
  <c r="M9" i="18" s="1"/>
  <c r="G12" i="18"/>
  <c r="H12" i="18" s="1"/>
  <c r="X36" i="7"/>
  <c r="S27" i="9" s="1"/>
  <c r="S19" i="9"/>
  <c r="H41" i="18"/>
  <c r="H39" i="18"/>
  <c r="G43" i="18" s="1"/>
  <c r="L15" i="7"/>
  <c r="G12" i="9"/>
  <c r="V46" i="7"/>
  <c r="O34" i="9"/>
  <c r="V52" i="7"/>
  <c r="O36" i="9"/>
  <c r="AB9" i="7"/>
  <c r="U11" i="9"/>
  <c r="N58" i="7"/>
  <c r="I10" i="9"/>
  <c r="F196" i="10"/>
  <c r="F94" i="10"/>
  <c r="F207" i="10"/>
  <c r="F105" i="10"/>
  <c r="F83" i="10"/>
  <c r="F132" i="10"/>
  <c r="F131" i="10"/>
  <c r="F85" i="10"/>
  <c r="F180" i="10"/>
  <c r="F187" i="10"/>
  <c r="F189" i="10" s="1"/>
  <c r="F234" i="10"/>
  <c r="F233" i="10"/>
  <c r="F48" i="10"/>
  <c r="F77" i="10"/>
  <c r="F27" i="10"/>
  <c r="Z77" i="7"/>
  <c r="S48" i="9"/>
  <c r="Q49" i="9"/>
  <c r="Z64" i="7"/>
  <c r="S40" i="9"/>
  <c r="Z68" i="7"/>
  <c r="S45" i="9"/>
  <c r="Z74" i="7"/>
  <c r="S47" i="9"/>
  <c r="J83" i="7"/>
  <c r="E52" i="9" s="1"/>
  <c r="X29" i="7"/>
  <c r="S21" i="9" s="1"/>
  <c r="V39" i="7"/>
  <c r="Q28" i="9" s="1"/>
  <c r="R28" i="9" s="1"/>
  <c r="J49" i="7"/>
  <c r="E35" i="9" s="1"/>
  <c r="P6" i="7"/>
  <c r="N12" i="7"/>
  <c r="L13" i="7"/>
  <c r="E17" i="9"/>
  <c r="AB20" i="7"/>
  <c r="R31" i="11"/>
  <c r="Q30" i="11"/>
  <c r="U29" i="11"/>
  <c r="T29" i="11"/>
  <c r="S29" i="11"/>
  <c r="F27" i="11"/>
  <c r="E27" i="11"/>
  <c r="D27" i="11"/>
  <c r="C29" i="11"/>
  <c r="B28" i="11"/>
  <c r="K21" i="11"/>
  <c r="L21" i="11" s="1"/>
  <c r="G22" i="11" s="1"/>
  <c r="Z23" i="7"/>
  <c r="W23" i="14" l="1"/>
  <c r="X23" i="14"/>
  <c r="AJ38" i="11" s="1"/>
  <c r="T27" i="9"/>
  <c r="AH38" i="11"/>
  <c r="Z32" i="26"/>
  <c r="I38" i="9"/>
  <c r="W18" i="9"/>
  <c r="Z32" i="12"/>
  <c r="W11" i="9"/>
  <c r="J17" i="1" s="1"/>
  <c r="G18" i="13" s="1"/>
  <c r="Y14" i="26" a="1"/>
  <c r="Y14" i="26" s="1"/>
  <c r="Y14" i="12" a="1"/>
  <c r="Y14" i="12" s="1"/>
  <c r="G17" i="9"/>
  <c r="G13" i="9" s="1"/>
  <c r="L26" i="7"/>
  <c r="L80" i="7" s="1"/>
  <c r="G53" i="9" s="1"/>
  <c r="H58" i="10" s="1"/>
  <c r="T6" i="17"/>
  <c r="T4" i="17"/>
  <c r="T5" i="17"/>
  <c r="T8" i="17"/>
  <c r="T15" i="17"/>
  <c r="T7" i="17"/>
  <c r="T14" i="17"/>
  <c r="T13" i="17"/>
  <c r="T12" i="17"/>
  <c r="T11" i="17"/>
  <c r="T10" i="17"/>
  <c r="T9" i="17"/>
  <c r="Y18" i="26"/>
  <c r="Y18" i="12"/>
  <c r="J80" i="7"/>
  <c r="E53" i="9" s="1"/>
  <c r="G58" i="10" s="1"/>
  <c r="Z36" i="7"/>
  <c r="U27" i="9" s="1"/>
  <c r="V27" i="9" s="1"/>
  <c r="U19" i="9"/>
  <c r="L55" i="7"/>
  <c r="G37" i="9" s="1"/>
  <c r="X46" i="7"/>
  <c r="Q34" i="9"/>
  <c r="P58" i="7"/>
  <c r="K10" i="9"/>
  <c r="K9" i="9" s="1"/>
  <c r="M22" i="18"/>
  <c r="M24" i="18" s="1"/>
  <c r="I9" i="9"/>
  <c r="M21" i="18" s="1"/>
  <c r="K9" i="18"/>
  <c r="J12" i="18"/>
  <c r="K41" i="18"/>
  <c r="K39" i="18"/>
  <c r="J43" i="18" s="1"/>
  <c r="L33" i="7"/>
  <c r="G26" i="9" s="1"/>
  <c r="Q36" i="9"/>
  <c r="X52" i="7"/>
  <c r="N9" i="18"/>
  <c r="N15" i="7"/>
  <c r="I12" i="9"/>
  <c r="F115" i="10"/>
  <c r="F123" i="10" s="1"/>
  <c r="F118" i="10"/>
  <c r="F217" i="10"/>
  <c r="F225" i="10" s="1"/>
  <c r="F220" i="10"/>
  <c r="F87" i="10"/>
  <c r="S49" i="9"/>
  <c r="AB64" i="7"/>
  <c r="W40" i="9" s="1"/>
  <c r="U40" i="9"/>
  <c r="AB74" i="7"/>
  <c r="W47" i="9" s="1"/>
  <c r="U47" i="9"/>
  <c r="AB68" i="7"/>
  <c r="W45" i="9" s="1"/>
  <c r="U45" i="9"/>
  <c r="AB77" i="7"/>
  <c r="W48" i="9" s="1"/>
  <c r="U48" i="9"/>
  <c r="E13" i="9"/>
  <c r="E41" i="9"/>
  <c r="E20" i="9"/>
  <c r="J42" i="7"/>
  <c r="E29" i="9" s="1"/>
  <c r="Z29" i="7"/>
  <c r="U21" i="9" s="1"/>
  <c r="X39" i="7"/>
  <c r="S28" i="9" s="1"/>
  <c r="T28" i="9" s="1"/>
  <c r="N13" i="7"/>
  <c r="P12" i="7"/>
  <c r="R6" i="7"/>
  <c r="M21" i="11"/>
  <c r="U30" i="11"/>
  <c r="T30" i="11"/>
  <c r="S30" i="11"/>
  <c r="R32" i="11"/>
  <c r="Q31" i="11"/>
  <c r="I22" i="11"/>
  <c r="E28" i="11"/>
  <c r="F28" i="11"/>
  <c r="D28" i="11"/>
  <c r="C30" i="11"/>
  <c r="B29" i="11"/>
  <c r="AB23" i="7"/>
  <c r="K12" i="18" l="1"/>
  <c r="M12" i="18"/>
  <c r="N12" i="18" s="1"/>
  <c r="AI38" i="11"/>
  <c r="Y23" i="14"/>
  <c r="Z23" i="14" s="1"/>
  <c r="Z33" i="26"/>
  <c r="K38" i="9"/>
  <c r="Z33" i="12"/>
  <c r="H26" i="9"/>
  <c r="I17" i="9"/>
  <c r="I13" i="9" s="1"/>
  <c r="N26" i="7"/>
  <c r="B20" i="12"/>
  <c r="B21" i="12"/>
  <c r="B8" i="12"/>
  <c r="B22" i="12"/>
  <c r="B9" i="12"/>
  <c r="B23" i="12"/>
  <c r="B10" i="12"/>
  <c r="B24" i="12"/>
  <c r="B11" i="12"/>
  <c r="B25" i="12"/>
  <c r="B12" i="12"/>
  <c r="B13" i="12"/>
  <c r="B14" i="12"/>
  <c r="B19" i="12"/>
  <c r="B12" i="26"/>
  <c r="B25" i="26"/>
  <c r="B9" i="26"/>
  <c r="B20" i="26"/>
  <c r="B8" i="26"/>
  <c r="B24" i="26"/>
  <c r="B10" i="26"/>
  <c r="B14" i="26"/>
  <c r="B19" i="26"/>
  <c r="B11" i="26"/>
  <c r="B23" i="26"/>
  <c r="B21" i="26"/>
  <c r="B13" i="26"/>
  <c r="B22" i="26"/>
  <c r="Y21" i="26"/>
  <c r="Y8" i="26"/>
  <c r="Y8" i="12"/>
  <c r="Y10" i="26"/>
  <c r="Y10" i="12"/>
  <c r="N55" i="7"/>
  <c r="I37" i="9" s="1"/>
  <c r="R58" i="7"/>
  <c r="M10" i="9"/>
  <c r="M9" i="9" s="1"/>
  <c r="Z46" i="7"/>
  <c r="S34" i="9"/>
  <c r="AB36" i="7"/>
  <c r="W27" i="9" s="1"/>
  <c r="X27" i="9" s="1"/>
  <c r="W19" i="9"/>
  <c r="Z52" i="7"/>
  <c r="S36" i="9"/>
  <c r="P15" i="7"/>
  <c r="K12" i="9"/>
  <c r="N33" i="7"/>
  <c r="I26" i="9" s="1"/>
  <c r="F219" i="10"/>
  <c r="F238" i="10"/>
  <c r="F239" i="10" s="1"/>
  <c r="F226" i="10"/>
  <c r="F227" i="10"/>
  <c r="F218" i="10"/>
  <c r="F246" i="10"/>
  <c r="F144" i="10"/>
  <c r="F116" i="10"/>
  <c r="F117" i="10"/>
  <c r="W49" i="9"/>
  <c r="U49" i="9"/>
  <c r="G20" i="9"/>
  <c r="L42" i="7"/>
  <c r="G29" i="9" s="1"/>
  <c r="L49" i="7"/>
  <c r="G35" i="9" s="1"/>
  <c r="E22" i="9"/>
  <c r="L83" i="7"/>
  <c r="G52" i="9" s="1"/>
  <c r="AB29" i="7"/>
  <c r="Z39" i="7"/>
  <c r="U28" i="9" s="1"/>
  <c r="V28" i="9" s="1"/>
  <c r="T6" i="7"/>
  <c r="R12" i="7"/>
  <c r="P13" i="7"/>
  <c r="U31" i="11"/>
  <c r="T31" i="11"/>
  <c r="S31" i="11"/>
  <c r="R33" i="11"/>
  <c r="Q32" i="11"/>
  <c r="H22" i="11"/>
  <c r="J22" i="11" s="1"/>
  <c r="C31" i="11"/>
  <c r="B30" i="11"/>
  <c r="E29" i="11"/>
  <c r="D29" i="11"/>
  <c r="F29" i="11"/>
  <c r="AK38" i="11" l="1"/>
  <c r="Z34" i="26"/>
  <c r="M38" i="9"/>
  <c r="Z34" i="12"/>
  <c r="J26" i="9"/>
  <c r="M26" i="18"/>
  <c r="M46" i="18" s="1"/>
  <c r="K17" i="9"/>
  <c r="K13" i="9" s="1"/>
  <c r="P26" i="7"/>
  <c r="E61" i="9"/>
  <c r="G56" i="10" s="1"/>
  <c r="Y4" i="26"/>
  <c r="Y4" i="12"/>
  <c r="Y19" i="26"/>
  <c r="Y19" i="12"/>
  <c r="F247" i="10"/>
  <c r="F251" i="10" s="1"/>
  <c r="P33" i="7"/>
  <c r="K26" i="9" s="1"/>
  <c r="AB52" i="7"/>
  <c r="W36" i="9" s="1"/>
  <c r="U36" i="9"/>
  <c r="AB39" i="7"/>
  <c r="W28" i="9" s="1"/>
  <c r="W21" i="9"/>
  <c r="F47" i="9"/>
  <c r="F29" i="9"/>
  <c r="R15" i="7"/>
  <c r="M12" i="9"/>
  <c r="AB46" i="7"/>
  <c r="U34" i="9"/>
  <c r="P55" i="7"/>
  <c r="K37" i="9" s="1"/>
  <c r="F125" i="10"/>
  <c r="F136" i="10"/>
  <c r="F124" i="10"/>
  <c r="F20" i="9"/>
  <c r="L86" i="7"/>
  <c r="G41" i="9"/>
  <c r="I20" i="9"/>
  <c r="N83" i="7"/>
  <c r="I52" i="9" s="1"/>
  <c r="N42" i="7"/>
  <c r="N80" i="7"/>
  <c r="I53" i="9" s="1"/>
  <c r="I58" i="10" s="1"/>
  <c r="N49" i="7"/>
  <c r="I35" i="9" s="1"/>
  <c r="F40" i="9"/>
  <c r="F38" i="9"/>
  <c r="F39" i="9"/>
  <c r="F21" i="9"/>
  <c r="F36" i="9"/>
  <c r="F22" i="9"/>
  <c r="F34" i="9"/>
  <c r="F48" i="9"/>
  <c r="F19" i="9"/>
  <c r="F18" i="9"/>
  <c r="F46" i="9"/>
  <c r="F45" i="9"/>
  <c r="F49" i="9"/>
  <c r="F37" i="9"/>
  <c r="F52" i="9"/>
  <c r="F35" i="9"/>
  <c r="F53" i="9"/>
  <c r="F17" i="9"/>
  <c r="F41" i="9"/>
  <c r="G22" i="9"/>
  <c r="G30" i="9"/>
  <c r="T58" i="7"/>
  <c r="O10" i="9"/>
  <c r="O9" i="9" s="1"/>
  <c r="R13" i="7"/>
  <c r="T12" i="7"/>
  <c r="T15" i="7" s="1"/>
  <c r="T26" i="7" s="1"/>
  <c r="V6" i="7"/>
  <c r="S32" i="11"/>
  <c r="U32" i="11"/>
  <c r="T32" i="11"/>
  <c r="R34" i="11"/>
  <c r="Q33" i="11"/>
  <c r="K22" i="11"/>
  <c r="M22" i="11" s="1"/>
  <c r="E30" i="11"/>
  <c r="F30" i="11"/>
  <c r="D30" i="11"/>
  <c r="C32" i="11"/>
  <c r="B31" i="11"/>
  <c r="U24" i="14" l="1"/>
  <c r="AL38" i="11"/>
  <c r="Z35" i="26"/>
  <c r="O38" i="9"/>
  <c r="M47" i="18"/>
  <c r="W34" i="9"/>
  <c r="Z35" i="12"/>
  <c r="L26" i="9"/>
  <c r="M17" i="9"/>
  <c r="M63" i="9" s="1" a="1"/>
  <c r="M63" i="9" s="1"/>
  <c r="R26" i="7"/>
  <c r="F249" i="10"/>
  <c r="F248" i="10"/>
  <c r="X28" i="9"/>
  <c r="X7" i="11"/>
  <c r="R33" i="7"/>
  <c r="M26" i="9" s="1"/>
  <c r="R55" i="7"/>
  <c r="M37" i="9" s="1"/>
  <c r="M31" i="18"/>
  <c r="F261" i="10"/>
  <c r="F252" i="10"/>
  <c r="F253" i="10" s="1"/>
  <c r="F254" i="10" s="1"/>
  <c r="F137" i="10"/>
  <c r="F145" i="10" s="1"/>
  <c r="H29" i="9"/>
  <c r="G61" i="9"/>
  <c r="H56" i="10" s="1"/>
  <c r="H52" i="9"/>
  <c r="H30" i="9"/>
  <c r="G14" i="9"/>
  <c r="K20" i="9"/>
  <c r="P80" i="7"/>
  <c r="K53" i="9" s="1"/>
  <c r="J58" i="10" s="1"/>
  <c r="P49" i="7"/>
  <c r="K35" i="9" s="1"/>
  <c r="P83" i="7"/>
  <c r="K52" i="9" s="1"/>
  <c r="P42" i="7"/>
  <c r="H21" i="9"/>
  <c r="H45" i="9"/>
  <c r="H48" i="9"/>
  <c r="H40" i="9"/>
  <c r="H49" i="9"/>
  <c r="G31" i="9"/>
  <c r="H37" i="9"/>
  <c r="H17" i="9"/>
  <c r="H39" i="9"/>
  <c r="H46" i="9"/>
  <c r="H38" i="9"/>
  <c r="H34" i="9"/>
  <c r="H47" i="9"/>
  <c r="H18" i="9"/>
  <c r="H36" i="9"/>
  <c r="H19" i="9"/>
  <c r="H22" i="9"/>
  <c r="H53" i="9"/>
  <c r="I29" i="9"/>
  <c r="N86" i="7"/>
  <c r="I22" i="9"/>
  <c r="H35" i="9"/>
  <c r="I41" i="9"/>
  <c r="H20" i="9"/>
  <c r="H41" i="9"/>
  <c r="O17" i="9"/>
  <c r="O12" i="9"/>
  <c r="V58" i="7"/>
  <c r="Q10" i="9"/>
  <c r="Q9" i="9" s="1"/>
  <c r="X6" i="7"/>
  <c r="V12" i="7"/>
  <c r="V15" i="7" s="1"/>
  <c r="V26" i="7" s="1"/>
  <c r="T13" i="7"/>
  <c r="L22" i="11"/>
  <c r="G23" i="11" s="1"/>
  <c r="I23" i="11" s="1"/>
  <c r="T33" i="11"/>
  <c r="S33" i="11"/>
  <c r="U33" i="11"/>
  <c r="R35" i="11"/>
  <c r="Q34" i="11"/>
  <c r="E31" i="11"/>
  <c r="D31" i="11"/>
  <c r="F31" i="11"/>
  <c r="C33" i="11"/>
  <c r="B32" i="11"/>
  <c r="AF39" i="11" l="1"/>
  <c r="V24" i="14"/>
  <c r="Q38" i="9"/>
  <c r="U10" i="17" a="1"/>
  <c r="U10" i="17" s="1"/>
  <c r="U14" i="17" a="1"/>
  <c r="U14" i="17" s="1"/>
  <c r="N26" i="9"/>
  <c r="M13" i="9"/>
  <c r="U8" i="17" a="1"/>
  <c r="U8" i="17" s="1"/>
  <c r="U12" i="17" a="1"/>
  <c r="U12" i="17" s="1"/>
  <c r="U15" i="17" a="1"/>
  <c r="U15" i="17" s="1"/>
  <c r="U11" i="17" a="1"/>
  <c r="U11" i="17" s="1"/>
  <c r="U9" i="17" a="1"/>
  <c r="U9" i="17" s="1"/>
  <c r="U7" i="17" a="1"/>
  <c r="U7" i="17" s="1"/>
  <c r="U6" i="17" a="1"/>
  <c r="U6" i="17" s="1"/>
  <c r="U13" i="17" a="1"/>
  <c r="U13" i="17" s="1"/>
  <c r="U4" i="17" a="1"/>
  <c r="U4" i="17" s="1"/>
  <c r="U5" i="17" a="1"/>
  <c r="U5" i="17" s="1"/>
  <c r="X10" i="11"/>
  <c r="X9" i="11"/>
  <c r="J35" i="9"/>
  <c r="M28" i="18"/>
  <c r="N31" i="18" s="1"/>
  <c r="F262" i="10"/>
  <c r="J41" i="9"/>
  <c r="F149" i="10"/>
  <c r="F147" i="10"/>
  <c r="F146" i="10"/>
  <c r="J20" i="9"/>
  <c r="I61" i="9"/>
  <c r="I56" i="10" s="1"/>
  <c r="K29" i="9"/>
  <c r="P86" i="7"/>
  <c r="I30" i="9"/>
  <c r="J29" i="9"/>
  <c r="J38" i="9"/>
  <c r="J37" i="9"/>
  <c r="J22" i="9"/>
  <c r="J47" i="9"/>
  <c r="J48" i="9"/>
  <c r="J45" i="9"/>
  <c r="J40" i="9"/>
  <c r="J46" i="9"/>
  <c r="J34" i="9"/>
  <c r="J39" i="9"/>
  <c r="J19" i="9"/>
  <c r="J21" i="9"/>
  <c r="J49" i="9"/>
  <c r="J17" i="9"/>
  <c r="J36" i="9"/>
  <c r="J18" i="9"/>
  <c r="J52" i="9"/>
  <c r="K41" i="9"/>
  <c r="K22" i="9"/>
  <c r="J53" i="9"/>
  <c r="H31" i="9"/>
  <c r="G42" i="9"/>
  <c r="T83" i="7"/>
  <c r="O52" i="9" s="1"/>
  <c r="M20" i="9"/>
  <c r="R80" i="7"/>
  <c r="M53" i="9" s="1"/>
  <c r="K58" i="10" s="1"/>
  <c r="R83" i="7"/>
  <c r="M52" i="9" s="1"/>
  <c r="R42" i="7"/>
  <c r="M29" i="9" s="1"/>
  <c r="R49" i="7"/>
  <c r="M35" i="9" s="1"/>
  <c r="T55" i="7"/>
  <c r="O37" i="9" s="1"/>
  <c r="T33" i="7"/>
  <c r="O26" i="9" s="1"/>
  <c r="P26" i="9" s="1"/>
  <c r="Q17" i="9"/>
  <c r="Q12" i="9"/>
  <c r="X58" i="7"/>
  <c r="S10" i="9"/>
  <c r="S9" i="9" s="1"/>
  <c r="O13" i="9"/>
  <c r="V13" i="7"/>
  <c r="X12" i="7"/>
  <c r="X15" i="7" s="1"/>
  <c r="X26" i="7" s="1"/>
  <c r="Z6" i="7"/>
  <c r="Q35" i="11"/>
  <c r="R36" i="11"/>
  <c r="U34" i="11"/>
  <c r="T34" i="11"/>
  <c r="S34" i="11"/>
  <c r="E32" i="11"/>
  <c r="F32" i="11"/>
  <c r="D32" i="11"/>
  <c r="C34" i="11"/>
  <c r="B33" i="11"/>
  <c r="H23" i="11"/>
  <c r="J23" i="11" s="1"/>
  <c r="W24" i="14" l="1"/>
  <c r="X24" i="14"/>
  <c r="AJ39" i="11" s="1"/>
  <c r="AH39" i="11"/>
  <c r="S38" i="9"/>
  <c r="AB20" i="11"/>
  <c r="AA20" i="11"/>
  <c r="V21" i="11" s="1"/>
  <c r="X17" i="11"/>
  <c r="X16" i="11"/>
  <c r="AB7" i="11" s="1"/>
  <c r="X11" i="11"/>
  <c r="I31" i="9"/>
  <c r="I42" i="9" s="1"/>
  <c r="M29" i="18"/>
  <c r="N29" i="18" s="1"/>
  <c r="N28" i="18"/>
  <c r="N33" i="18"/>
  <c r="M27" i="18"/>
  <c r="N27" i="18" s="1"/>
  <c r="N35" i="18"/>
  <c r="N26" i="18"/>
  <c r="F266" i="10"/>
  <c r="F264" i="10"/>
  <c r="F263" i="10"/>
  <c r="F150" i="10"/>
  <c r="F151" i="10" s="1"/>
  <c r="F152" i="10" s="1"/>
  <c r="F159" i="10"/>
  <c r="L20" i="9"/>
  <c r="K61" i="9"/>
  <c r="J56" i="10" s="1"/>
  <c r="T80" i="7"/>
  <c r="O53" i="9" s="1"/>
  <c r="L58" i="10" s="1"/>
  <c r="L21" i="9"/>
  <c r="L17" i="9"/>
  <c r="L39" i="9"/>
  <c r="L46" i="9"/>
  <c r="L36" i="9"/>
  <c r="L48" i="9"/>
  <c r="L34" i="9"/>
  <c r="L49" i="9"/>
  <c r="L19" i="9"/>
  <c r="L38" i="9"/>
  <c r="L18" i="9"/>
  <c r="L40" i="9"/>
  <c r="L22" i="9"/>
  <c r="L47" i="9"/>
  <c r="L37" i="9"/>
  <c r="L45" i="9"/>
  <c r="M22" i="9"/>
  <c r="H42" i="9"/>
  <c r="G50" i="9"/>
  <c r="J30" i="9"/>
  <c r="I14" i="9"/>
  <c r="L52" i="9"/>
  <c r="L53" i="9"/>
  <c r="M41" i="9"/>
  <c r="L35" i="9"/>
  <c r="K30" i="9"/>
  <c r="L29" i="9"/>
  <c r="V42" i="7"/>
  <c r="Q29" i="9" s="1"/>
  <c r="O20" i="9"/>
  <c r="O22" i="9" s="1"/>
  <c r="T42" i="7"/>
  <c r="O29" i="9" s="1"/>
  <c r="T49" i="7"/>
  <c r="O35" i="9" s="1"/>
  <c r="O41" i="9" s="1"/>
  <c r="M30" i="9"/>
  <c r="L41" i="9"/>
  <c r="R86" i="7"/>
  <c r="V55" i="7"/>
  <c r="Q37" i="9" s="1"/>
  <c r="V33" i="7"/>
  <c r="Q26" i="9" s="1"/>
  <c r="R26" i="9" s="1"/>
  <c r="Z58" i="7"/>
  <c r="U10" i="9"/>
  <c r="U9" i="9" s="1"/>
  <c r="Q13" i="9"/>
  <c r="S17" i="9"/>
  <c r="S12" i="9"/>
  <c r="Z12" i="7"/>
  <c r="Z15" i="7" s="1"/>
  <c r="Z26" i="7" s="1"/>
  <c r="AB6" i="7"/>
  <c r="X13" i="7"/>
  <c r="R37" i="11"/>
  <c r="Q36" i="11"/>
  <c r="U35" i="11"/>
  <c r="T35" i="11"/>
  <c r="S35" i="11"/>
  <c r="D33" i="11"/>
  <c r="E33" i="11"/>
  <c r="F33" i="11"/>
  <c r="C35" i="11"/>
  <c r="B34" i="11"/>
  <c r="K23" i="11"/>
  <c r="M23" i="11" s="1"/>
  <c r="AI39" i="11" l="1"/>
  <c r="Y24" i="14"/>
  <c r="Z24" i="14" s="1"/>
  <c r="U38" i="9"/>
  <c r="W10" i="9"/>
  <c r="Y13" i="12" a="1"/>
  <c r="Y13" i="12" s="1"/>
  <c r="Y13" i="26" a="1"/>
  <c r="Y13" i="26" s="1"/>
  <c r="M30" i="18"/>
  <c r="M32" i="18" s="1"/>
  <c r="J31" i="9"/>
  <c r="X21" i="11"/>
  <c r="F179" i="10"/>
  <c r="F182" i="10" s="1"/>
  <c r="F267" i="10"/>
  <c r="F194" i="10" s="1"/>
  <c r="F198" i="10" s="1"/>
  <c r="F160" i="10"/>
  <c r="F164" i="10" s="1"/>
  <c r="F76" i="10" s="1"/>
  <c r="F79" i="10" s="1"/>
  <c r="N20" i="9"/>
  <c r="M61" i="9"/>
  <c r="K56" i="10" s="1"/>
  <c r="P17" i="9"/>
  <c r="O61" i="9"/>
  <c r="L56" i="10" s="1"/>
  <c r="P41" i="9"/>
  <c r="P29" i="9"/>
  <c r="P38" i="9"/>
  <c r="P18" i="9"/>
  <c r="P20" i="9"/>
  <c r="P19" i="9"/>
  <c r="P46" i="9"/>
  <c r="P39" i="9"/>
  <c r="P45" i="9"/>
  <c r="P21" i="9"/>
  <c r="P22" i="9"/>
  <c r="P49" i="9"/>
  <c r="P52" i="9"/>
  <c r="O30" i="9"/>
  <c r="O14" i="9" s="1"/>
  <c r="T86" i="7"/>
  <c r="P53" i="9"/>
  <c r="P48" i="9"/>
  <c r="P47" i="9"/>
  <c r="P35" i="9"/>
  <c r="P34" i="9"/>
  <c r="P36" i="9"/>
  <c r="P37" i="9"/>
  <c r="P40" i="9"/>
  <c r="J42" i="9"/>
  <c r="I50" i="9"/>
  <c r="L30" i="9"/>
  <c r="K14" i="9"/>
  <c r="N48" i="9"/>
  <c r="N45" i="9"/>
  <c r="N47" i="9"/>
  <c r="N46" i="9"/>
  <c r="N22" i="9"/>
  <c r="N39" i="9"/>
  <c r="N17" i="9"/>
  <c r="N36" i="9"/>
  <c r="N21" i="9"/>
  <c r="N38" i="9"/>
  <c r="N40" i="9"/>
  <c r="N37" i="9"/>
  <c r="N19" i="9"/>
  <c r="M31" i="9"/>
  <c r="N18" i="9"/>
  <c r="N49" i="9"/>
  <c r="N34" i="9"/>
  <c r="N29" i="9"/>
  <c r="N30" i="9"/>
  <c r="M14" i="9"/>
  <c r="K31" i="9"/>
  <c r="N52" i="9"/>
  <c r="N41" i="9"/>
  <c r="V80" i="7"/>
  <c r="Q53" i="9" s="1"/>
  <c r="M58" i="10" s="1"/>
  <c r="G55" i="9"/>
  <c r="H50" i="9"/>
  <c r="X42" i="7"/>
  <c r="S29" i="9" s="1"/>
  <c r="Q20" i="9"/>
  <c r="Q22" i="9" s="1"/>
  <c r="V49" i="7"/>
  <c r="Q35" i="9" s="1"/>
  <c r="Q41" i="9" s="1"/>
  <c r="N35" i="9"/>
  <c r="V83" i="7"/>
  <c r="Q52" i="9" s="1"/>
  <c r="N53" i="9"/>
  <c r="Q30" i="9"/>
  <c r="X33" i="7"/>
  <c r="S26" i="9" s="1"/>
  <c r="T26" i="9" s="1"/>
  <c r="X55" i="7"/>
  <c r="S37" i="9" s="1"/>
  <c r="U17" i="9"/>
  <c r="U12" i="9"/>
  <c r="S13" i="9"/>
  <c r="AB12" i="7"/>
  <c r="AB15" i="7" s="1"/>
  <c r="AB26" i="7" s="1"/>
  <c r="AB58" i="7"/>
  <c r="Z13" i="7"/>
  <c r="U36" i="11"/>
  <c r="T36" i="11"/>
  <c r="S36" i="11"/>
  <c r="R38" i="11"/>
  <c r="Q37" i="11"/>
  <c r="L23" i="11"/>
  <c r="G24" i="11" s="1"/>
  <c r="C36" i="11"/>
  <c r="B35" i="11"/>
  <c r="E34" i="11"/>
  <c r="D34" i="11"/>
  <c r="F34" i="11"/>
  <c r="W9" i="9" l="1"/>
  <c r="J18" i="1"/>
  <c r="G19" i="13" s="1"/>
  <c r="AK39" i="11"/>
  <c r="AD35" i="26"/>
  <c r="K31" i="26"/>
  <c r="K32" i="26"/>
  <c r="K33" i="26"/>
  <c r="K34" i="26"/>
  <c r="K35" i="26"/>
  <c r="K36" i="26"/>
  <c r="K30" i="26"/>
  <c r="AD26" i="26"/>
  <c r="AE26" i="26"/>
  <c r="AE27" i="26"/>
  <c r="AE28" i="26"/>
  <c r="AE29" i="26"/>
  <c r="AE30" i="26"/>
  <c r="AE31" i="26"/>
  <c r="AE32" i="26"/>
  <c r="AD27" i="26"/>
  <c r="AE33" i="26"/>
  <c r="AE34" i="26"/>
  <c r="AE35" i="26"/>
  <c r="AD28" i="26"/>
  <c r="AD29" i="26"/>
  <c r="AD30" i="26"/>
  <c r="AD31" i="26"/>
  <c r="AD32" i="26"/>
  <c r="AD33" i="26"/>
  <c r="AD34" i="26"/>
  <c r="AD26" i="12"/>
  <c r="AE26" i="12"/>
  <c r="AE27" i="12"/>
  <c r="AE28" i="12"/>
  <c r="AE29" i="12"/>
  <c r="AE30" i="12"/>
  <c r="AE31" i="12"/>
  <c r="AE33" i="12"/>
  <c r="AE32" i="12"/>
  <c r="AD27" i="12"/>
  <c r="AE34" i="12"/>
  <c r="AD28" i="12"/>
  <c r="AE35" i="12"/>
  <c r="AD29" i="12"/>
  <c r="AD30" i="12"/>
  <c r="AD31" i="12"/>
  <c r="AD32" i="12"/>
  <c r="AD33" i="12"/>
  <c r="AD35" i="12"/>
  <c r="AD34" i="12"/>
  <c r="W38" i="9"/>
  <c r="K32" i="12"/>
  <c r="K34" i="12"/>
  <c r="K33" i="12"/>
  <c r="K35" i="12"/>
  <c r="K36" i="12"/>
  <c r="K30" i="12"/>
  <c r="K31" i="12"/>
  <c r="C7" i="26"/>
  <c r="G18" i="26"/>
  <c r="I7" i="26"/>
  <c r="F18" i="26"/>
  <c r="H7" i="26"/>
  <c r="E18" i="26"/>
  <c r="G7" i="26"/>
  <c r="F7" i="26"/>
  <c r="E7" i="26"/>
  <c r="D7" i="26"/>
  <c r="D18" i="26"/>
  <c r="C18" i="26"/>
  <c r="I18" i="26"/>
  <c r="H18" i="26"/>
  <c r="I7" i="12"/>
  <c r="C18" i="12"/>
  <c r="D18" i="12"/>
  <c r="E18" i="12"/>
  <c r="C7" i="12"/>
  <c r="F18" i="12"/>
  <c r="D7" i="12"/>
  <c r="G18" i="12"/>
  <c r="E7" i="12"/>
  <c r="H18" i="12"/>
  <c r="F7" i="12"/>
  <c r="I18" i="12"/>
  <c r="G7" i="12"/>
  <c r="H7" i="12"/>
  <c r="M44" i="18"/>
  <c r="N30" i="18"/>
  <c r="H55" i="9"/>
  <c r="W21" i="11"/>
  <c r="N32" i="18"/>
  <c r="M45" i="18"/>
  <c r="M34" i="18"/>
  <c r="N34" i="18" s="1"/>
  <c r="M36" i="18"/>
  <c r="M39" i="18"/>
  <c r="F268" i="10"/>
  <c r="F269" i="10" s="1"/>
  <c r="F165" i="10"/>
  <c r="F92" i="10" s="1"/>
  <c r="F96" i="10" s="1"/>
  <c r="F162" i="10"/>
  <c r="F161" i="10"/>
  <c r="R17" i="9"/>
  <c r="Q61" i="9"/>
  <c r="M56" i="10" s="1"/>
  <c r="P30" i="9"/>
  <c r="R53" i="9"/>
  <c r="Q14" i="9"/>
  <c r="R38" i="9"/>
  <c r="R30" i="9"/>
  <c r="Q31" i="9"/>
  <c r="R31" i="9" s="1"/>
  <c r="R40" i="9"/>
  <c r="R21" i="9"/>
  <c r="R41" i="9"/>
  <c r="O31" i="9"/>
  <c r="R46" i="9"/>
  <c r="R19" i="9"/>
  <c r="R36" i="9"/>
  <c r="R18" i="9"/>
  <c r="Z80" i="7"/>
  <c r="U53" i="9" s="1"/>
  <c r="O58" i="10" s="1"/>
  <c r="S20" i="9"/>
  <c r="S22" i="9" s="1"/>
  <c r="R39" i="9"/>
  <c r="R29" i="9"/>
  <c r="R45" i="9"/>
  <c r="R37" i="9"/>
  <c r="R49" i="9"/>
  <c r="R52" i="9"/>
  <c r="R22" i="9"/>
  <c r="J50" i="9"/>
  <c r="I55" i="9"/>
  <c r="R48" i="9"/>
  <c r="R47" i="9"/>
  <c r="X49" i="7"/>
  <c r="S35" i="9" s="1"/>
  <c r="S41" i="9" s="1"/>
  <c r="X80" i="7"/>
  <c r="S53" i="9" s="1"/>
  <c r="N31" i="9"/>
  <c r="M42" i="9"/>
  <c r="V86" i="7"/>
  <c r="R35" i="9"/>
  <c r="R20" i="9"/>
  <c r="L31" i="9"/>
  <c r="K42" i="9"/>
  <c r="R34" i="9"/>
  <c r="X83" i="7"/>
  <c r="S52" i="9" s="1"/>
  <c r="Z55" i="7"/>
  <c r="U37" i="9" s="1"/>
  <c r="Z33" i="7"/>
  <c r="U26" i="9" s="1"/>
  <c r="W12" i="9"/>
  <c r="J19" i="1" s="1"/>
  <c r="G20" i="13" s="1"/>
  <c r="U13" i="9"/>
  <c r="S30" i="9"/>
  <c r="AB13" i="7"/>
  <c r="U37" i="11"/>
  <c r="T37" i="11"/>
  <c r="S37" i="11"/>
  <c r="R39" i="11"/>
  <c r="Q38" i="11"/>
  <c r="F35" i="11"/>
  <c r="E35" i="11"/>
  <c r="D35" i="11"/>
  <c r="C37" i="11"/>
  <c r="B36" i="11"/>
  <c r="I24" i="11"/>
  <c r="U25" i="14" l="1"/>
  <c r="AL39" i="11"/>
  <c r="B74" i="12"/>
  <c r="B78" i="12"/>
  <c r="B76" i="12"/>
  <c r="B75" i="12"/>
  <c r="B77" i="12"/>
  <c r="B79" i="12"/>
  <c r="B80" i="12"/>
  <c r="B61" i="26"/>
  <c r="B66" i="26"/>
  <c r="B62" i="26"/>
  <c r="B60" i="26"/>
  <c r="B63" i="26"/>
  <c r="B64" i="26"/>
  <c r="B65" i="26"/>
  <c r="B89" i="26"/>
  <c r="B94" i="26"/>
  <c r="B92" i="26"/>
  <c r="B90" i="26"/>
  <c r="B88" i="26"/>
  <c r="B93" i="26"/>
  <c r="B91" i="26"/>
  <c r="B68" i="26"/>
  <c r="B71" i="26"/>
  <c r="B72" i="26"/>
  <c r="B69" i="26"/>
  <c r="B67" i="26"/>
  <c r="B70" i="26"/>
  <c r="B73" i="26"/>
  <c r="B60" i="12"/>
  <c r="B62" i="12"/>
  <c r="B66" i="12"/>
  <c r="B65" i="12"/>
  <c r="B64" i="12"/>
  <c r="B63" i="12"/>
  <c r="B61" i="12"/>
  <c r="B80" i="26"/>
  <c r="B75" i="26"/>
  <c r="B76" i="26"/>
  <c r="B74" i="26"/>
  <c r="B79" i="26"/>
  <c r="B78" i="26"/>
  <c r="B77" i="26"/>
  <c r="B67" i="12"/>
  <c r="B68" i="12"/>
  <c r="B69" i="12"/>
  <c r="B70" i="12"/>
  <c r="B72" i="12"/>
  <c r="B71" i="12"/>
  <c r="B73" i="12"/>
  <c r="B50" i="26"/>
  <c r="B47" i="26"/>
  <c r="B52" i="26"/>
  <c r="B46" i="26"/>
  <c r="B49" i="26"/>
  <c r="B51" i="26"/>
  <c r="B48" i="26"/>
  <c r="B59" i="12"/>
  <c r="B56" i="12"/>
  <c r="B58" i="12"/>
  <c r="B54" i="12"/>
  <c r="B55" i="12"/>
  <c r="B53" i="12"/>
  <c r="B57" i="12"/>
  <c r="B53" i="26"/>
  <c r="B58" i="26"/>
  <c r="B55" i="26"/>
  <c r="B57" i="26"/>
  <c r="B54" i="26"/>
  <c r="B59" i="26"/>
  <c r="B56" i="26"/>
  <c r="B87" i="26"/>
  <c r="B86" i="26"/>
  <c r="B85" i="26"/>
  <c r="B83" i="26"/>
  <c r="B81" i="26"/>
  <c r="B84" i="26"/>
  <c r="B82" i="26"/>
  <c r="B81" i="12"/>
  <c r="B86" i="12"/>
  <c r="B82" i="12"/>
  <c r="B83" i="12"/>
  <c r="B84" i="12"/>
  <c r="B87" i="12"/>
  <c r="B85" i="12"/>
  <c r="B50" i="12"/>
  <c r="B48" i="12"/>
  <c r="B46" i="12"/>
  <c r="B51" i="12"/>
  <c r="B49" i="12"/>
  <c r="B47" i="12"/>
  <c r="B52" i="12"/>
  <c r="B93" i="12"/>
  <c r="B89" i="12"/>
  <c r="B94" i="12"/>
  <c r="B90" i="12"/>
  <c r="B91" i="12"/>
  <c r="B88" i="12"/>
  <c r="B92" i="12"/>
  <c r="J55" i="9"/>
  <c r="Z42" i="7"/>
  <c r="U29" i="9" s="1"/>
  <c r="U30" i="9" s="1"/>
  <c r="Z49" i="7"/>
  <c r="U35" i="9" s="1"/>
  <c r="U41" i="9" s="1"/>
  <c r="N39" i="18"/>
  <c r="M43" i="18" s="1"/>
  <c r="Y21" i="11"/>
  <c r="AB11" i="11"/>
  <c r="F166" i="10"/>
  <c r="F167" i="10" s="1"/>
  <c r="T17" i="9"/>
  <c r="S61" i="9"/>
  <c r="N56" i="10" s="1"/>
  <c r="T39" i="9"/>
  <c r="Q42" i="9"/>
  <c r="R42" i="9" s="1"/>
  <c r="T53" i="9"/>
  <c r="N58" i="10"/>
  <c r="T41" i="9"/>
  <c r="T37" i="9"/>
  <c r="T22" i="9"/>
  <c r="T45" i="9"/>
  <c r="T47" i="9"/>
  <c r="T49" i="9"/>
  <c r="X86" i="7"/>
  <c r="T35" i="9"/>
  <c r="T21" i="9"/>
  <c r="P31" i="9"/>
  <c r="O42" i="9"/>
  <c r="T52" i="9"/>
  <c r="U20" i="9"/>
  <c r="U22" i="9" s="1"/>
  <c r="T18" i="9"/>
  <c r="L42" i="9"/>
  <c r="K50" i="9"/>
  <c r="T36" i="9"/>
  <c r="T48" i="9"/>
  <c r="N42" i="9"/>
  <c r="M50" i="9"/>
  <c r="T20" i="9"/>
  <c r="T19" i="9"/>
  <c r="Z83" i="7"/>
  <c r="U52" i="9" s="1"/>
  <c r="T46" i="9"/>
  <c r="T38" i="9"/>
  <c r="T40" i="9"/>
  <c r="T34" i="9"/>
  <c r="T29" i="9"/>
  <c r="V26" i="9"/>
  <c r="AB55" i="7"/>
  <c r="W37" i="9" s="1"/>
  <c r="W17" i="9"/>
  <c r="AB33" i="7"/>
  <c r="T30" i="9"/>
  <c r="S14" i="9"/>
  <c r="S31" i="9"/>
  <c r="U38" i="11"/>
  <c r="T38" i="11"/>
  <c r="S38" i="11"/>
  <c r="R40" i="11"/>
  <c r="Q39" i="11"/>
  <c r="F36" i="11"/>
  <c r="E36" i="11"/>
  <c r="D36" i="11"/>
  <c r="H24" i="11"/>
  <c r="J24" i="11" s="1"/>
  <c r="C38" i="11"/>
  <c r="B37" i="11"/>
  <c r="V25" i="14" l="1"/>
  <c r="AF40" i="11"/>
  <c r="Y3" i="26" a="1"/>
  <c r="Y3" i="26" s="1"/>
  <c r="Y3" i="12" a="1"/>
  <c r="Y3" i="12" s="1"/>
  <c r="J24" i="8"/>
  <c r="V13" i="17" a="1"/>
  <c r="V13" i="17" s="1"/>
  <c r="V9" i="17" a="1"/>
  <c r="V9" i="17" s="1"/>
  <c r="V15" i="17" a="1"/>
  <c r="V15" i="17" s="1"/>
  <c r="V11" i="17" a="1"/>
  <c r="V11" i="17" s="1"/>
  <c r="V5" i="17" a="1"/>
  <c r="V5" i="17" s="1"/>
  <c r="V14" i="17" a="1"/>
  <c r="V14" i="17" s="1"/>
  <c r="V7" i="17" a="1"/>
  <c r="V7" i="17" s="1"/>
  <c r="V12" i="17" a="1"/>
  <c r="V12" i="17" s="1"/>
  <c r="V8" i="17" a="1"/>
  <c r="V8" i="17" s="1"/>
  <c r="V10" i="17" a="1"/>
  <c r="V10" i="17" s="1"/>
  <c r="V4" i="17" a="1"/>
  <c r="V4" i="17" s="1"/>
  <c r="V6" i="17" a="1"/>
  <c r="V6" i="17" s="1"/>
  <c r="Y35" i="26" a="1"/>
  <c r="Y35" i="26" s="1"/>
  <c r="Y35" i="12" a="1"/>
  <c r="Y35" i="12" s="1"/>
  <c r="Y26" i="26" a="1"/>
  <c r="Y26" i="26" s="1"/>
  <c r="Y26" i="12" a="1"/>
  <c r="Y26" i="12" s="1"/>
  <c r="J12" i="1"/>
  <c r="G12" i="13" s="1"/>
  <c r="Y27" i="12" a="1"/>
  <c r="Y27" i="12" s="1"/>
  <c r="Y27" i="26" a="1"/>
  <c r="Y27" i="26" s="1"/>
  <c r="Y28" i="12" a="1"/>
  <c r="Y28" i="12" s="1"/>
  <c r="Y28" i="26" a="1"/>
  <c r="Y28" i="26" s="1"/>
  <c r="Y29" i="12" a="1"/>
  <c r="Y29" i="12" s="1"/>
  <c r="Y29" i="26" a="1"/>
  <c r="Y29" i="26" s="1"/>
  <c r="Y30" i="12" a="1"/>
  <c r="Y30" i="12" s="1"/>
  <c r="Y30" i="26" a="1"/>
  <c r="Y30" i="26" s="1"/>
  <c r="Y31" i="12" a="1"/>
  <c r="Y31" i="12" s="1"/>
  <c r="Y31" i="26" a="1"/>
  <c r="Y31" i="26" s="1"/>
  <c r="Y32" i="26" a="1"/>
  <c r="Y32" i="26" s="1"/>
  <c r="Y32" i="12" a="1"/>
  <c r="Y32" i="12" s="1"/>
  <c r="Y33" i="12" a="1"/>
  <c r="Y33" i="12" s="1"/>
  <c r="Y33" i="26" a="1"/>
  <c r="Y33" i="26" s="1"/>
  <c r="Y34" i="26" a="1"/>
  <c r="Y34" i="26" s="1"/>
  <c r="Y34" i="12" a="1"/>
  <c r="Y34" i="12" s="1"/>
  <c r="Z21" i="11"/>
  <c r="AA21" i="11" s="1"/>
  <c r="V22" i="11" s="1"/>
  <c r="Q50" i="9"/>
  <c r="R50" i="9" s="1"/>
  <c r="V37" i="9"/>
  <c r="U61" i="9"/>
  <c r="O56" i="10" s="1"/>
  <c r="U14" i="9"/>
  <c r="V45" i="9"/>
  <c r="V48" i="9"/>
  <c r="V19" i="9"/>
  <c r="V29" i="9"/>
  <c r="V30" i="9"/>
  <c r="U31" i="9"/>
  <c r="U42" i="9" s="1"/>
  <c r="V52" i="9"/>
  <c r="V22" i="9"/>
  <c r="V21" i="9"/>
  <c r="V39" i="9"/>
  <c r="Z86" i="7"/>
  <c r="V20" i="9"/>
  <c r="V17" i="9"/>
  <c r="P42" i="9"/>
  <c r="O50" i="9"/>
  <c r="V36" i="9"/>
  <c r="V41" i="9"/>
  <c r="V34" i="9"/>
  <c r="V40" i="9"/>
  <c r="V35" i="9"/>
  <c r="V47" i="9"/>
  <c r="V46" i="9"/>
  <c r="N50" i="9"/>
  <c r="M55" i="9"/>
  <c r="K55" i="9"/>
  <c r="L50" i="9"/>
  <c r="W20" i="9"/>
  <c r="W22" i="9" s="1"/>
  <c r="W65" i="9" s="1"/>
  <c r="AB83" i="7"/>
  <c r="W52" i="9" s="1"/>
  <c r="AB80" i="7"/>
  <c r="W53" i="9" s="1"/>
  <c r="P58" i="10" s="1"/>
  <c r="AB42" i="7"/>
  <c r="W29" i="9" s="1"/>
  <c r="V18" i="9"/>
  <c r="AB49" i="7"/>
  <c r="W35" i="9" s="1"/>
  <c r="W41" i="9" s="1"/>
  <c r="V38" i="9"/>
  <c r="V49" i="9"/>
  <c r="V53" i="9"/>
  <c r="W26" i="9"/>
  <c r="S42" i="9"/>
  <c r="T31" i="9"/>
  <c r="W13" i="9"/>
  <c r="U39" i="11"/>
  <c r="T39" i="11"/>
  <c r="S39" i="11"/>
  <c r="R41" i="11"/>
  <c r="Q40" i="11"/>
  <c r="K24" i="11"/>
  <c r="L24" i="11" s="1"/>
  <c r="F37" i="11"/>
  <c r="E37" i="11"/>
  <c r="D37" i="11"/>
  <c r="C39" i="11"/>
  <c r="B38" i="11"/>
  <c r="W25" i="14" l="1"/>
  <c r="X25" i="14"/>
  <c r="AJ40" i="11" s="1"/>
  <c r="AH40" i="11"/>
  <c r="J14" i="1"/>
  <c r="G14" i="13" s="1"/>
  <c r="L55" i="9"/>
  <c r="AB21" i="11"/>
  <c r="N55" i="9"/>
  <c r="X22" i="11"/>
  <c r="G25" i="11"/>
  <c r="I25" i="11" s="1"/>
  <c r="W61" i="9"/>
  <c r="P56" i="10" s="1"/>
  <c r="Q55" i="9"/>
  <c r="V31" i="9"/>
  <c r="X41" i="9"/>
  <c r="O55" i="9"/>
  <c r="P50" i="9"/>
  <c r="X17" i="9"/>
  <c r="X29" i="9"/>
  <c r="X37" i="9"/>
  <c r="AB86" i="7"/>
  <c r="X35" i="9"/>
  <c r="S50" i="9"/>
  <c r="T42" i="9"/>
  <c r="X26" i="9"/>
  <c r="W30" i="9"/>
  <c r="W31" i="9" s="1"/>
  <c r="V42" i="9"/>
  <c r="U50" i="9"/>
  <c r="X52" i="9"/>
  <c r="X40" i="9"/>
  <c r="X34" i="9"/>
  <c r="X19" i="9"/>
  <c r="X22" i="9"/>
  <c r="X48" i="9"/>
  <c r="X36" i="9"/>
  <c r="X47" i="9"/>
  <c r="X45" i="9"/>
  <c r="X46" i="9"/>
  <c r="X20" i="9"/>
  <c r="X18" i="9"/>
  <c r="X39" i="9"/>
  <c r="X21" i="9"/>
  <c r="X49" i="9"/>
  <c r="X38" i="9"/>
  <c r="X53" i="9"/>
  <c r="U40" i="11"/>
  <c r="T40" i="11"/>
  <c r="S40" i="11"/>
  <c r="Q41" i="11"/>
  <c r="R42" i="11"/>
  <c r="F38" i="11"/>
  <c r="E38" i="11"/>
  <c r="D38" i="11"/>
  <c r="C40" i="11"/>
  <c r="B39" i="11"/>
  <c r="M24" i="11"/>
  <c r="AI40" i="11" l="1"/>
  <c r="Y25" i="14"/>
  <c r="Z25" i="14" s="1"/>
  <c r="P55" i="9"/>
  <c r="R55" i="9"/>
  <c r="W22" i="11"/>
  <c r="Y22" i="11" s="1"/>
  <c r="Z22" i="11" s="1"/>
  <c r="AA22" i="11" s="1"/>
  <c r="V23" i="11" s="1"/>
  <c r="W42" i="9"/>
  <c r="X31" i="9"/>
  <c r="U55" i="9"/>
  <c r="V50" i="9"/>
  <c r="X30" i="9"/>
  <c r="W14" i="9"/>
  <c r="S55" i="9"/>
  <c r="T50" i="9"/>
  <c r="R43" i="11"/>
  <c r="Q42" i="11"/>
  <c r="U41" i="11"/>
  <c r="T41" i="11"/>
  <c r="S41" i="11"/>
  <c r="F39" i="11"/>
  <c r="E39" i="11"/>
  <c r="D39" i="11"/>
  <c r="C41" i="11"/>
  <c r="B40" i="11"/>
  <c r="H25" i="11"/>
  <c r="J25" i="11" s="1"/>
  <c r="AK40" i="11" l="1"/>
  <c r="V55" i="9"/>
  <c r="T55" i="9"/>
  <c r="AB22" i="11"/>
  <c r="X23" i="11"/>
  <c r="X42" i="9"/>
  <c r="W50" i="9"/>
  <c r="U42" i="11"/>
  <c r="T42" i="11"/>
  <c r="S42" i="11"/>
  <c r="R44" i="11"/>
  <c r="Q43" i="11"/>
  <c r="F40" i="11"/>
  <c r="E40" i="11"/>
  <c r="D40" i="11"/>
  <c r="C42" i="11"/>
  <c r="B41" i="11"/>
  <c r="K25" i="11"/>
  <c r="L25" i="11" s="1"/>
  <c r="G26" i="11" s="1"/>
  <c r="U26" i="14" l="1"/>
  <c r="AL40" i="11"/>
  <c r="W23" i="11"/>
  <c r="Y23" i="11" s="1"/>
  <c r="Z23" i="11" s="1"/>
  <c r="AA23" i="11" s="1"/>
  <c r="V24" i="11" s="1"/>
  <c r="X50" i="9"/>
  <c r="W55" i="9"/>
  <c r="M25" i="11"/>
  <c r="U43" i="11"/>
  <c r="T43" i="11"/>
  <c r="S43" i="11"/>
  <c r="R45" i="11"/>
  <c r="Q44" i="11"/>
  <c r="F41" i="11"/>
  <c r="E41" i="11"/>
  <c r="D41" i="11"/>
  <c r="C43" i="11"/>
  <c r="B42" i="11"/>
  <c r="I26" i="11"/>
  <c r="J15" i="1" l="1"/>
  <c r="J20" i="1"/>
  <c r="G21" i="13" s="1"/>
  <c r="V26" i="14"/>
  <c r="AF41" i="11"/>
  <c r="AB23" i="11"/>
  <c r="X55" i="9"/>
  <c r="J25" i="8"/>
  <c r="X24" i="11"/>
  <c r="R46" i="11"/>
  <c r="Q45" i="11"/>
  <c r="S44" i="11"/>
  <c r="U44" i="11"/>
  <c r="T44" i="11"/>
  <c r="F42" i="11"/>
  <c r="E42" i="11"/>
  <c r="D42" i="11"/>
  <c r="C44" i="11"/>
  <c r="B43" i="11"/>
  <c r="H26" i="11"/>
  <c r="J26" i="11" s="1"/>
  <c r="G16" i="13" l="1"/>
  <c r="W26" i="14"/>
  <c r="X26" i="14"/>
  <c r="AJ41" i="11" s="1"/>
  <c r="AH41" i="11"/>
  <c r="W24" i="11"/>
  <c r="Y24" i="11" s="1"/>
  <c r="Z24" i="11" s="1"/>
  <c r="AA24" i="11" s="1"/>
  <c r="V25" i="11" s="1"/>
  <c r="T45" i="11"/>
  <c r="S45" i="11"/>
  <c r="U45" i="11"/>
  <c r="Q46" i="11"/>
  <c r="R47" i="11"/>
  <c r="F43" i="11"/>
  <c r="E43" i="11"/>
  <c r="D43" i="11"/>
  <c r="C45" i="11"/>
  <c r="B44" i="11"/>
  <c r="K26" i="11"/>
  <c r="M26" i="11" s="1"/>
  <c r="AI41" i="11" l="1"/>
  <c r="Y26" i="14"/>
  <c r="Z26" i="14" s="1"/>
  <c r="AB24" i="11"/>
  <c r="X25" i="11"/>
  <c r="U46" i="11"/>
  <c r="T46" i="11"/>
  <c r="S46" i="11"/>
  <c r="Q47" i="11"/>
  <c r="R48" i="11"/>
  <c r="L26" i="11"/>
  <c r="G27" i="11" s="1"/>
  <c r="C46" i="11"/>
  <c r="B45" i="11"/>
  <c r="F44" i="11"/>
  <c r="E44" i="11"/>
  <c r="D44" i="11"/>
  <c r="AK41" i="11" l="1"/>
  <c r="W25" i="11"/>
  <c r="Y25" i="11" s="1"/>
  <c r="Z25" i="11" s="1"/>
  <c r="AA25" i="11" s="1"/>
  <c r="V26" i="11" s="1"/>
  <c r="Q48" i="11"/>
  <c r="R49" i="11"/>
  <c r="U47" i="11"/>
  <c r="T47" i="11"/>
  <c r="S47" i="11"/>
  <c r="D45" i="11"/>
  <c r="F45" i="11"/>
  <c r="E45" i="11"/>
  <c r="C47" i="11"/>
  <c r="B46" i="11"/>
  <c r="I27" i="11"/>
  <c r="U27" i="14" l="1"/>
  <c r="AL41" i="11"/>
  <c r="AB25" i="11"/>
  <c r="X26" i="11"/>
  <c r="W26" i="11" s="1"/>
  <c r="Y26" i="11" s="1"/>
  <c r="Z26" i="11" s="1"/>
  <c r="Q49" i="11"/>
  <c r="R50" i="11"/>
  <c r="U48" i="11"/>
  <c r="S48" i="11"/>
  <c r="T48" i="11"/>
  <c r="C48" i="11"/>
  <c r="B47" i="11"/>
  <c r="H27" i="11"/>
  <c r="J27" i="11" s="1"/>
  <c r="E46" i="11"/>
  <c r="D46" i="11"/>
  <c r="F46" i="11"/>
  <c r="AF42" i="11" l="1"/>
  <c r="V27" i="14"/>
  <c r="AB26" i="11"/>
  <c r="AA26" i="11"/>
  <c r="V27" i="11" s="1"/>
  <c r="X27" i="11" s="1"/>
  <c r="W27" i="11" s="1"/>
  <c r="Y27" i="11" s="1"/>
  <c r="Z27" i="11" s="1"/>
  <c r="Q50" i="11"/>
  <c r="R51" i="11"/>
  <c r="U49" i="11"/>
  <c r="T49" i="11"/>
  <c r="S49" i="11"/>
  <c r="F47" i="11"/>
  <c r="E47" i="11"/>
  <c r="D47" i="11"/>
  <c r="K27" i="11"/>
  <c r="M27" i="11" s="1"/>
  <c r="C49" i="11"/>
  <c r="B48" i="11"/>
  <c r="W27" i="14" l="1"/>
  <c r="X27" i="14"/>
  <c r="AJ42" i="11" s="1"/>
  <c r="AH42" i="11"/>
  <c r="AB27" i="11"/>
  <c r="AA27" i="11"/>
  <c r="V28" i="11" s="1"/>
  <c r="Q51" i="11"/>
  <c r="R52" i="11"/>
  <c r="U50" i="11"/>
  <c r="T50" i="11"/>
  <c r="S50" i="11"/>
  <c r="F48" i="11"/>
  <c r="E48" i="11"/>
  <c r="D48" i="11"/>
  <c r="C50" i="11"/>
  <c r="B49" i="11"/>
  <c r="L27" i="11"/>
  <c r="G28" i="11" s="1"/>
  <c r="AI42" i="11" l="1"/>
  <c r="Y27" i="14"/>
  <c r="Z27" i="14" s="1"/>
  <c r="X28" i="11"/>
  <c r="W28" i="11" s="1"/>
  <c r="Y28" i="11" s="1"/>
  <c r="Z28" i="11" s="1"/>
  <c r="Q52" i="11"/>
  <c r="R53" i="11"/>
  <c r="S51" i="11"/>
  <c r="U51" i="11"/>
  <c r="T51" i="11"/>
  <c r="F49" i="11"/>
  <c r="E49" i="11"/>
  <c r="D49" i="11"/>
  <c r="C51" i="11"/>
  <c r="B50" i="11"/>
  <c r="I28" i="11"/>
  <c r="AK42" i="11" l="1"/>
  <c r="AB28" i="11"/>
  <c r="AA28" i="11"/>
  <c r="V29" i="11" s="1"/>
  <c r="X29" i="11" s="1"/>
  <c r="W29" i="11" s="1"/>
  <c r="Y29" i="11" s="1"/>
  <c r="Z29" i="11" s="1"/>
  <c r="AB29" i="11" s="1"/>
  <c r="Q53" i="11"/>
  <c r="R54" i="11"/>
  <c r="U52" i="11"/>
  <c r="T52" i="11"/>
  <c r="S52" i="11"/>
  <c r="C52" i="11"/>
  <c r="B51" i="11"/>
  <c r="F50" i="11"/>
  <c r="E50" i="11"/>
  <c r="D50" i="11"/>
  <c r="H28" i="11"/>
  <c r="J28" i="11" s="1"/>
  <c r="U28" i="14" l="1"/>
  <c r="AL42" i="11"/>
  <c r="Q54" i="11"/>
  <c r="R55" i="11"/>
  <c r="U53" i="11"/>
  <c r="T53" i="11"/>
  <c r="S53" i="11"/>
  <c r="AA29" i="11"/>
  <c r="V30" i="11" s="1"/>
  <c r="F51" i="11"/>
  <c r="E51" i="11"/>
  <c r="D51" i="11"/>
  <c r="K28" i="11"/>
  <c r="M28" i="11" s="1"/>
  <c r="C53" i="11"/>
  <c r="B52" i="11"/>
  <c r="AF43" i="11" l="1"/>
  <c r="V28" i="14"/>
  <c r="Q55" i="11"/>
  <c r="R56" i="11"/>
  <c r="X30" i="11"/>
  <c r="S54" i="11"/>
  <c r="U54" i="11"/>
  <c r="T54" i="11"/>
  <c r="L28" i="11"/>
  <c r="G29" i="11" s="1"/>
  <c r="F52" i="11"/>
  <c r="E52" i="11"/>
  <c r="D52" i="11"/>
  <c r="C54" i="11"/>
  <c r="B53" i="11"/>
  <c r="W28" i="14" l="1"/>
  <c r="X28" i="14"/>
  <c r="AJ43" i="11" s="1"/>
  <c r="AH43" i="11"/>
  <c r="Q56" i="11"/>
  <c r="R57" i="11"/>
  <c r="W30" i="11"/>
  <c r="Y30" i="11" s="1"/>
  <c r="T55" i="11"/>
  <c r="U55" i="11"/>
  <c r="S55" i="11"/>
  <c r="C55" i="11"/>
  <c r="B54" i="11"/>
  <c r="F53" i="11"/>
  <c r="E53" i="11"/>
  <c r="D53" i="11"/>
  <c r="I29" i="11"/>
  <c r="Y28" i="14" l="1"/>
  <c r="Z28" i="14" s="1"/>
  <c r="AI43" i="11"/>
  <c r="Z30" i="11"/>
  <c r="AB30" i="11" s="1"/>
  <c r="Q57" i="11"/>
  <c r="R58" i="11"/>
  <c r="U56" i="11"/>
  <c r="T56" i="11"/>
  <c r="S56" i="11"/>
  <c r="H29" i="11"/>
  <c r="J29" i="11" s="1"/>
  <c r="F54" i="11"/>
  <c r="E54" i="11"/>
  <c r="D54" i="11"/>
  <c r="B55" i="11"/>
  <c r="C56" i="11"/>
  <c r="AK43" i="11" l="1"/>
  <c r="Q58" i="11"/>
  <c r="R59" i="11"/>
  <c r="U57" i="11"/>
  <c r="S57" i="11"/>
  <c r="T57" i="11"/>
  <c r="AA30" i="11"/>
  <c r="V31" i="11" s="1"/>
  <c r="K29" i="11"/>
  <c r="M29" i="11" s="1"/>
  <c r="B56" i="11"/>
  <c r="C57" i="11"/>
  <c r="D55" i="11"/>
  <c r="F55" i="11"/>
  <c r="E55" i="11"/>
  <c r="U29" i="14" l="1"/>
  <c r="AL43" i="11"/>
  <c r="L29" i="11"/>
  <c r="G30" i="11" s="1"/>
  <c r="I30" i="11" s="1"/>
  <c r="Q59" i="11"/>
  <c r="R60" i="11"/>
  <c r="X31" i="11"/>
  <c r="U58" i="11"/>
  <c r="T58" i="11"/>
  <c r="S58" i="11"/>
  <c r="B57" i="11"/>
  <c r="C58" i="11"/>
  <c r="E56" i="11"/>
  <c r="D56" i="11"/>
  <c r="F56" i="11"/>
  <c r="AF44" i="11" l="1"/>
  <c r="V29" i="14"/>
  <c r="W31" i="11"/>
  <c r="Y31" i="11" s="1"/>
  <c r="Q60" i="11"/>
  <c r="R61" i="11"/>
  <c r="U59" i="11"/>
  <c r="S59" i="11"/>
  <c r="T59" i="11"/>
  <c r="H30" i="11"/>
  <c r="J30" i="11" s="1"/>
  <c r="C59" i="11"/>
  <c r="B58" i="11"/>
  <c r="F57" i="11"/>
  <c r="E57" i="11"/>
  <c r="D57" i="11"/>
  <c r="W29" i="14" l="1"/>
  <c r="X29" i="14"/>
  <c r="AJ44" i="11" s="1"/>
  <c r="AH44" i="11"/>
  <c r="Q61" i="11"/>
  <c r="R62" i="11"/>
  <c r="T60" i="11"/>
  <c r="U60" i="11"/>
  <c r="S60" i="11"/>
  <c r="Z31" i="11"/>
  <c r="AB31" i="11" s="1"/>
  <c r="F58" i="11"/>
  <c r="E58" i="11"/>
  <c r="D58" i="11"/>
  <c r="C60" i="11"/>
  <c r="B59" i="11"/>
  <c r="K30" i="11"/>
  <c r="M30" i="11" s="1"/>
  <c r="AI44" i="11" l="1"/>
  <c r="Y29" i="14"/>
  <c r="Z29" i="14" s="1"/>
  <c r="L30" i="11"/>
  <c r="G31" i="11" s="1"/>
  <c r="I31" i="11" s="1"/>
  <c r="Q62" i="11"/>
  <c r="R63" i="11"/>
  <c r="AA31" i="11"/>
  <c r="V32" i="11" s="1"/>
  <c r="S61" i="11"/>
  <c r="U61" i="11"/>
  <c r="T61" i="11"/>
  <c r="B60" i="11"/>
  <c r="C61" i="11"/>
  <c r="F59" i="11"/>
  <c r="E59" i="11"/>
  <c r="D59" i="11"/>
  <c r="AK44" i="11" l="1"/>
  <c r="X32" i="11"/>
  <c r="Q63" i="11"/>
  <c r="R64" i="11"/>
  <c r="U62" i="11"/>
  <c r="T62" i="11"/>
  <c r="S62" i="11"/>
  <c r="B61" i="11"/>
  <c r="C62" i="11"/>
  <c r="D60" i="11"/>
  <c r="F60" i="11"/>
  <c r="E60" i="11"/>
  <c r="H31" i="11"/>
  <c r="J31" i="11" s="1"/>
  <c r="U30" i="14" l="1"/>
  <c r="AL44" i="11"/>
  <c r="Q64" i="11"/>
  <c r="R65" i="11"/>
  <c r="U63" i="11"/>
  <c r="T63" i="11"/>
  <c r="S63" i="11"/>
  <c r="W32" i="11"/>
  <c r="Y32" i="11" s="1"/>
  <c r="K31" i="11"/>
  <c r="L31" i="11" s="1"/>
  <c r="G32" i="11" s="1"/>
  <c r="B62" i="11"/>
  <c r="C63" i="11"/>
  <c r="E61" i="11"/>
  <c r="F61" i="11"/>
  <c r="D61" i="11"/>
  <c r="V30" i="14" l="1"/>
  <c r="AF45" i="11"/>
  <c r="M31" i="11"/>
  <c r="Q65" i="11"/>
  <c r="R66" i="11"/>
  <c r="Z32" i="11"/>
  <c r="AB32" i="11" s="1"/>
  <c r="T64" i="11"/>
  <c r="S64" i="11"/>
  <c r="U64" i="11"/>
  <c r="B63" i="11"/>
  <c r="C64" i="11"/>
  <c r="D62" i="11"/>
  <c r="F62" i="11"/>
  <c r="E62" i="11"/>
  <c r="I32" i="11"/>
  <c r="W30" i="14" l="1"/>
  <c r="X30" i="14"/>
  <c r="AJ45" i="11" s="1"/>
  <c r="AH45" i="11"/>
  <c r="AA32" i="11"/>
  <c r="V33" i="11" s="1"/>
  <c r="Q66" i="11"/>
  <c r="R67" i="11"/>
  <c r="S65" i="11"/>
  <c r="U65" i="11"/>
  <c r="T65" i="11"/>
  <c r="H32" i="11"/>
  <c r="J32" i="11" s="1"/>
  <c r="B64" i="11"/>
  <c r="C65" i="11"/>
  <c r="F63" i="11"/>
  <c r="E63" i="11"/>
  <c r="D63" i="11"/>
  <c r="AI45" i="11" l="1"/>
  <c r="Y30" i="14"/>
  <c r="Z30" i="14" s="1"/>
  <c r="Q67" i="11"/>
  <c r="R68" i="11"/>
  <c r="S66" i="11"/>
  <c r="U66" i="11"/>
  <c r="T66" i="11"/>
  <c r="X33" i="11"/>
  <c r="C66" i="11"/>
  <c r="B65" i="11"/>
  <c r="F64" i="11"/>
  <c r="E64" i="11"/>
  <c r="D64" i="11"/>
  <c r="K32" i="11"/>
  <c r="L32" i="11" s="1"/>
  <c r="G33" i="11" s="1"/>
  <c r="AK45" i="11" l="1"/>
  <c r="M32" i="11"/>
  <c r="Q68" i="11"/>
  <c r="R69" i="11"/>
  <c r="W33" i="11"/>
  <c r="Y33" i="11" s="1"/>
  <c r="T67" i="11"/>
  <c r="S67" i="11"/>
  <c r="U67" i="11"/>
  <c r="I33" i="11"/>
  <c r="F65" i="11"/>
  <c r="E65" i="11"/>
  <c r="D65" i="11"/>
  <c r="B66" i="11"/>
  <c r="C67" i="11"/>
  <c r="U31" i="14" l="1"/>
  <c r="AF46" i="11" s="1"/>
  <c r="AL45" i="11"/>
  <c r="X5" i="14" a="1"/>
  <c r="X5" i="14" s="1"/>
  <c r="Z33" i="11"/>
  <c r="AA33" i="11" s="1"/>
  <c r="V34" i="11" s="1"/>
  <c r="Q69" i="11"/>
  <c r="R70" i="11"/>
  <c r="U68" i="11"/>
  <c r="T68" i="11"/>
  <c r="S68" i="11"/>
  <c r="H33" i="11"/>
  <c r="J33" i="11" s="1"/>
  <c r="C68" i="11"/>
  <c r="B67" i="11"/>
  <c r="D66" i="11"/>
  <c r="F66" i="11"/>
  <c r="E66" i="11"/>
  <c r="Y5" i="14" l="1"/>
  <c r="AO21" i="11" s="1"/>
  <c r="AN21" i="11"/>
  <c r="AB33" i="11"/>
  <c r="X34" i="11"/>
  <c r="Q70" i="11"/>
  <c r="R71" i="11"/>
  <c r="U69" i="11"/>
  <c r="T69" i="11"/>
  <c r="S69" i="11"/>
  <c r="D67" i="11"/>
  <c r="E67" i="11"/>
  <c r="F67" i="11"/>
  <c r="K33" i="11"/>
  <c r="M33" i="11" s="1"/>
  <c r="B68" i="11"/>
  <c r="C69" i="11"/>
  <c r="Q71" i="11" l="1"/>
  <c r="R72" i="11"/>
  <c r="W34" i="11"/>
  <c r="Y34" i="11" s="1"/>
  <c r="T70" i="11"/>
  <c r="S70" i="11"/>
  <c r="U70" i="11"/>
  <c r="B69" i="11"/>
  <c r="C70" i="11"/>
  <c r="L33" i="11"/>
  <c r="G34" i="11" s="1"/>
  <c r="E68" i="11"/>
  <c r="F68" i="11"/>
  <c r="D68" i="11"/>
  <c r="Z34" i="11" l="1"/>
  <c r="AB34" i="11" s="1"/>
  <c r="Q72" i="11"/>
  <c r="R73" i="11"/>
  <c r="U71" i="11"/>
  <c r="T71" i="11"/>
  <c r="S71" i="11"/>
  <c r="I34" i="11"/>
  <c r="C71" i="11"/>
  <c r="B70" i="11"/>
  <c r="F69" i="11"/>
  <c r="E69" i="11"/>
  <c r="D69" i="11"/>
  <c r="AA34" i="11" l="1"/>
  <c r="V35" i="11" s="1"/>
  <c r="X35" i="11" s="1"/>
  <c r="Q73" i="11"/>
  <c r="R74" i="11"/>
  <c r="T72" i="11"/>
  <c r="U72" i="11"/>
  <c r="S72" i="11"/>
  <c r="F70" i="11"/>
  <c r="E70" i="11"/>
  <c r="D70" i="11"/>
  <c r="C72" i="11"/>
  <c r="B71" i="11"/>
  <c r="H34" i="11"/>
  <c r="J34" i="11" s="1"/>
  <c r="W35" i="11" l="1"/>
  <c r="Y35" i="11" s="1"/>
  <c r="Q74" i="11"/>
  <c r="R75" i="11"/>
  <c r="U73" i="11"/>
  <c r="T73" i="11"/>
  <c r="S73" i="11"/>
  <c r="B72" i="11"/>
  <c r="C73" i="11"/>
  <c r="K34" i="11"/>
  <c r="L34" i="11" s="1"/>
  <c r="G35" i="11" s="1"/>
  <c r="F71" i="11"/>
  <c r="E71" i="11"/>
  <c r="D71" i="11"/>
  <c r="T74" i="11" l="1"/>
  <c r="S74" i="11"/>
  <c r="U74" i="11"/>
  <c r="Q75" i="11"/>
  <c r="R76" i="11"/>
  <c r="Z35" i="11"/>
  <c r="AB35" i="11" s="1"/>
  <c r="I35" i="11"/>
  <c r="C74" i="11"/>
  <c r="B73" i="11"/>
  <c r="M34" i="11"/>
  <c r="D72" i="11"/>
  <c r="F72" i="11"/>
  <c r="E72" i="11"/>
  <c r="T75" i="11" l="1"/>
  <c r="S75" i="11"/>
  <c r="U75" i="11"/>
  <c r="AA35" i="11"/>
  <c r="V36" i="11" s="1"/>
  <c r="Q76" i="11"/>
  <c r="R77" i="11"/>
  <c r="D73" i="11"/>
  <c r="F73" i="11"/>
  <c r="E73" i="11"/>
  <c r="B74" i="11"/>
  <c r="C75" i="11"/>
  <c r="H35" i="11"/>
  <c r="J35" i="11" s="1"/>
  <c r="T76" i="11" l="1"/>
  <c r="S76" i="11"/>
  <c r="U76" i="11"/>
  <c r="X36" i="11"/>
  <c r="Q77" i="11"/>
  <c r="R78" i="11"/>
  <c r="F74" i="11"/>
  <c r="E74" i="11"/>
  <c r="D74" i="11"/>
  <c r="B75" i="11"/>
  <c r="C76" i="11"/>
  <c r="K35" i="11"/>
  <c r="L35" i="11" s="1"/>
  <c r="G36" i="11" s="1"/>
  <c r="M35" i="11" l="1"/>
  <c r="W36" i="11"/>
  <c r="Y36" i="11" s="1"/>
  <c r="Q78" i="11"/>
  <c r="R79" i="11"/>
  <c r="U77" i="11"/>
  <c r="T77" i="11"/>
  <c r="S77" i="11"/>
  <c r="B76" i="11"/>
  <c r="C77" i="11"/>
  <c r="I36" i="11"/>
  <c r="E75" i="11"/>
  <c r="D75" i="11"/>
  <c r="F75" i="11"/>
  <c r="Q79" i="11" l="1"/>
  <c r="R80" i="11"/>
  <c r="T78" i="11"/>
  <c r="S78" i="11"/>
  <c r="U78" i="11"/>
  <c r="Z36" i="11"/>
  <c r="AB36" i="11" s="1"/>
  <c r="H36" i="11"/>
  <c r="J36" i="11" s="1"/>
  <c r="C78" i="11"/>
  <c r="B77" i="11"/>
  <c r="F76" i="11"/>
  <c r="E76" i="11"/>
  <c r="D76" i="11"/>
  <c r="AA36" i="11" l="1"/>
  <c r="V37" i="11" s="1"/>
  <c r="X37" i="11" s="1"/>
  <c r="Q80" i="11"/>
  <c r="R81" i="11"/>
  <c r="U79" i="11"/>
  <c r="T79" i="11"/>
  <c r="S79" i="11"/>
  <c r="K36" i="11"/>
  <c r="L36" i="11" s="1"/>
  <c r="G37" i="11" s="1"/>
  <c r="F77" i="11"/>
  <c r="E77" i="11"/>
  <c r="D77" i="11"/>
  <c r="C79" i="11"/>
  <c r="B78" i="11"/>
  <c r="M36" i="11" l="1"/>
  <c r="Q81" i="11"/>
  <c r="R82" i="11"/>
  <c r="S80" i="11"/>
  <c r="U80" i="11"/>
  <c r="T80" i="11"/>
  <c r="W37" i="11"/>
  <c r="Y37" i="11" s="1"/>
  <c r="I37" i="11"/>
  <c r="F78" i="11"/>
  <c r="E78" i="11"/>
  <c r="D78" i="11"/>
  <c r="C80" i="11"/>
  <c r="B79" i="11"/>
  <c r="Q82" i="11" l="1"/>
  <c r="R83" i="11"/>
  <c r="Z37" i="11"/>
  <c r="AB37" i="11" s="1"/>
  <c r="T81" i="11"/>
  <c r="U81" i="11"/>
  <c r="S81" i="11"/>
  <c r="D79" i="11"/>
  <c r="F79" i="11"/>
  <c r="E79" i="11"/>
  <c r="B80" i="11"/>
  <c r="C81" i="11"/>
  <c r="H37" i="11"/>
  <c r="J37" i="11" s="1"/>
  <c r="AA37" i="11" l="1"/>
  <c r="V38" i="11" s="1"/>
  <c r="X38" i="11" s="1"/>
  <c r="Q83" i="11"/>
  <c r="R84" i="11"/>
  <c r="U82" i="11"/>
  <c r="S82" i="11"/>
  <c r="T82" i="11"/>
  <c r="B81" i="11"/>
  <c r="C82" i="11"/>
  <c r="K37" i="11"/>
  <c r="M37" i="11" s="1"/>
  <c r="E80" i="11"/>
  <c r="F80" i="11"/>
  <c r="D80" i="11"/>
  <c r="L37" i="11" l="1"/>
  <c r="G38" i="11" s="1"/>
  <c r="I38" i="11" s="1"/>
  <c r="W38" i="11"/>
  <c r="Y38" i="11" s="1"/>
  <c r="Q84" i="11"/>
  <c r="R85" i="11"/>
  <c r="T83" i="11"/>
  <c r="S83" i="11"/>
  <c r="U83" i="11"/>
  <c r="B82" i="11"/>
  <c r="C83" i="11"/>
  <c r="F81" i="11"/>
  <c r="D81" i="11"/>
  <c r="E81" i="11"/>
  <c r="Q85" i="11" l="1"/>
  <c r="R86" i="11"/>
  <c r="S84" i="11"/>
  <c r="U84" i="11"/>
  <c r="T84" i="11"/>
  <c r="Z38" i="11"/>
  <c r="AB38" i="11" s="1"/>
  <c r="H38" i="11"/>
  <c r="J38" i="11" s="1"/>
  <c r="B83" i="11"/>
  <c r="C84" i="11"/>
  <c r="F82" i="11"/>
  <c r="E82" i="11"/>
  <c r="D82" i="11"/>
  <c r="AA38" i="11" l="1"/>
  <c r="V39" i="11" s="1"/>
  <c r="Q86" i="11"/>
  <c r="R87" i="11"/>
  <c r="U85" i="11"/>
  <c r="T85" i="11"/>
  <c r="S85" i="11"/>
  <c r="F83" i="11"/>
  <c r="E83" i="11"/>
  <c r="D83" i="11"/>
  <c r="B84" i="11"/>
  <c r="C85" i="11"/>
  <c r="K38" i="11"/>
  <c r="L38" i="11" s="1"/>
  <c r="G39" i="11" s="1"/>
  <c r="M38" i="11" l="1"/>
  <c r="Q87" i="11"/>
  <c r="R88" i="11"/>
  <c r="U86" i="11"/>
  <c r="T86" i="11"/>
  <c r="S86" i="11"/>
  <c r="X39" i="11"/>
  <c r="I39" i="11"/>
  <c r="F84" i="11"/>
  <c r="E84" i="11"/>
  <c r="D84" i="11"/>
  <c r="C86" i="11"/>
  <c r="B85" i="11"/>
  <c r="Q88" i="11" l="1"/>
  <c r="R89" i="11"/>
  <c r="W39" i="11"/>
  <c r="Y39" i="11" s="1"/>
  <c r="U87" i="11"/>
  <c r="S87" i="11"/>
  <c r="T87" i="11"/>
  <c r="F85" i="11"/>
  <c r="E85" i="11"/>
  <c r="D85" i="11"/>
  <c r="B86" i="11"/>
  <c r="C87" i="11"/>
  <c r="H39" i="11"/>
  <c r="J39" i="11" s="1"/>
  <c r="Z39" i="11" l="1"/>
  <c r="AA39" i="11" s="1"/>
  <c r="V40" i="11" s="1"/>
  <c r="Q89" i="11"/>
  <c r="R90" i="11"/>
  <c r="T88" i="11"/>
  <c r="S88" i="11"/>
  <c r="U88" i="11"/>
  <c r="B87" i="11"/>
  <c r="C88" i="11"/>
  <c r="F86" i="11"/>
  <c r="E86" i="11"/>
  <c r="D86" i="11"/>
  <c r="K39" i="11"/>
  <c r="M39" i="11" s="1"/>
  <c r="AB39" i="11" l="1"/>
  <c r="L39" i="11"/>
  <c r="G40" i="11" s="1"/>
  <c r="I40" i="11" s="1"/>
  <c r="X40" i="11"/>
  <c r="Q90" i="11"/>
  <c r="R91" i="11"/>
  <c r="S89" i="11"/>
  <c r="U89" i="11"/>
  <c r="T89" i="11"/>
  <c r="B88" i="11"/>
  <c r="C89" i="11"/>
  <c r="D87" i="11"/>
  <c r="E87" i="11"/>
  <c r="F87" i="11"/>
  <c r="S90" i="11" l="1"/>
  <c r="U90" i="11"/>
  <c r="T90" i="11"/>
  <c r="W40" i="11"/>
  <c r="Y40" i="11" s="1"/>
  <c r="Q91" i="11"/>
  <c r="R92" i="11"/>
  <c r="C90" i="11"/>
  <c r="B89" i="11"/>
  <c r="F88" i="11"/>
  <c r="E88" i="11"/>
  <c r="D88" i="11"/>
  <c r="H40" i="11"/>
  <c r="J40" i="11" s="1"/>
  <c r="Z40" i="11" l="1"/>
  <c r="AA40" i="11" s="1"/>
  <c r="V41" i="11" s="1"/>
  <c r="Q92" i="11"/>
  <c r="R93" i="11"/>
  <c r="U91" i="11"/>
  <c r="T91" i="11"/>
  <c r="S91" i="11"/>
  <c r="F89" i="11"/>
  <c r="E89" i="11"/>
  <c r="D89" i="11"/>
  <c r="K40" i="11"/>
  <c r="M40" i="11" s="1"/>
  <c r="B90" i="11"/>
  <c r="C91" i="11"/>
  <c r="AB40" i="11" l="1"/>
  <c r="X41" i="11"/>
  <c r="Q93" i="11"/>
  <c r="R94" i="11"/>
  <c r="S92" i="11"/>
  <c r="U92" i="11"/>
  <c r="T92" i="11"/>
  <c r="C92" i="11"/>
  <c r="B91" i="11"/>
  <c r="F90" i="11"/>
  <c r="E90" i="11"/>
  <c r="D90" i="11"/>
  <c r="L40" i="11"/>
  <c r="G41" i="11" s="1"/>
  <c r="Q94" i="11" l="1"/>
  <c r="R95" i="11"/>
  <c r="W41" i="11"/>
  <c r="Y41" i="11" s="1"/>
  <c r="T93" i="11"/>
  <c r="U93" i="11"/>
  <c r="S93" i="11"/>
  <c r="D91" i="11"/>
  <c r="F91" i="11"/>
  <c r="E91" i="11"/>
  <c r="I41" i="11"/>
  <c r="B92" i="11"/>
  <c r="C93" i="11"/>
  <c r="Q95" i="11" l="1"/>
  <c r="R96" i="11"/>
  <c r="Z41" i="11"/>
  <c r="AA41" i="11" s="1"/>
  <c r="V42" i="11" s="1"/>
  <c r="U94" i="11"/>
  <c r="T94" i="11"/>
  <c r="S94" i="11"/>
  <c r="C94" i="11"/>
  <c r="B93" i="11"/>
  <c r="E92" i="11"/>
  <c r="D92" i="11"/>
  <c r="F92" i="11"/>
  <c r="H41" i="11"/>
  <c r="J41" i="11" s="1"/>
  <c r="AB41" i="11" l="1"/>
  <c r="X42" i="11"/>
  <c r="Q96" i="11"/>
  <c r="R97" i="11"/>
  <c r="S95" i="11"/>
  <c r="U95" i="11"/>
  <c r="T95" i="11"/>
  <c r="F93" i="11"/>
  <c r="E93" i="11"/>
  <c r="D93" i="11"/>
  <c r="K41" i="11"/>
  <c r="M41" i="11" s="1"/>
  <c r="B94" i="11"/>
  <c r="C95" i="11"/>
  <c r="L41" i="11" l="1"/>
  <c r="G42" i="11" s="1"/>
  <c r="I42" i="11" s="1"/>
  <c r="U96" i="11"/>
  <c r="T96" i="11"/>
  <c r="S96" i="11"/>
  <c r="Q97" i="11"/>
  <c r="R98" i="11"/>
  <c r="W42" i="11"/>
  <c r="Y42" i="11" s="1"/>
  <c r="C96" i="11"/>
  <c r="B95" i="11"/>
  <c r="F94" i="11"/>
  <c r="E94" i="11"/>
  <c r="D94" i="11"/>
  <c r="Q98" i="11" l="1"/>
  <c r="R99" i="11"/>
  <c r="T97" i="11"/>
  <c r="S97" i="11"/>
  <c r="U97" i="11"/>
  <c r="Z42" i="11"/>
  <c r="AB42" i="11" s="1"/>
  <c r="D95" i="11"/>
  <c r="F95" i="11"/>
  <c r="E95" i="11"/>
  <c r="B96" i="11"/>
  <c r="C97" i="11"/>
  <c r="H42" i="11"/>
  <c r="J42" i="11" s="1"/>
  <c r="Q99" i="11" l="1"/>
  <c r="R100" i="11"/>
  <c r="AA42" i="11"/>
  <c r="V43" i="11" s="1"/>
  <c r="U98" i="11"/>
  <c r="T98" i="11"/>
  <c r="S98" i="11"/>
  <c r="B97" i="11"/>
  <c r="C98" i="11"/>
  <c r="E96" i="11"/>
  <c r="F96" i="11"/>
  <c r="D96" i="11"/>
  <c r="K42" i="11"/>
  <c r="L42" i="11" s="1"/>
  <c r="G43" i="11" s="1"/>
  <c r="M42" i="11" l="1"/>
  <c r="X43" i="11"/>
  <c r="Q100" i="11"/>
  <c r="R101" i="11"/>
  <c r="U99" i="11"/>
  <c r="T99" i="11"/>
  <c r="S99" i="11"/>
  <c r="I43" i="11"/>
  <c r="B98" i="11"/>
  <c r="C99" i="11"/>
  <c r="F97" i="11"/>
  <c r="E97" i="11"/>
  <c r="D97" i="11"/>
  <c r="Q101" i="11" l="1"/>
  <c r="R102" i="11"/>
  <c r="U100" i="11"/>
  <c r="T100" i="11"/>
  <c r="S100" i="11"/>
  <c r="W43" i="11"/>
  <c r="Y43" i="11" s="1"/>
  <c r="C100" i="11"/>
  <c r="B99" i="11"/>
  <c r="F98" i="11"/>
  <c r="E98" i="11"/>
  <c r="D98" i="11"/>
  <c r="H43" i="11"/>
  <c r="J43" i="11" s="1"/>
  <c r="Q102" i="11" l="1"/>
  <c r="R103" i="11"/>
  <c r="Z43" i="11"/>
  <c r="AB43" i="11" s="1"/>
  <c r="T101" i="11"/>
  <c r="U101" i="11"/>
  <c r="S101" i="11"/>
  <c r="F99" i="11"/>
  <c r="E99" i="11"/>
  <c r="D99" i="11"/>
  <c r="K43" i="11"/>
  <c r="M43" i="11" s="1"/>
  <c r="M9" i="11" s="1"/>
  <c r="B100" i="11"/>
  <c r="C101" i="11"/>
  <c r="E56" i="9" l="1"/>
  <c r="G56" i="9"/>
  <c r="I56" i="9"/>
  <c r="K56" i="9"/>
  <c r="Q103" i="11"/>
  <c r="R104" i="11"/>
  <c r="AA43" i="11"/>
  <c r="V44" i="11" s="1"/>
  <c r="U102" i="11"/>
  <c r="T102" i="11"/>
  <c r="S102" i="11"/>
  <c r="L43" i="11"/>
  <c r="G44" i="11" s="1"/>
  <c r="C102" i="11"/>
  <c r="B101" i="11"/>
  <c r="F100" i="11"/>
  <c r="E100" i="11"/>
  <c r="D100" i="11"/>
  <c r="X44" i="11" l="1"/>
  <c r="Q104" i="11"/>
  <c r="R105" i="11"/>
  <c r="T103" i="11"/>
  <c r="S103" i="11"/>
  <c r="U103" i="11"/>
  <c r="F101" i="11"/>
  <c r="E101" i="11"/>
  <c r="D101" i="11"/>
  <c r="B102" i="11"/>
  <c r="C103" i="11"/>
  <c r="I44" i="11"/>
  <c r="S104" i="11" l="1"/>
  <c r="U104" i="11"/>
  <c r="T104" i="11"/>
  <c r="Q105" i="11"/>
  <c r="R106" i="11"/>
  <c r="W44" i="11"/>
  <c r="Y44" i="11" s="1"/>
  <c r="B103" i="11"/>
  <c r="C104" i="11"/>
  <c r="F102" i="11"/>
  <c r="E102" i="11"/>
  <c r="D102" i="11"/>
  <c r="H44" i="11"/>
  <c r="J44" i="11" s="1"/>
  <c r="Q106" i="11" l="1"/>
  <c r="R107" i="11"/>
  <c r="T105" i="11"/>
  <c r="U105" i="11"/>
  <c r="S105" i="11"/>
  <c r="Z44" i="11"/>
  <c r="AB44" i="11" s="1"/>
  <c r="AB10" i="11" s="1"/>
  <c r="AB12" i="11" s="1"/>
  <c r="B104" i="11"/>
  <c r="C105" i="11"/>
  <c r="K44" i="11"/>
  <c r="M44" i="11" s="1"/>
  <c r="D103" i="11"/>
  <c r="F103" i="11"/>
  <c r="E103" i="11"/>
  <c r="M56" i="9" l="1"/>
  <c r="O56" i="9"/>
  <c r="Q56" i="9"/>
  <c r="S56" i="9"/>
  <c r="U56" i="9"/>
  <c r="W56" i="9"/>
  <c r="AA44" i="11"/>
  <c r="V45" i="11" s="1"/>
  <c r="X45" i="11" s="1"/>
  <c r="Q107" i="11"/>
  <c r="R108" i="11"/>
  <c r="U106" i="11"/>
  <c r="T106" i="11"/>
  <c r="S106" i="11"/>
  <c r="C106" i="11"/>
  <c r="B105" i="11"/>
  <c r="E104" i="11"/>
  <c r="F104" i="11"/>
  <c r="D104" i="11"/>
  <c r="L44" i="11"/>
  <c r="G45" i="11" s="1"/>
  <c r="W45" i="11" l="1"/>
  <c r="Y45" i="11" s="1"/>
  <c r="Q108" i="11"/>
  <c r="R109" i="11"/>
  <c r="T107" i="11"/>
  <c r="S107" i="11"/>
  <c r="U107" i="11"/>
  <c r="F105" i="11"/>
  <c r="E105" i="11"/>
  <c r="D105" i="11"/>
  <c r="I45" i="11"/>
  <c r="B106" i="11"/>
  <c r="C107" i="11"/>
  <c r="Q109" i="11" l="1"/>
  <c r="R110" i="11"/>
  <c r="U108" i="11"/>
  <c r="T108" i="11"/>
  <c r="S108" i="11"/>
  <c r="Z45" i="11"/>
  <c r="AB45" i="11" s="1"/>
  <c r="H45" i="11"/>
  <c r="J45" i="11" s="1"/>
  <c r="B107" i="11"/>
  <c r="C108" i="11"/>
  <c r="F106" i="11"/>
  <c r="E106" i="11"/>
  <c r="D106" i="11"/>
  <c r="AA45" i="11" l="1"/>
  <c r="V46" i="11" s="1"/>
  <c r="Q110" i="11"/>
  <c r="R111" i="11"/>
  <c r="S109" i="11"/>
  <c r="U109" i="11"/>
  <c r="T109" i="11"/>
  <c r="D107" i="11"/>
  <c r="F107" i="11"/>
  <c r="E107" i="11"/>
  <c r="K45" i="11"/>
  <c r="M45" i="11" s="1"/>
  <c r="C109" i="11"/>
  <c r="B108" i="11"/>
  <c r="U110" i="11" l="1"/>
  <c r="T110" i="11"/>
  <c r="S110" i="11"/>
  <c r="Q111" i="11"/>
  <c r="R112" i="11"/>
  <c r="X46" i="11"/>
  <c r="L45" i="11"/>
  <c r="G46" i="11" s="1"/>
  <c r="E108" i="11"/>
  <c r="F108" i="11"/>
  <c r="D108" i="11"/>
  <c r="B109" i="11"/>
  <c r="C110" i="11"/>
  <c r="Q112" i="11" l="1"/>
  <c r="R113" i="11"/>
  <c r="U111" i="11"/>
  <c r="T111" i="11"/>
  <c r="S111" i="11"/>
  <c r="W46" i="11"/>
  <c r="Y46" i="11" s="1"/>
  <c r="F109" i="11"/>
  <c r="D109" i="11"/>
  <c r="E109" i="11"/>
  <c r="B110" i="11"/>
  <c r="C111" i="11"/>
  <c r="I46" i="11"/>
  <c r="Q113" i="11" l="1"/>
  <c r="R114" i="11"/>
  <c r="Z46" i="11"/>
  <c r="AB46" i="11" s="1"/>
  <c r="U112" i="11"/>
  <c r="T112" i="11"/>
  <c r="S112" i="11"/>
  <c r="F110" i="11"/>
  <c r="E110" i="11"/>
  <c r="D110" i="11"/>
  <c r="C112" i="11"/>
  <c r="B111" i="11"/>
  <c r="H46" i="11"/>
  <c r="J46" i="11" s="1"/>
  <c r="AA46" i="11" l="1"/>
  <c r="V47" i="11" s="1"/>
  <c r="Q114" i="11"/>
  <c r="R115" i="11"/>
  <c r="U113" i="11"/>
  <c r="T113" i="11"/>
  <c r="S113" i="11"/>
  <c r="B112" i="11"/>
  <c r="C113" i="11"/>
  <c r="F111" i="11"/>
  <c r="E111" i="11"/>
  <c r="D111" i="11"/>
  <c r="K46" i="11"/>
  <c r="L46" i="11" s="1"/>
  <c r="G47" i="11" s="1"/>
  <c r="M46" i="11" l="1"/>
  <c r="U114" i="11"/>
  <c r="T114" i="11"/>
  <c r="S114" i="11"/>
  <c r="Q115" i="11"/>
  <c r="R116" i="11"/>
  <c r="X47" i="11"/>
  <c r="I47" i="11"/>
  <c r="C114" i="11"/>
  <c r="B113" i="11"/>
  <c r="F112" i="11"/>
  <c r="E112" i="11"/>
  <c r="D112" i="11"/>
  <c r="Q116" i="11" l="1"/>
  <c r="R117" i="11"/>
  <c r="S115" i="11"/>
  <c r="U115" i="11"/>
  <c r="T115" i="11"/>
  <c r="W47" i="11"/>
  <c r="Y47" i="11" s="1"/>
  <c r="F113" i="11"/>
  <c r="E113" i="11"/>
  <c r="D113" i="11"/>
  <c r="B114" i="11"/>
  <c r="C115" i="11"/>
  <c r="H47" i="11"/>
  <c r="J47" i="11" s="1"/>
  <c r="Q117" i="11" l="1"/>
  <c r="R118" i="11"/>
  <c r="Z47" i="11"/>
  <c r="AB47" i="11" s="1"/>
  <c r="S116" i="11"/>
  <c r="U116" i="11"/>
  <c r="T116" i="11"/>
  <c r="B115" i="11"/>
  <c r="C116" i="11"/>
  <c r="K47" i="11"/>
  <c r="L47" i="11" s="1"/>
  <c r="G48" i="11" s="1"/>
  <c r="F114" i="11"/>
  <c r="E114" i="11"/>
  <c r="D114" i="11"/>
  <c r="AA47" i="11" l="1"/>
  <c r="V48" i="11" s="1"/>
  <c r="X48" i="11" s="1"/>
  <c r="Q118" i="11"/>
  <c r="R119" i="11"/>
  <c r="T117" i="11"/>
  <c r="U117" i="11"/>
  <c r="S117" i="11"/>
  <c r="I48" i="11"/>
  <c r="C117" i="11"/>
  <c r="B116" i="11"/>
  <c r="M47" i="11"/>
  <c r="D115" i="11"/>
  <c r="F115" i="11"/>
  <c r="E115" i="11"/>
  <c r="Q119" i="11" l="1"/>
  <c r="R120" i="11"/>
  <c r="U118" i="11"/>
  <c r="T118" i="11"/>
  <c r="S118" i="11"/>
  <c r="W48" i="11"/>
  <c r="Y48" i="11" s="1"/>
  <c r="E116" i="11"/>
  <c r="F116" i="11"/>
  <c r="D116" i="11"/>
  <c r="C118" i="11"/>
  <c r="B117" i="11"/>
  <c r="H48" i="11"/>
  <c r="J48" i="11" s="1"/>
  <c r="Z48" i="11" l="1"/>
  <c r="AA48" i="11" s="1"/>
  <c r="V49" i="11" s="1"/>
  <c r="Q120" i="11"/>
  <c r="R121" i="11"/>
  <c r="U119" i="11"/>
  <c r="T119" i="11"/>
  <c r="S119" i="11"/>
  <c r="C119" i="11"/>
  <c r="B118" i="11"/>
  <c r="F117" i="11"/>
  <c r="D117" i="11"/>
  <c r="E117" i="11"/>
  <c r="K48" i="11"/>
  <c r="L48" i="11" s="1"/>
  <c r="G49" i="11" s="1"/>
  <c r="AB48" i="11" l="1"/>
  <c r="M48" i="11"/>
  <c r="X49" i="11"/>
  <c r="Q121" i="11"/>
  <c r="R122" i="11"/>
  <c r="U120" i="11"/>
  <c r="T120" i="11"/>
  <c r="S120" i="11"/>
  <c r="I49" i="11"/>
  <c r="E118" i="11"/>
  <c r="D118" i="11"/>
  <c r="F118" i="11"/>
  <c r="B119" i="11"/>
  <c r="C120" i="11"/>
  <c r="Q122" i="11" l="1"/>
  <c r="R123" i="11"/>
  <c r="S121" i="11"/>
  <c r="U121" i="11"/>
  <c r="T121" i="11"/>
  <c r="W49" i="11"/>
  <c r="Y49" i="11" s="1"/>
  <c r="C121" i="11"/>
  <c r="B120" i="11"/>
  <c r="H49" i="11"/>
  <c r="J49" i="11" s="1"/>
  <c r="F119" i="11"/>
  <c r="E119" i="11"/>
  <c r="D119" i="11"/>
  <c r="Z49" i="11" l="1"/>
  <c r="AA49" i="11" s="1"/>
  <c r="V50" i="11" s="1"/>
  <c r="Q123" i="11"/>
  <c r="R124" i="11"/>
  <c r="T122" i="11"/>
  <c r="S122" i="11"/>
  <c r="U122" i="11"/>
  <c r="K49" i="11"/>
  <c r="M49" i="11" s="1"/>
  <c r="F120" i="11"/>
  <c r="E120" i="11"/>
  <c r="D120" i="11"/>
  <c r="B121" i="11"/>
  <c r="C122" i="11"/>
  <c r="AB49" i="11" l="1"/>
  <c r="X50" i="11"/>
  <c r="Q124" i="11"/>
  <c r="R125" i="11"/>
  <c r="U123" i="11"/>
  <c r="T123" i="11"/>
  <c r="S123" i="11"/>
  <c r="B122" i="11"/>
  <c r="C123" i="11"/>
  <c r="F121" i="11"/>
  <c r="D121" i="11"/>
  <c r="E121" i="11"/>
  <c r="L49" i="11"/>
  <c r="G50" i="11" s="1"/>
  <c r="U124" i="11" l="1"/>
  <c r="T124" i="11"/>
  <c r="S124" i="11"/>
  <c r="Q125" i="11"/>
  <c r="R126" i="11"/>
  <c r="W50" i="11"/>
  <c r="Y50" i="11" s="1"/>
  <c r="B123" i="11"/>
  <c r="C124" i="11"/>
  <c r="I50" i="11"/>
  <c r="F122" i="11"/>
  <c r="E122" i="11"/>
  <c r="D122" i="11"/>
  <c r="Q126" i="11" l="1"/>
  <c r="R127" i="11"/>
  <c r="U125" i="11"/>
  <c r="T125" i="11"/>
  <c r="S125" i="11"/>
  <c r="Z50" i="11"/>
  <c r="AA50" i="11" s="1"/>
  <c r="V51" i="11" s="1"/>
  <c r="H50" i="11"/>
  <c r="J50" i="11" s="1"/>
  <c r="B124" i="11"/>
  <c r="C125" i="11"/>
  <c r="F123" i="11"/>
  <c r="E123" i="11"/>
  <c r="D123" i="11"/>
  <c r="AB50" i="11" l="1"/>
  <c r="X51" i="11"/>
  <c r="Q127" i="11"/>
  <c r="R128" i="11"/>
  <c r="U126" i="11"/>
  <c r="T126" i="11"/>
  <c r="S126" i="11"/>
  <c r="F124" i="11"/>
  <c r="E124" i="11"/>
  <c r="D124" i="11"/>
  <c r="C126" i="11"/>
  <c r="B125" i="11"/>
  <c r="K50" i="11"/>
  <c r="M50" i="11" s="1"/>
  <c r="Q128" i="11" l="1"/>
  <c r="R129" i="11"/>
  <c r="T127" i="11"/>
  <c r="S127" i="11"/>
  <c r="U127" i="11"/>
  <c r="W51" i="11"/>
  <c r="Y51" i="11" s="1"/>
  <c r="B126" i="11"/>
  <c r="C127" i="11"/>
  <c r="L50" i="11"/>
  <c r="G51" i="11" s="1"/>
  <c r="F125" i="11"/>
  <c r="E125" i="11"/>
  <c r="D125" i="11"/>
  <c r="Z51" i="11" l="1"/>
  <c r="AA51" i="11" s="1"/>
  <c r="V52" i="11" s="1"/>
  <c r="Q129" i="11"/>
  <c r="R130" i="11"/>
  <c r="S128" i="11"/>
  <c r="T128" i="11"/>
  <c r="U128" i="11"/>
  <c r="I51" i="11"/>
  <c r="C128" i="11"/>
  <c r="B127" i="11"/>
  <c r="E126" i="11"/>
  <c r="D126" i="11"/>
  <c r="F126" i="11"/>
  <c r="AB51" i="11" l="1"/>
  <c r="X52" i="11"/>
  <c r="Q130" i="11"/>
  <c r="R131" i="11"/>
  <c r="T129" i="11"/>
  <c r="U129" i="11"/>
  <c r="S129" i="11"/>
  <c r="C129" i="11"/>
  <c r="B128" i="11"/>
  <c r="D127" i="11"/>
  <c r="F127" i="11"/>
  <c r="E127" i="11"/>
  <c r="H51" i="11"/>
  <c r="J51" i="11" s="1"/>
  <c r="U130" i="11" l="1"/>
  <c r="T130" i="11"/>
  <c r="S130" i="11"/>
  <c r="Q131" i="11"/>
  <c r="R132" i="11"/>
  <c r="W52" i="11"/>
  <c r="Y52" i="11" s="1"/>
  <c r="E128" i="11"/>
  <c r="F128" i="11"/>
  <c r="D128" i="11"/>
  <c r="K51" i="11"/>
  <c r="M51" i="11" s="1"/>
  <c r="C130" i="11"/>
  <c r="B129" i="11"/>
  <c r="Q132" i="11" l="1"/>
  <c r="R133" i="11"/>
  <c r="U131" i="11"/>
  <c r="T131" i="11"/>
  <c r="S131" i="11"/>
  <c r="Z52" i="11"/>
  <c r="AB52" i="11" s="1"/>
  <c r="L51" i="11"/>
  <c r="G52" i="11" s="1"/>
  <c r="F129" i="11"/>
  <c r="D129" i="11"/>
  <c r="E129" i="11"/>
  <c r="B130" i="11"/>
  <c r="C131" i="11"/>
  <c r="Q133" i="11" l="1"/>
  <c r="R134" i="11"/>
  <c r="AA52" i="11"/>
  <c r="V53" i="11" s="1"/>
  <c r="U132" i="11"/>
  <c r="S132" i="11"/>
  <c r="T132" i="11"/>
  <c r="E130" i="11"/>
  <c r="D130" i="11"/>
  <c r="F130" i="11"/>
  <c r="B131" i="11"/>
  <c r="C132" i="11"/>
  <c r="I52" i="11"/>
  <c r="X53" i="11" l="1"/>
  <c r="Q134" i="11"/>
  <c r="R135" i="11"/>
  <c r="T133" i="11"/>
  <c r="S133" i="11"/>
  <c r="U133" i="11"/>
  <c r="B132" i="11"/>
  <c r="C133" i="11"/>
  <c r="H52" i="11"/>
  <c r="J52" i="11" s="1"/>
  <c r="F131" i="11"/>
  <c r="E131" i="11"/>
  <c r="D131" i="11"/>
  <c r="Q135" i="11" l="1"/>
  <c r="R136" i="11"/>
  <c r="T134" i="11"/>
  <c r="S134" i="11"/>
  <c r="U134" i="11"/>
  <c r="W53" i="11"/>
  <c r="Y53" i="11" s="1"/>
  <c r="K52" i="11"/>
  <c r="M52" i="11" s="1"/>
  <c r="C134" i="11"/>
  <c r="B133" i="11"/>
  <c r="F132" i="11"/>
  <c r="E132" i="11"/>
  <c r="D132" i="11"/>
  <c r="L52" i="11" l="1"/>
  <c r="G53" i="11" s="1"/>
  <c r="I53" i="11" s="1"/>
  <c r="Q136" i="11"/>
  <c r="R137" i="11"/>
  <c r="Z53" i="11"/>
  <c r="AB53" i="11" s="1"/>
  <c r="U135" i="11"/>
  <c r="T135" i="11"/>
  <c r="S135" i="11"/>
  <c r="B134" i="11"/>
  <c r="C135" i="11"/>
  <c r="F133" i="11"/>
  <c r="E133" i="11"/>
  <c r="D133" i="11"/>
  <c r="AA53" i="11" l="1"/>
  <c r="V54" i="11" s="1"/>
  <c r="Q137" i="11"/>
  <c r="R138" i="11"/>
  <c r="S136" i="11"/>
  <c r="U136" i="11"/>
  <c r="T136" i="11"/>
  <c r="H53" i="11"/>
  <c r="J53" i="11" s="1"/>
  <c r="C136" i="11"/>
  <c r="B135" i="11"/>
  <c r="F134" i="11"/>
  <c r="E134" i="11"/>
  <c r="D134" i="11"/>
  <c r="U137" i="11" l="1"/>
  <c r="T137" i="11"/>
  <c r="S137" i="11"/>
  <c r="Q138" i="11"/>
  <c r="R139" i="11"/>
  <c r="X54" i="11"/>
  <c r="F135" i="11"/>
  <c r="E135" i="11"/>
  <c r="D135" i="11"/>
  <c r="B136" i="11"/>
  <c r="C137" i="11"/>
  <c r="K53" i="11"/>
  <c r="M53" i="11" s="1"/>
  <c r="Q139" i="11" l="1"/>
  <c r="R140" i="11"/>
  <c r="T138" i="11"/>
  <c r="S138" i="11"/>
  <c r="U138" i="11"/>
  <c r="W54" i="11"/>
  <c r="Y54" i="11" s="1"/>
  <c r="F136" i="11"/>
  <c r="E136" i="11"/>
  <c r="D136" i="11"/>
  <c r="L53" i="11"/>
  <c r="G54" i="11" s="1"/>
  <c r="C138" i="11"/>
  <c r="B137" i="11"/>
  <c r="Z54" i="11" l="1"/>
  <c r="AA54" i="11" s="1"/>
  <c r="V55" i="11" s="1"/>
  <c r="Q140" i="11"/>
  <c r="R141" i="11"/>
  <c r="U139" i="11"/>
  <c r="T139" i="11"/>
  <c r="S139" i="11"/>
  <c r="C139" i="11"/>
  <c r="B138" i="11"/>
  <c r="I54" i="11"/>
  <c r="F137" i="11"/>
  <c r="E137" i="11"/>
  <c r="D137" i="11"/>
  <c r="AB54" i="11" l="1"/>
  <c r="X55" i="11"/>
  <c r="Q141" i="11"/>
  <c r="R142" i="11"/>
  <c r="S140" i="11"/>
  <c r="U140" i="11"/>
  <c r="T140" i="11"/>
  <c r="H54" i="11"/>
  <c r="J54" i="11" s="1"/>
  <c r="F138" i="11"/>
  <c r="E138" i="11"/>
  <c r="D138" i="11"/>
  <c r="C140" i="11"/>
  <c r="B139" i="11"/>
  <c r="Q142" i="11" l="1"/>
  <c r="R143" i="11"/>
  <c r="W55" i="11"/>
  <c r="Y55" i="11" s="1"/>
  <c r="T141" i="11"/>
  <c r="S141" i="11"/>
  <c r="AB141" i="11"/>
  <c r="AA141" i="11"/>
  <c r="Z141" i="11"/>
  <c r="Y141" i="11"/>
  <c r="X141" i="11"/>
  <c r="W141" i="11"/>
  <c r="V141" i="11"/>
  <c r="U141" i="11"/>
  <c r="D139" i="11"/>
  <c r="F139" i="11"/>
  <c r="E139" i="11"/>
  <c r="C141" i="11"/>
  <c r="B140" i="11"/>
  <c r="K54" i="11"/>
  <c r="M54" i="11" s="1"/>
  <c r="Z55" i="11" l="1"/>
  <c r="AA55" i="11" s="1"/>
  <c r="V56" i="11" s="1"/>
  <c r="Q143" i="11"/>
  <c r="R144" i="11"/>
  <c r="U142" i="11"/>
  <c r="T142" i="11"/>
  <c r="AB142" i="11"/>
  <c r="V142" i="11"/>
  <c r="S142" i="11"/>
  <c r="Z142" i="11"/>
  <c r="AA142" i="11"/>
  <c r="Y142" i="11"/>
  <c r="X142" i="11"/>
  <c r="W142" i="11"/>
  <c r="H140" i="11"/>
  <c r="E140" i="11"/>
  <c r="D140" i="11"/>
  <c r="G140" i="11"/>
  <c r="F140" i="11"/>
  <c r="M140" i="11"/>
  <c r="L140" i="11"/>
  <c r="K140" i="11"/>
  <c r="I140" i="11"/>
  <c r="J140" i="11"/>
  <c r="C142" i="11"/>
  <c r="B141" i="11"/>
  <c r="L54" i="11"/>
  <c r="G55" i="11" s="1"/>
  <c r="AB55" i="11" l="1"/>
  <c r="X56" i="11"/>
  <c r="Q144" i="11"/>
  <c r="R145" i="11"/>
  <c r="V143" i="11"/>
  <c r="U143" i="11"/>
  <c r="W143" i="11"/>
  <c r="T143" i="11"/>
  <c r="S143" i="11"/>
  <c r="AB143" i="11"/>
  <c r="AA143" i="11"/>
  <c r="Z143" i="11"/>
  <c r="Y143" i="11"/>
  <c r="X143" i="11"/>
  <c r="H141" i="11"/>
  <c r="F141" i="11"/>
  <c r="E141" i="11"/>
  <c r="D141" i="11"/>
  <c r="M141" i="11"/>
  <c r="L141" i="11"/>
  <c r="K141" i="11"/>
  <c r="J141" i="11"/>
  <c r="I141" i="11"/>
  <c r="G141" i="11"/>
  <c r="B142" i="11"/>
  <c r="C143" i="11"/>
  <c r="I55" i="11"/>
  <c r="W144" i="11" l="1"/>
  <c r="V144" i="11"/>
  <c r="Z144" i="11"/>
  <c r="Y144" i="11"/>
  <c r="X144" i="11"/>
  <c r="U144" i="11"/>
  <c r="T144" i="11"/>
  <c r="S144" i="11"/>
  <c r="AB144" i="11"/>
  <c r="AA144" i="11"/>
  <c r="W56" i="11"/>
  <c r="Y56" i="11" s="1"/>
  <c r="Q145" i="11"/>
  <c r="R146" i="11"/>
  <c r="B143" i="11"/>
  <c r="C144" i="11"/>
  <c r="H55" i="11"/>
  <c r="J55" i="11" s="1"/>
  <c r="H142" i="11"/>
  <c r="G142" i="11"/>
  <c r="F142" i="11"/>
  <c r="E142" i="11"/>
  <c r="D142" i="11"/>
  <c r="M142" i="11"/>
  <c r="L142" i="11"/>
  <c r="K142" i="11"/>
  <c r="J142" i="11"/>
  <c r="I142" i="11"/>
  <c r="M40" i="18" l="1"/>
  <c r="M41" i="18" s="1"/>
  <c r="N41" i="18" s="1"/>
  <c r="Q146" i="11"/>
  <c r="R147" i="11"/>
  <c r="Z56" i="11"/>
  <c r="AB56" i="11" s="1"/>
  <c r="X145" i="11"/>
  <c r="W145" i="11"/>
  <c r="AB145" i="11"/>
  <c r="AA145" i="11"/>
  <c r="Z145" i="11"/>
  <c r="Y145" i="11"/>
  <c r="S145" i="11"/>
  <c r="U145" i="11"/>
  <c r="T145" i="11"/>
  <c r="V145" i="11"/>
  <c r="K55" i="11"/>
  <c r="M55" i="11" s="1"/>
  <c r="B144" i="11"/>
  <c r="C145" i="11"/>
  <c r="H143" i="11"/>
  <c r="I143" i="11"/>
  <c r="G143" i="11"/>
  <c r="F143" i="11"/>
  <c r="E143" i="11"/>
  <c r="D143" i="11"/>
  <c r="M143" i="11"/>
  <c r="L143" i="11"/>
  <c r="K143" i="11"/>
  <c r="J143" i="11"/>
  <c r="AA56" i="11" l="1"/>
  <c r="V57" i="11" s="1"/>
  <c r="Q147" i="11"/>
  <c r="R148" i="11"/>
  <c r="Y146" i="11"/>
  <c r="X146" i="11"/>
  <c r="AB146" i="11"/>
  <c r="W146" i="11"/>
  <c r="V146" i="11"/>
  <c r="U146" i="11"/>
  <c r="T146" i="11"/>
  <c r="S146" i="11"/>
  <c r="AA146" i="11"/>
  <c r="Z146" i="11"/>
  <c r="B145" i="11"/>
  <c r="C146" i="11"/>
  <c r="H144" i="11"/>
  <c r="J144" i="11"/>
  <c r="I144" i="11"/>
  <c r="G144" i="11"/>
  <c r="F144" i="11"/>
  <c r="E144" i="11"/>
  <c r="M144" i="11"/>
  <c r="L144" i="11"/>
  <c r="K144" i="11"/>
  <c r="D144" i="11"/>
  <c r="L55" i="11"/>
  <c r="G56" i="11" s="1"/>
  <c r="Q148" i="11" l="1"/>
  <c r="R149" i="11"/>
  <c r="Z147" i="11"/>
  <c r="Y147" i="11"/>
  <c r="U147" i="11"/>
  <c r="T147" i="11"/>
  <c r="S147" i="11"/>
  <c r="W147" i="11"/>
  <c r="AB147" i="11"/>
  <c r="AA147" i="11"/>
  <c r="X147" i="11"/>
  <c r="V147" i="11"/>
  <c r="X57" i="11"/>
  <c r="B146" i="11"/>
  <c r="C147" i="11"/>
  <c r="I56" i="11"/>
  <c r="H145" i="11"/>
  <c r="K145" i="11"/>
  <c r="J145" i="11"/>
  <c r="I145" i="11"/>
  <c r="G145" i="11"/>
  <c r="F145" i="11"/>
  <c r="M145" i="11"/>
  <c r="L145" i="11"/>
  <c r="E145" i="11"/>
  <c r="D145" i="11"/>
  <c r="W57" i="11" l="1"/>
  <c r="Y57" i="11" s="1"/>
  <c r="Q149" i="11"/>
  <c r="R150" i="11"/>
  <c r="AA148" i="11"/>
  <c r="Z148" i="11"/>
  <c r="X148" i="11"/>
  <c r="W148" i="11"/>
  <c r="V148" i="11"/>
  <c r="U148" i="11"/>
  <c r="T148" i="11"/>
  <c r="AB148" i="11"/>
  <c r="Y148" i="11"/>
  <c r="S148" i="11"/>
  <c r="H56" i="11"/>
  <c r="J56" i="11" s="1"/>
  <c r="B147" i="11"/>
  <c r="C148" i="11"/>
  <c r="H146" i="11"/>
  <c r="L146" i="11"/>
  <c r="K146" i="11"/>
  <c r="J146" i="11"/>
  <c r="I146" i="11"/>
  <c r="G146" i="11"/>
  <c r="M146" i="11"/>
  <c r="F146" i="11"/>
  <c r="E146" i="11"/>
  <c r="D146" i="11"/>
  <c r="Q150" i="11" l="1"/>
  <c r="R151" i="11"/>
  <c r="AB149" i="11"/>
  <c r="AA149" i="11"/>
  <c r="Z149" i="11"/>
  <c r="Y149" i="11"/>
  <c r="X149" i="11"/>
  <c r="W149" i="11"/>
  <c r="V149" i="11"/>
  <c r="U149" i="11"/>
  <c r="T149" i="11"/>
  <c r="S149" i="11"/>
  <c r="Z57" i="11"/>
  <c r="AA57" i="11" s="1"/>
  <c r="V58" i="11" s="1"/>
  <c r="B148" i="11"/>
  <c r="C149" i="11"/>
  <c r="H147" i="11"/>
  <c r="M147" i="11"/>
  <c r="L147" i="11"/>
  <c r="K147" i="11"/>
  <c r="J147" i="11"/>
  <c r="I147" i="11"/>
  <c r="G147" i="11"/>
  <c r="F147" i="11"/>
  <c r="E147" i="11"/>
  <c r="D147" i="11"/>
  <c r="K56" i="11"/>
  <c r="M56" i="11" s="1"/>
  <c r="X58" i="11" l="1"/>
  <c r="AB57" i="11"/>
  <c r="Q151" i="11"/>
  <c r="R152" i="11"/>
  <c r="AB150" i="11"/>
  <c r="AA150" i="11"/>
  <c r="Z150" i="11"/>
  <c r="Y150" i="11"/>
  <c r="X150" i="11"/>
  <c r="W150" i="11"/>
  <c r="S150" i="11"/>
  <c r="U150" i="11"/>
  <c r="T150" i="11"/>
  <c r="V150" i="11"/>
  <c r="C150" i="11"/>
  <c r="B149" i="11"/>
  <c r="L56" i="11"/>
  <c r="G57" i="11" s="1"/>
  <c r="H148" i="11"/>
  <c r="M148" i="11"/>
  <c r="L148" i="11"/>
  <c r="K148" i="11"/>
  <c r="J148" i="11"/>
  <c r="I148" i="11"/>
  <c r="G148" i="11"/>
  <c r="F148" i="11"/>
  <c r="E148" i="11"/>
  <c r="D148" i="11"/>
  <c r="Q152" i="11" l="1"/>
  <c r="R153" i="11"/>
  <c r="U151" i="11"/>
  <c r="T151" i="11"/>
  <c r="S151" i="11"/>
  <c r="AB151" i="11"/>
  <c r="X151" i="11"/>
  <c r="W151" i="11"/>
  <c r="V151" i="11"/>
  <c r="AA151" i="11"/>
  <c r="Z151" i="11"/>
  <c r="Y151" i="11"/>
  <c r="W58" i="11"/>
  <c r="Y58" i="11" s="1"/>
  <c r="I57" i="11"/>
  <c r="H149" i="11"/>
  <c r="M149" i="11"/>
  <c r="L149" i="11"/>
  <c r="K149" i="11"/>
  <c r="I149" i="11"/>
  <c r="G149" i="11"/>
  <c r="F149" i="11"/>
  <c r="E149" i="11"/>
  <c r="D149" i="11"/>
  <c r="J149" i="11"/>
  <c r="C151" i="11"/>
  <c r="B150" i="11"/>
  <c r="Z58" i="11" l="1"/>
  <c r="AA58" i="11" s="1"/>
  <c r="V59" i="11" s="1"/>
  <c r="Q153" i="11"/>
  <c r="R154" i="11"/>
  <c r="S152" i="11"/>
  <c r="X152" i="11"/>
  <c r="W152" i="11"/>
  <c r="V152" i="11"/>
  <c r="U152" i="11"/>
  <c r="T152" i="11"/>
  <c r="Y152" i="11"/>
  <c r="AB152" i="11"/>
  <c r="AA152" i="11"/>
  <c r="Z152" i="11"/>
  <c r="H150" i="11"/>
  <c r="M150" i="11"/>
  <c r="L150" i="11"/>
  <c r="K150" i="11"/>
  <c r="J150" i="11"/>
  <c r="I150" i="11"/>
  <c r="G150" i="11"/>
  <c r="F150" i="11"/>
  <c r="E150" i="11"/>
  <c r="D150" i="11"/>
  <c r="C152" i="11"/>
  <c r="B151" i="11"/>
  <c r="H57" i="11"/>
  <c r="J57" i="11" s="1"/>
  <c r="AB58" i="11" l="1"/>
  <c r="X59" i="11"/>
  <c r="Q154" i="11"/>
  <c r="R155" i="11"/>
  <c r="T153" i="11"/>
  <c r="S153" i="11"/>
  <c r="AA153" i="11"/>
  <c r="Z153" i="11"/>
  <c r="Y153" i="11"/>
  <c r="X153" i="11"/>
  <c r="W153" i="11"/>
  <c r="V153" i="11"/>
  <c r="AB153" i="11"/>
  <c r="U153" i="11"/>
  <c r="H151" i="11"/>
  <c r="D151" i="11"/>
  <c r="M151" i="11"/>
  <c r="L151" i="11"/>
  <c r="I151" i="11"/>
  <c r="G151" i="11"/>
  <c r="F151" i="11"/>
  <c r="E151" i="11"/>
  <c r="J151" i="11"/>
  <c r="K151" i="11"/>
  <c r="C153" i="11"/>
  <c r="B152" i="11"/>
  <c r="K57" i="11"/>
  <c r="L57" i="11" s="1"/>
  <c r="G58" i="11" s="1"/>
  <c r="M57" i="11" l="1"/>
  <c r="Q155" i="11"/>
  <c r="R156" i="11"/>
  <c r="U154" i="11"/>
  <c r="T154" i="11"/>
  <c r="AB154" i="11"/>
  <c r="AA154" i="11"/>
  <c r="Z154" i="11"/>
  <c r="Y154" i="11"/>
  <c r="S154" i="11"/>
  <c r="X154" i="11"/>
  <c r="W154" i="11"/>
  <c r="V154" i="11"/>
  <c r="W59" i="11"/>
  <c r="Y59" i="11" s="1"/>
  <c r="H152" i="11"/>
  <c r="E152" i="11"/>
  <c r="D152" i="11"/>
  <c r="M152" i="11"/>
  <c r="L152" i="11"/>
  <c r="K152" i="11"/>
  <c r="J152" i="11"/>
  <c r="I152" i="11"/>
  <c r="G152" i="11"/>
  <c r="F152" i="11"/>
  <c r="C154" i="11"/>
  <c r="B153" i="11"/>
  <c r="I58" i="11"/>
  <c r="Z59" i="11" l="1"/>
  <c r="AA59" i="11" s="1"/>
  <c r="V60" i="11" s="1"/>
  <c r="Q156" i="11"/>
  <c r="R157" i="11"/>
  <c r="V155" i="11"/>
  <c r="U155" i="11"/>
  <c r="S155" i="11"/>
  <c r="AB155" i="11"/>
  <c r="AA155" i="11"/>
  <c r="Z155" i="11"/>
  <c r="T155" i="11"/>
  <c r="X155" i="11"/>
  <c r="W155" i="11"/>
  <c r="Y155" i="11"/>
  <c r="C155" i="11"/>
  <c r="B154" i="11"/>
  <c r="H153" i="11"/>
  <c r="F153" i="11"/>
  <c r="E153" i="11"/>
  <c r="D153" i="11"/>
  <c r="K153" i="11"/>
  <c r="J153" i="11"/>
  <c r="I153" i="11"/>
  <c r="G153" i="11"/>
  <c r="M153" i="11"/>
  <c r="L153" i="11"/>
  <c r="H58" i="11"/>
  <c r="J58" i="11" s="1"/>
  <c r="AB59" i="11" l="1"/>
  <c r="X60" i="11"/>
  <c r="Q157" i="11"/>
  <c r="R158" i="11"/>
  <c r="W156" i="11"/>
  <c r="V156" i="11"/>
  <c r="X156" i="11"/>
  <c r="U156" i="11"/>
  <c r="T156" i="11"/>
  <c r="S156" i="11"/>
  <c r="AA156" i="11"/>
  <c r="Z156" i="11"/>
  <c r="Y156" i="11"/>
  <c r="AB156" i="11"/>
  <c r="H154" i="11"/>
  <c r="G154" i="11"/>
  <c r="F154" i="11"/>
  <c r="E154" i="11"/>
  <c r="D154" i="11"/>
  <c r="M154" i="11"/>
  <c r="L154" i="11"/>
  <c r="K154" i="11"/>
  <c r="J154" i="11"/>
  <c r="I154" i="11"/>
  <c r="K58" i="11"/>
  <c r="M58" i="11" s="1"/>
  <c r="B155" i="11"/>
  <c r="C156" i="11"/>
  <c r="L58" i="11" l="1"/>
  <c r="G59" i="11" s="1"/>
  <c r="I59" i="11" s="1"/>
  <c r="Q158" i="11"/>
  <c r="R159" i="11"/>
  <c r="X157" i="11"/>
  <c r="W157" i="11"/>
  <c r="AA157" i="11"/>
  <c r="Z157" i="11"/>
  <c r="Y157" i="11"/>
  <c r="V157" i="11"/>
  <c r="U157" i="11"/>
  <c r="T157" i="11"/>
  <c r="AB157" i="11"/>
  <c r="S157" i="11"/>
  <c r="W60" i="11"/>
  <c r="Y60" i="11" s="1"/>
  <c r="C157" i="11"/>
  <c r="B156" i="11"/>
  <c r="H155" i="11"/>
  <c r="I155" i="11"/>
  <c r="G155" i="11"/>
  <c r="F155" i="11"/>
  <c r="E155" i="11"/>
  <c r="D155" i="11"/>
  <c r="M155" i="11"/>
  <c r="L155" i="11"/>
  <c r="K155" i="11"/>
  <c r="J155" i="11"/>
  <c r="Q159" i="11" l="1"/>
  <c r="R160" i="11"/>
  <c r="Z60" i="11"/>
  <c r="AA60" i="11" s="1"/>
  <c r="V61" i="11" s="1"/>
  <c r="Y158" i="11"/>
  <c r="X158" i="11"/>
  <c r="AB158" i="11"/>
  <c r="AA158" i="11"/>
  <c r="Z158" i="11"/>
  <c r="W158" i="11"/>
  <c r="V158" i="11"/>
  <c r="U158" i="11"/>
  <c r="T158" i="11"/>
  <c r="S158" i="11"/>
  <c r="H156" i="11"/>
  <c r="J156" i="11"/>
  <c r="I156" i="11"/>
  <c r="G156" i="11"/>
  <c r="F156" i="11"/>
  <c r="E156" i="11"/>
  <c r="D156" i="11"/>
  <c r="M156" i="11"/>
  <c r="L156" i="11"/>
  <c r="K156" i="11"/>
  <c r="C158" i="11"/>
  <c r="B157" i="11"/>
  <c r="H59" i="11"/>
  <c r="J59" i="11" s="1"/>
  <c r="AB60" i="11" l="1"/>
  <c r="X61" i="11"/>
  <c r="Q160" i="11"/>
  <c r="R161" i="11"/>
  <c r="Z159" i="11"/>
  <c r="Y159" i="11"/>
  <c r="S159" i="11"/>
  <c r="AB159" i="11"/>
  <c r="V159" i="11"/>
  <c r="U159" i="11"/>
  <c r="T159" i="11"/>
  <c r="AA159" i="11"/>
  <c r="X159" i="11"/>
  <c r="W159" i="11"/>
  <c r="H157" i="11"/>
  <c r="K157" i="11"/>
  <c r="J157" i="11"/>
  <c r="I157" i="11"/>
  <c r="G157" i="11"/>
  <c r="F157" i="11"/>
  <c r="E157" i="11"/>
  <c r="M157" i="11"/>
  <c r="L157" i="11"/>
  <c r="D157" i="11"/>
  <c r="C159" i="11"/>
  <c r="B158" i="11"/>
  <c r="K59" i="11"/>
  <c r="L59" i="11" s="1"/>
  <c r="G60" i="11" s="1"/>
  <c r="M59" i="11" l="1"/>
  <c r="AA160" i="11"/>
  <c r="Z160" i="11"/>
  <c r="V160" i="11"/>
  <c r="U160" i="11"/>
  <c r="T160" i="11"/>
  <c r="S160" i="11"/>
  <c r="AB160" i="11"/>
  <c r="Y160" i="11"/>
  <c r="X160" i="11"/>
  <c r="W160" i="11"/>
  <c r="Q161" i="11"/>
  <c r="R162" i="11"/>
  <c r="W61" i="11"/>
  <c r="Y61" i="11" s="1"/>
  <c r="H158" i="11"/>
  <c r="L158" i="11"/>
  <c r="K158" i="11"/>
  <c r="J158" i="11"/>
  <c r="I158" i="11"/>
  <c r="G158" i="11"/>
  <c r="F158" i="11"/>
  <c r="E158" i="11"/>
  <c r="D158" i="11"/>
  <c r="M158" i="11"/>
  <c r="C160" i="11"/>
  <c r="B159" i="11"/>
  <c r="I60" i="11"/>
  <c r="Q162" i="11" l="1"/>
  <c r="R163" i="11"/>
  <c r="AB161" i="11"/>
  <c r="AA161" i="11"/>
  <c r="Y161" i="11"/>
  <c r="X161" i="11"/>
  <c r="W161" i="11"/>
  <c r="V161" i="11"/>
  <c r="U161" i="11"/>
  <c r="T161" i="11"/>
  <c r="Z161" i="11"/>
  <c r="S161" i="11"/>
  <c r="Z61" i="11"/>
  <c r="AB61" i="11" s="1"/>
  <c r="H159" i="11"/>
  <c r="M159" i="11"/>
  <c r="L159" i="11"/>
  <c r="K159" i="11"/>
  <c r="J159" i="11"/>
  <c r="I159" i="11"/>
  <c r="G159" i="11"/>
  <c r="F159" i="11"/>
  <c r="E159" i="11"/>
  <c r="D159" i="11"/>
  <c r="C161" i="11"/>
  <c r="B160" i="11"/>
  <c r="H60" i="11"/>
  <c r="J60" i="11" s="1"/>
  <c r="Q163" i="11" l="1"/>
  <c r="R164" i="11"/>
  <c r="AA61" i="11"/>
  <c r="V62" i="11" s="1"/>
  <c r="AB162" i="11"/>
  <c r="AA162" i="11"/>
  <c r="Z162" i="11"/>
  <c r="Y162" i="11"/>
  <c r="X162" i="11"/>
  <c r="W162" i="11"/>
  <c r="S162" i="11"/>
  <c r="U162" i="11"/>
  <c r="T162" i="11"/>
  <c r="V162" i="11"/>
  <c r="H160" i="11"/>
  <c r="M160" i="11"/>
  <c r="L160" i="11"/>
  <c r="K160" i="11"/>
  <c r="J160" i="11"/>
  <c r="I160" i="11"/>
  <c r="D160" i="11"/>
  <c r="G160" i="11"/>
  <c r="F160" i="11"/>
  <c r="E160" i="11"/>
  <c r="C162" i="11"/>
  <c r="B161" i="11"/>
  <c r="K60" i="11"/>
  <c r="M60" i="11" s="1"/>
  <c r="L60" i="11" l="1"/>
  <c r="G61" i="11" s="1"/>
  <c r="I61" i="11" s="1"/>
  <c r="X62" i="11"/>
  <c r="Q164" i="11"/>
  <c r="R165" i="11"/>
  <c r="S163" i="11"/>
  <c r="AB163" i="11"/>
  <c r="AA163" i="11"/>
  <c r="Z163" i="11"/>
  <c r="Y163" i="11"/>
  <c r="X163" i="11"/>
  <c r="W163" i="11"/>
  <c r="V163" i="11"/>
  <c r="U163" i="11"/>
  <c r="T163" i="11"/>
  <c r="B162" i="11"/>
  <c r="C163" i="11"/>
  <c r="H161" i="11"/>
  <c r="M161" i="11"/>
  <c r="L161" i="11"/>
  <c r="K161" i="11"/>
  <c r="J161" i="11"/>
  <c r="E161" i="11"/>
  <c r="D161" i="11"/>
  <c r="I161" i="11"/>
  <c r="G161" i="11"/>
  <c r="F161" i="11"/>
  <c r="Q165" i="11" l="1"/>
  <c r="R166" i="11"/>
  <c r="S164" i="11"/>
  <c r="V164" i="11"/>
  <c r="U164" i="11"/>
  <c r="T164" i="11"/>
  <c r="Y164" i="11"/>
  <c r="X164" i="11"/>
  <c r="W164" i="11"/>
  <c r="AB164" i="11"/>
  <c r="AA164" i="11"/>
  <c r="Z164" i="11"/>
  <c r="W62" i="11"/>
  <c r="Y62" i="11" s="1"/>
  <c r="B163" i="11"/>
  <c r="C164" i="11"/>
  <c r="H61" i="11"/>
  <c r="J61" i="11" s="1"/>
  <c r="K162" i="11"/>
  <c r="H162" i="11"/>
  <c r="M162" i="11"/>
  <c r="L162" i="11"/>
  <c r="F162" i="11"/>
  <c r="J162" i="11"/>
  <c r="I162" i="11"/>
  <c r="G162" i="11"/>
  <c r="E162" i="11"/>
  <c r="D162" i="11"/>
  <c r="Q166" i="11" l="1"/>
  <c r="R167" i="11"/>
  <c r="Z62" i="11"/>
  <c r="AB62" i="11" s="1"/>
  <c r="T165" i="11"/>
  <c r="S165" i="11"/>
  <c r="Y165" i="11"/>
  <c r="X165" i="11"/>
  <c r="W165" i="11"/>
  <c r="V165" i="11"/>
  <c r="U165" i="11"/>
  <c r="AB165" i="11"/>
  <c r="AA165" i="11"/>
  <c r="Z165" i="11"/>
  <c r="K61" i="11"/>
  <c r="L61" i="11" s="1"/>
  <c r="G62" i="11" s="1"/>
  <c r="B164" i="11"/>
  <c r="C165" i="11"/>
  <c r="K163" i="11"/>
  <c r="I163" i="11"/>
  <c r="E163" i="11"/>
  <c r="D163" i="11"/>
  <c r="H163" i="11"/>
  <c r="L163" i="11"/>
  <c r="J163" i="11"/>
  <c r="G163" i="11"/>
  <c r="F163" i="11"/>
  <c r="M163" i="11"/>
  <c r="M61" i="11" l="1"/>
  <c r="AA62" i="11"/>
  <c r="V63" i="11" s="1"/>
  <c r="Q167" i="11"/>
  <c r="R168" i="11"/>
  <c r="U166" i="11"/>
  <c r="T166" i="11"/>
  <c r="AB166" i="11"/>
  <c r="AA166" i="11"/>
  <c r="Z166" i="11"/>
  <c r="Y166" i="11"/>
  <c r="X166" i="11"/>
  <c r="W166" i="11"/>
  <c r="V166" i="11"/>
  <c r="S166" i="11"/>
  <c r="I62" i="11"/>
  <c r="C166" i="11"/>
  <c r="B165" i="11"/>
  <c r="K164" i="11"/>
  <c r="J164" i="11"/>
  <c r="G164" i="11"/>
  <c r="F164" i="11"/>
  <c r="E164" i="11"/>
  <c r="D164" i="11"/>
  <c r="L164" i="11"/>
  <c r="M164" i="11"/>
  <c r="I164" i="11"/>
  <c r="H164" i="11"/>
  <c r="V167" i="11" l="1"/>
  <c r="U167" i="11"/>
  <c r="AB167" i="11"/>
  <c r="AA167" i="11"/>
  <c r="Z167" i="11"/>
  <c r="T167" i="11"/>
  <c r="S167" i="11"/>
  <c r="Y167" i="11"/>
  <c r="X167" i="11"/>
  <c r="W167" i="11"/>
  <c r="Q168" i="11"/>
  <c r="R169" i="11"/>
  <c r="X63" i="11"/>
  <c r="K165" i="11"/>
  <c r="L165" i="11"/>
  <c r="I165" i="11"/>
  <c r="H165" i="11"/>
  <c r="G165" i="11"/>
  <c r="F165" i="11"/>
  <c r="E165" i="11"/>
  <c r="D165" i="11"/>
  <c r="M165" i="11"/>
  <c r="J165" i="11"/>
  <c r="B166" i="11"/>
  <c r="C167" i="11"/>
  <c r="H62" i="11"/>
  <c r="J62" i="11" s="1"/>
  <c r="Q169" i="11" l="1"/>
  <c r="R170" i="11"/>
  <c r="W168" i="11"/>
  <c r="V168" i="11"/>
  <c r="T168" i="11"/>
  <c r="S168" i="11"/>
  <c r="AB168" i="11"/>
  <c r="AA168" i="11"/>
  <c r="Z168" i="11"/>
  <c r="Y168" i="11"/>
  <c r="X168" i="11"/>
  <c r="U168" i="11"/>
  <c r="W63" i="11"/>
  <c r="Y63" i="11" s="1"/>
  <c r="C168" i="11"/>
  <c r="B167" i="11"/>
  <c r="K166" i="11"/>
  <c r="M166" i="11"/>
  <c r="L166" i="11"/>
  <c r="J166" i="11"/>
  <c r="I166" i="11"/>
  <c r="H166" i="11"/>
  <c r="G166" i="11"/>
  <c r="F166" i="11"/>
  <c r="E166" i="11"/>
  <c r="D166" i="11"/>
  <c r="K62" i="11"/>
  <c r="M62" i="11" s="1"/>
  <c r="Q170" i="11" l="1"/>
  <c r="R171" i="11"/>
  <c r="Z63" i="11"/>
  <c r="AB63" i="11" s="1"/>
  <c r="X169" i="11"/>
  <c r="W169" i="11"/>
  <c r="Y169" i="11"/>
  <c r="V169" i="11"/>
  <c r="U169" i="11"/>
  <c r="T169" i="11"/>
  <c r="S169" i="11"/>
  <c r="AB169" i="11"/>
  <c r="AA169" i="11"/>
  <c r="Z169" i="11"/>
  <c r="K167" i="11"/>
  <c r="M167" i="11"/>
  <c r="L167" i="11"/>
  <c r="J167" i="11"/>
  <c r="I167" i="11"/>
  <c r="H167" i="11"/>
  <c r="F167" i="11"/>
  <c r="D167" i="11"/>
  <c r="G167" i="11"/>
  <c r="E167" i="11"/>
  <c r="L62" i="11"/>
  <c r="G63" i="11" s="1"/>
  <c r="C169" i="11"/>
  <c r="B168" i="11"/>
  <c r="Q171" i="11" l="1"/>
  <c r="R172" i="11"/>
  <c r="AA63" i="11"/>
  <c r="V64" i="11" s="1"/>
  <c r="Y170" i="11"/>
  <c r="X170" i="11"/>
  <c r="AB170" i="11"/>
  <c r="AA170" i="11"/>
  <c r="Z170" i="11"/>
  <c r="W170" i="11"/>
  <c r="V170" i="11"/>
  <c r="U170" i="11"/>
  <c r="T170" i="11"/>
  <c r="S170" i="11"/>
  <c r="B169" i="11"/>
  <c r="C170" i="11"/>
  <c r="I63" i="11"/>
  <c r="K168" i="11"/>
  <c r="M168" i="11"/>
  <c r="L168" i="11"/>
  <c r="J168" i="11"/>
  <c r="I168" i="11"/>
  <c r="H168" i="11"/>
  <c r="F168" i="11"/>
  <c r="G168" i="11"/>
  <c r="E168" i="11"/>
  <c r="D168" i="11"/>
  <c r="X64" i="11" l="1"/>
  <c r="Q172" i="11"/>
  <c r="R173" i="11"/>
  <c r="Z171" i="11"/>
  <c r="Y171" i="11"/>
  <c r="AB171" i="11"/>
  <c r="AA171" i="11"/>
  <c r="X171" i="11"/>
  <c r="W171" i="11"/>
  <c r="V171" i="11"/>
  <c r="U171" i="11"/>
  <c r="T171" i="11"/>
  <c r="S171" i="11"/>
  <c r="H63" i="11"/>
  <c r="J63" i="11" s="1"/>
  <c r="B170" i="11"/>
  <c r="C171" i="11"/>
  <c r="K169" i="11"/>
  <c r="E169" i="11"/>
  <c r="D169" i="11"/>
  <c r="M169" i="11"/>
  <c r="L169" i="11"/>
  <c r="J169" i="11"/>
  <c r="I169" i="11"/>
  <c r="H169" i="11"/>
  <c r="G169" i="11"/>
  <c r="F169" i="11"/>
  <c r="Q173" i="11" l="1"/>
  <c r="R174" i="11"/>
  <c r="AA172" i="11"/>
  <c r="Z172" i="11"/>
  <c r="T172" i="11"/>
  <c r="S172" i="11"/>
  <c r="W172" i="11"/>
  <c r="V172" i="11"/>
  <c r="U172" i="11"/>
  <c r="Y172" i="11"/>
  <c r="X172" i="11"/>
  <c r="AB172" i="11"/>
  <c r="W64" i="11"/>
  <c r="Y64" i="11" s="1"/>
  <c r="B171" i="11"/>
  <c r="C172" i="11"/>
  <c r="K170" i="11"/>
  <c r="D170" i="11"/>
  <c r="G170" i="11"/>
  <c r="F170" i="11"/>
  <c r="E170" i="11"/>
  <c r="M170" i="11"/>
  <c r="L170" i="11"/>
  <c r="J170" i="11"/>
  <c r="I170" i="11"/>
  <c r="H170" i="11"/>
  <c r="K63" i="11"/>
  <c r="L63" i="11" s="1"/>
  <c r="G64" i="11" s="1"/>
  <c r="M63" i="11" l="1"/>
  <c r="Q174" i="11"/>
  <c r="R175" i="11"/>
  <c r="Z64" i="11"/>
  <c r="AB64" i="11" s="1"/>
  <c r="AB173" i="11"/>
  <c r="AA173" i="11"/>
  <c r="W173" i="11"/>
  <c r="V173" i="11"/>
  <c r="U173" i="11"/>
  <c r="T173" i="11"/>
  <c r="S173" i="11"/>
  <c r="Z173" i="11"/>
  <c r="Y173" i="11"/>
  <c r="X173" i="11"/>
  <c r="I64" i="11"/>
  <c r="B172" i="11"/>
  <c r="C173" i="11"/>
  <c r="K171" i="11"/>
  <c r="E171" i="11"/>
  <c r="I171" i="11"/>
  <c r="H171" i="11"/>
  <c r="G171" i="11"/>
  <c r="F171" i="11"/>
  <c r="D171" i="11"/>
  <c r="M171" i="11"/>
  <c r="L171" i="11"/>
  <c r="J171" i="11"/>
  <c r="AA64" i="11" l="1"/>
  <c r="V65" i="11" s="1"/>
  <c r="X65" i="11" s="1"/>
  <c r="Q175" i="11"/>
  <c r="R176" i="11"/>
  <c r="AB174" i="11"/>
  <c r="Z174" i="11"/>
  <c r="Y174" i="11"/>
  <c r="X174" i="11"/>
  <c r="W174" i="11"/>
  <c r="V174" i="11"/>
  <c r="U174" i="11"/>
  <c r="AA174" i="11"/>
  <c r="T174" i="11"/>
  <c r="S174" i="11"/>
  <c r="C174" i="11"/>
  <c r="B173" i="11"/>
  <c r="K172" i="11"/>
  <c r="F172" i="11"/>
  <c r="L172" i="11"/>
  <c r="J172" i="11"/>
  <c r="I172" i="11"/>
  <c r="H172" i="11"/>
  <c r="G172" i="11"/>
  <c r="E172" i="11"/>
  <c r="D172" i="11"/>
  <c r="M172" i="11"/>
  <c r="H64" i="11"/>
  <c r="J64" i="11" s="1"/>
  <c r="Q176" i="11" l="1"/>
  <c r="R177" i="11"/>
  <c r="AB175" i="11"/>
  <c r="AA175" i="11"/>
  <c r="Z175" i="11"/>
  <c r="Y175" i="11"/>
  <c r="X175" i="11"/>
  <c r="T175" i="11"/>
  <c r="S175" i="11"/>
  <c r="W175" i="11"/>
  <c r="V175" i="11"/>
  <c r="U175" i="11"/>
  <c r="W65" i="11"/>
  <c r="Y65" i="11" s="1"/>
  <c r="K173" i="11"/>
  <c r="G173" i="11"/>
  <c r="M173" i="11"/>
  <c r="L173" i="11"/>
  <c r="J173" i="11"/>
  <c r="I173" i="11"/>
  <c r="H173" i="11"/>
  <c r="F173" i="11"/>
  <c r="E173" i="11"/>
  <c r="D173" i="11"/>
  <c r="K64" i="11"/>
  <c r="M64" i="11" s="1"/>
  <c r="B174" i="11"/>
  <c r="C175" i="11"/>
  <c r="Z65" i="11" l="1"/>
  <c r="AA65" i="11" s="1"/>
  <c r="V66" i="11" s="1"/>
  <c r="Q177" i="11"/>
  <c r="R178" i="11"/>
  <c r="S176" i="11"/>
  <c r="T176" i="11"/>
  <c r="AB176" i="11"/>
  <c r="AA176" i="11"/>
  <c r="Z176" i="11"/>
  <c r="Y176" i="11"/>
  <c r="X176" i="11"/>
  <c r="W176" i="11"/>
  <c r="V176" i="11"/>
  <c r="U176" i="11"/>
  <c r="L64" i="11"/>
  <c r="G65" i="11" s="1"/>
  <c r="B175" i="11"/>
  <c r="C176" i="11"/>
  <c r="K174" i="11"/>
  <c r="H174" i="11"/>
  <c r="M174" i="11"/>
  <c r="L174" i="11"/>
  <c r="J174" i="11"/>
  <c r="I174" i="11"/>
  <c r="G174" i="11"/>
  <c r="F174" i="11"/>
  <c r="E174" i="11"/>
  <c r="D174" i="11"/>
  <c r="AB65" i="11" l="1"/>
  <c r="X66" i="11"/>
  <c r="Q178" i="11"/>
  <c r="R179" i="11"/>
  <c r="T177" i="11"/>
  <c r="S177" i="11"/>
  <c r="W177" i="11"/>
  <c r="V177" i="11"/>
  <c r="U177" i="11"/>
  <c r="Z177" i="11"/>
  <c r="Y177" i="11"/>
  <c r="X177" i="11"/>
  <c r="AB177" i="11"/>
  <c r="AA177" i="11"/>
  <c r="B176" i="11"/>
  <c r="C177" i="11"/>
  <c r="K175" i="11"/>
  <c r="I175" i="11"/>
  <c r="D175" i="11"/>
  <c r="M175" i="11"/>
  <c r="L175" i="11"/>
  <c r="J175" i="11"/>
  <c r="H175" i="11"/>
  <c r="G175" i="11"/>
  <c r="F175" i="11"/>
  <c r="E175" i="11"/>
  <c r="I65" i="11"/>
  <c r="Q179" i="11" l="1"/>
  <c r="R180" i="11"/>
  <c r="U178" i="11"/>
  <c r="T178" i="11"/>
  <c r="Z178" i="11"/>
  <c r="Y178" i="11"/>
  <c r="X178" i="11"/>
  <c r="W178" i="11"/>
  <c r="V178" i="11"/>
  <c r="S178" i="11"/>
  <c r="AB178" i="11"/>
  <c r="AA178" i="11"/>
  <c r="W66" i="11"/>
  <c r="Y66" i="11" s="1"/>
  <c r="H65" i="11"/>
  <c r="J65" i="11" s="1"/>
  <c r="B177" i="11"/>
  <c r="C178" i="11"/>
  <c r="K176" i="11"/>
  <c r="J176" i="11"/>
  <c r="F176" i="11"/>
  <c r="E176" i="11"/>
  <c r="D176" i="11"/>
  <c r="M176" i="11"/>
  <c r="L176" i="11"/>
  <c r="I176" i="11"/>
  <c r="H176" i="11"/>
  <c r="G176" i="11"/>
  <c r="Q180" i="11" l="1"/>
  <c r="R181" i="11"/>
  <c r="Z66" i="11"/>
  <c r="AA66" i="11" s="1"/>
  <c r="V67" i="11" s="1"/>
  <c r="V179" i="11"/>
  <c r="U179" i="11"/>
  <c r="AB179" i="11"/>
  <c r="AA179" i="11"/>
  <c r="Z179" i="11"/>
  <c r="Y179" i="11"/>
  <c r="X179" i="11"/>
  <c r="W179" i="11"/>
  <c r="T179" i="11"/>
  <c r="S179" i="11"/>
  <c r="B178" i="11"/>
  <c r="C179" i="11"/>
  <c r="K177" i="11"/>
  <c r="L177" i="11"/>
  <c r="H177" i="11"/>
  <c r="G177" i="11"/>
  <c r="F177" i="11"/>
  <c r="E177" i="11"/>
  <c r="D177" i="11"/>
  <c r="M177" i="11"/>
  <c r="J177" i="11"/>
  <c r="I177" i="11"/>
  <c r="K65" i="11"/>
  <c r="M65" i="11" s="1"/>
  <c r="AB66" i="11" l="1"/>
  <c r="X67" i="11"/>
  <c r="Q181" i="11"/>
  <c r="R182" i="11"/>
  <c r="W180" i="11"/>
  <c r="V180" i="11"/>
  <c r="AB180" i="11"/>
  <c r="AA180" i="11"/>
  <c r="U180" i="11"/>
  <c r="T180" i="11"/>
  <c r="S180" i="11"/>
  <c r="Z180" i="11"/>
  <c r="Y180" i="11"/>
  <c r="X180" i="11"/>
  <c r="B179" i="11"/>
  <c r="C180" i="11"/>
  <c r="L65" i="11"/>
  <c r="G66" i="11" s="1"/>
  <c r="K178" i="11"/>
  <c r="M178" i="11"/>
  <c r="J178" i="11"/>
  <c r="I178" i="11"/>
  <c r="H178" i="11"/>
  <c r="G178" i="11"/>
  <c r="F178" i="11"/>
  <c r="E178" i="11"/>
  <c r="D178" i="11"/>
  <c r="L178" i="11"/>
  <c r="Q182" i="11" l="1"/>
  <c r="R183" i="11"/>
  <c r="X181" i="11"/>
  <c r="W181" i="11"/>
  <c r="U181" i="11"/>
  <c r="T181" i="11"/>
  <c r="S181" i="11"/>
  <c r="AB181" i="11"/>
  <c r="AA181" i="11"/>
  <c r="Z181" i="11"/>
  <c r="Y181" i="11"/>
  <c r="V181" i="11"/>
  <c r="W67" i="11"/>
  <c r="Y67" i="11" s="1"/>
  <c r="I66" i="11"/>
  <c r="C181" i="11"/>
  <c r="B180" i="11"/>
  <c r="K179" i="11"/>
  <c r="M179" i="11"/>
  <c r="L179" i="11"/>
  <c r="J179" i="11"/>
  <c r="I179" i="11"/>
  <c r="H179" i="11"/>
  <c r="G179" i="11"/>
  <c r="F179" i="11"/>
  <c r="E179" i="11"/>
  <c r="D179" i="11"/>
  <c r="Q183" i="11" l="1"/>
  <c r="R184" i="11"/>
  <c r="Z67" i="11"/>
  <c r="AB67" i="11" s="1"/>
  <c r="Y182" i="11"/>
  <c r="X182" i="11"/>
  <c r="Z182" i="11"/>
  <c r="W182" i="11"/>
  <c r="V182" i="11"/>
  <c r="U182" i="11"/>
  <c r="T182" i="11"/>
  <c r="S182" i="11"/>
  <c r="AB182" i="11"/>
  <c r="AA182" i="11"/>
  <c r="K180" i="11"/>
  <c r="M180" i="11"/>
  <c r="L180" i="11"/>
  <c r="J180" i="11"/>
  <c r="I180" i="11"/>
  <c r="H180" i="11"/>
  <c r="G180" i="11"/>
  <c r="F180" i="11"/>
  <c r="E180" i="11"/>
  <c r="D180" i="11"/>
  <c r="B181" i="11"/>
  <c r="C182" i="11"/>
  <c r="H66" i="11"/>
  <c r="J66" i="11" s="1"/>
  <c r="AA67" i="11" l="1"/>
  <c r="V68" i="11" s="1"/>
  <c r="Z183" i="11"/>
  <c r="Y183" i="11"/>
  <c r="AB183" i="11"/>
  <c r="AA183" i="11"/>
  <c r="X183" i="11"/>
  <c r="W183" i="11"/>
  <c r="V183" i="11"/>
  <c r="T183" i="11"/>
  <c r="S183" i="11"/>
  <c r="U183" i="11"/>
  <c r="Q184" i="11"/>
  <c r="R185" i="11"/>
  <c r="B182" i="11"/>
  <c r="C183" i="11"/>
  <c r="K181" i="11"/>
  <c r="D181" i="11"/>
  <c r="M181" i="11"/>
  <c r="L181" i="11"/>
  <c r="J181" i="11"/>
  <c r="I181" i="11"/>
  <c r="H181" i="11"/>
  <c r="G181" i="11"/>
  <c r="F181" i="11"/>
  <c r="E181" i="11"/>
  <c r="K66" i="11"/>
  <c r="M66" i="11" s="1"/>
  <c r="AA184" i="11" l="1"/>
  <c r="Z184" i="11"/>
  <c r="AB184" i="11"/>
  <c r="Y184" i="11"/>
  <c r="X184" i="11"/>
  <c r="W184" i="11"/>
  <c r="V184" i="11"/>
  <c r="U184" i="11"/>
  <c r="T184" i="11"/>
  <c r="S184" i="11"/>
  <c r="Q185" i="11"/>
  <c r="R186" i="11"/>
  <c r="X68" i="11"/>
  <c r="L66" i="11"/>
  <c r="G67" i="11" s="1"/>
  <c r="B183" i="11"/>
  <c r="C184" i="11"/>
  <c r="K182" i="11"/>
  <c r="D182" i="11"/>
  <c r="F182" i="11"/>
  <c r="E182" i="11"/>
  <c r="M182" i="11"/>
  <c r="L182" i="11"/>
  <c r="J182" i="11"/>
  <c r="I182" i="11"/>
  <c r="H182" i="11"/>
  <c r="G182" i="11"/>
  <c r="Q186" i="11" l="1"/>
  <c r="R187" i="11"/>
  <c r="AB185" i="11"/>
  <c r="AA185" i="11"/>
  <c r="U185" i="11"/>
  <c r="T185" i="11"/>
  <c r="S185" i="11"/>
  <c r="X185" i="11"/>
  <c r="W185" i="11"/>
  <c r="V185" i="11"/>
  <c r="Z185" i="11"/>
  <c r="Y185" i="11"/>
  <c r="W68" i="11"/>
  <c r="Y68" i="11" s="1"/>
  <c r="B184" i="11"/>
  <c r="C185" i="11"/>
  <c r="K183" i="11"/>
  <c r="E183" i="11"/>
  <c r="H183" i="11"/>
  <c r="G183" i="11"/>
  <c r="F183" i="11"/>
  <c r="D183" i="11"/>
  <c r="M183" i="11"/>
  <c r="L183" i="11"/>
  <c r="J183" i="11"/>
  <c r="I183" i="11"/>
  <c r="I67" i="11"/>
  <c r="Z68" i="11" l="1"/>
  <c r="AA68" i="11" s="1"/>
  <c r="V69" i="11" s="1"/>
  <c r="Q187" i="11"/>
  <c r="R188" i="11"/>
  <c r="AB186" i="11"/>
  <c r="X186" i="11"/>
  <c r="W186" i="11"/>
  <c r="V186" i="11"/>
  <c r="U186" i="11"/>
  <c r="T186" i="11"/>
  <c r="S186" i="11"/>
  <c r="AA186" i="11"/>
  <c r="Z186" i="11"/>
  <c r="Y186" i="11"/>
  <c r="H67" i="11"/>
  <c r="J67" i="11" s="1"/>
  <c r="B185" i="11"/>
  <c r="C186" i="11"/>
  <c r="K184" i="11"/>
  <c r="F184" i="11"/>
  <c r="J184" i="11"/>
  <c r="I184" i="11"/>
  <c r="H184" i="11"/>
  <c r="G184" i="11"/>
  <c r="E184" i="11"/>
  <c r="D184" i="11"/>
  <c r="M184" i="11"/>
  <c r="L184" i="11"/>
  <c r="AB68" i="11" l="1"/>
  <c r="X69" i="11"/>
  <c r="Q188" i="11"/>
  <c r="R189" i="11"/>
  <c r="AA187" i="11"/>
  <c r="Z187" i="11"/>
  <c r="Y187" i="11"/>
  <c r="X187" i="11"/>
  <c r="W187" i="11"/>
  <c r="V187" i="11"/>
  <c r="AB187" i="11"/>
  <c r="U187" i="11"/>
  <c r="T187" i="11"/>
  <c r="S187" i="11"/>
  <c r="C187" i="11"/>
  <c r="B186" i="11"/>
  <c r="K185" i="11"/>
  <c r="G185" i="11"/>
  <c r="M185" i="11"/>
  <c r="L185" i="11"/>
  <c r="J185" i="11"/>
  <c r="I185" i="11"/>
  <c r="H185" i="11"/>
  <c r="F185" i="11"/>
  <c r="E185" i="11"/>
  <c r="D185" i="11"/>
  <c r="K67" i="11"/>
  <c r="M67" i="11" s="1"/>
  <c r="S188" i="11" l="1"/>
  <c r="AB188" i="11"/>
  <c r="AA188" i="11"/>
  <c r="Z188" i="11"/>
  <c r="Y188" i="11"/>
  <c r="U188" i="11"/>
  <c r="T188" i="11"/>
  <c r="X188" i="11"/>
  <c r="W188" i="11"/>
  <c r="V188" i="11"/>
  <c r="Q189" i="11"/>
  <c r="R190" i="11"/>
  <c r="W69" i="11"/>
  <c r="Y69" i="11" s="1"/>
  <c r="K186" i="11"/>
  <c r="H186" i="11"/>
  <c r="M186" i="11"/>
  <c r="L186" i="11"/>
  <c r="J186" i="11"/>
  <c r="I186" i="11"/>
  <c r="G186" i="11"/>
  <c r="F186" i="11"/>
  <c r="E186" i="11"/>
  <c r="D186" i="11"/>
  <c r="L67" i="11"/>
  <c r="G68" i="11" s="1"/>
  <c r="B187" i="11"/>
  <c r="C188" i="11"/>
  <c r="Q190" i="11" l="1"/>
  <c r="R191" i="11"/>
  <c r="T189" i="11"/>
  <c r="S189" i="11"/>
  <c r="U189" i="11"/>
  <c r="AB189" i="11"/>
  <c r="AA189" i="11"/>
  <c r="Z189" i="11"/>
  <c r="Y189" i="11"/>
  <c r="X189" i="11"/>
  <c r="W189" i="11"/>
  <c r="V189" i="11"/>
  <c r="Z69" i="11"/>
  <c r="AA69" i="11" s="1"/>
  <c r="V70" i="11" s="1"/>
  <c r="I68" i="11"/>
  <c r="K187" i="11"/>
  <c r="I187" i="11"/>
  <c r="M187" i="11"/>
  <c r="L187" i="11"/>
  <c r="J187" i="11"/>
  <c r="H187" i="11"/>
  <c r="G187" i="11"/>
  <c r="F187" i="11"/>
  <c r="E187" i="11"/>
  <c r="D187" i="11"/>
  <c r="B188" i="11"/>
  <c r="C189" i="11"/>
  <c r="AB69" i="11" l="1"/>
  <c r="X70" i="11"/>
  <c r="Q191" i="11"/>
  <c r="R192" i="11"/>
  <c r="U190" i="11"/>
  <c r="T190" i="11"/>
  <c r="X190" i="11"/>
  <c r="W190" i="11"/>
  <c r="V190" i="11"/>
  <c r="S190" i="11"/>
  <c r="AA190" i="11"/>
  <c r="Z190" i="11"/>
  <c r="Y190" i="11"/>
  <c r="AB190" i="11"/>
  <c r="K188" i="11"/>
  <c r="J188" i="11"/>
  <c r="E188" i="11"/>
  <c r="D188" i="11"/>
  <c r="M188" i="11"/>
  <c r="L188" i="11"/>
  <c r="I188" i="11"/>
  <c r="H188" i="11"/>
  <c r="G188" i="11"/>
  <c r="F188" i="11"/>
  <c r="B189" i="11"/>
  <c r="C190" i="11"/>
  <c r="H68" i="11"/>
  <c r="J68" i="11" s="1"/>
  <c r="V191" i="11" l="1"/>
  <c r="U191" i="11"/>
  <c r="AA191" i="11"/>
  <c r="Z191" i="11"/>
  <c r="Y191" i="11"/>
  <c r="X191" i="11"/>
  <c r="W191" i="11"/>
  <c r="T191" i="11"/>
  <c r="AB191" i="11"/>
  <c r="S191" i="11"/>
  <c r="Q192" i="11"/>
  <c r="R193" i="11"/>
  <c r="W70" i="11"/>
  <c r="Y70" i="11" s="1"/>
  <c r="B190" i="11"/>
  <c r="C191" i="11"/>
  <c r="K189" i="11"/>
  <c r="L189" i="11"/>
  <c r="G189" i="11"/>
  <c r="F189" i="11"/>
  <c r="E189" i="11"/>
  <c r="D189" i="11"/>
  <c r="M189" i="11"/>
  <c r="J189" i="11"/>
  <c r="I189" i="11"/>
  <c r="H189" i="11"/>
  <c r="K68" i="11"/>
  <c r="M68" i="11" s="1"/>
  <c r="L68" i="11" l="1"/>
  <c r="G69" i="11" s="1"/>
  <c r="I69" i="11" s="1"/>
  <c r="Q193" i="11"/>
  <c r="R194" i="11"/>
  <c r="W192" i="11"/>
  <c r="V192" i="11"/>
  <c r="AB192" i="11"/>
  <c r="AA192" i="11"/>
  <c r="Z192" i="11"/>
  <c r="Y192" i="11"/>
  <c r="X192" i="11"/>
  <c r="U192" i="11"/>
  <c r="T192" i="11"/>
  <c r="S192" i="11"/>
  <c r="Z70" i="11"/>
  <c r="AB70" i="11" s="1"/>
  <c r="B191" i="11"/>
  <c r="C192" i="11"/>
  <c r="K190" i="11"/>
  <c r="M190" i="11"/>
  <c r="I190" i="11"/>
  <c r="H190" i="11"/>
  <c r="G190" i="11"/>
  <c r="F190" i="11"/>
  <c r="E190" i="11"/>
  <c r="D190" i="11"/>
  <c r="L190" i="11"/>
  <c r="J190" i="11"/>
  <c r="AA70" i="11" l="1"/>
  <c r="V71" i="11" s="1"/>
  <c r="X71" i="11" s="1"/>
  <c r="Q194" i="11"/>
  <c r="R195" i="11"/>
  <c r="X193" i="11"/>
  <c r="W193" i="11"/>
  <c r="S193" i="11"/>
  <c r="AB193" i="11"/>
  <c r="V193" i="11"/>
  <c r="U193" i="11"/>
  <c r="T193" i="11"/>
  <c r="Z193" i="11"/>
  <c r="Y193" i="11"/>
  <c r="AA193" i="11"/>
  <c r="C193" i="11"/>
  <c r="B192" i="11"/>
  <c r="K191" i="11"/>
  <c r="L191" i="11"/>
  <c r="J191" i="11"/>
  <c r="I191" i="11"/>
  <c r="H191" i="11"/>
  <c r="G191" i="11"/>
  <c r="F191" i="11"/>
  <c r="E191" i="11"/>
  <c r="D191" i="11"/>
  <c r="M191" i="11"/>
  <c r="H69" i="11"/>
  <c r="J69" i="11" s="1"/>
  <c r="Y194" i="11" l="1"/>
  <c r="X194" i="11"/>
  <c r="V194" i="11"/>
  <c r="U194" i="11"/>
  <c r="T194" i="11"/>
  <c r="S194" i="11"/>
  <c r="AB194" i="11"/>
  <c r="AA194" i="11"/>
  <c r="Z194" i="11"/>
  <c r="W194" i="11"/>
  <c r="Q195" i="11"/>
  <c r="R196" i="11"/>
  <c r="W71" i="11"/>
  <c r="Y71" i="11" s="1"/>
  <c r="K192" i="11"/>
  <c r="M192" i="11"/>
  <c r="L192" i="11"/>
  <c r="J192" i="11"/>
  <c r="I192" i="11"/>
  <c r="H192" i="11"/>
  <c r="G192" i="11"/>
  <c r="F192" i="11"/>
  <c r="E192" i="11"/>
  <c r="D192" i="11"/>
  <c r="K69" i="11"/>
  <c r="M69" i="11" s="1"/>
  <c r="B193" i="11"/>
  <c r="C194" i="11"/>
  <c r="Q196" i="11" l="1"/>
  <c r="R197" i="11"/>
  <c r="Z195" i="11"/>
  <c r="Y195" i="11"/>
  <c r="AA195" i="11"/>
  <c r="X195" i="11"/>
  <c r="W195" i="11"/>
  <c r="V195" i="11"/>
  <c r="U195" i="11"/>
  <c r="T195" i="11"/>
  <c r="AB195" i="11"/>
  <c r="S195" i="11"/>
  <c r="Z71" i="11"/>
  <c r="AA71" i="11" s="1"/>
  <c r="V72" i="11" s="1"/>
  <c r="L69" i="11"/>
  <c r="G70" i="11" s="1"/>
  <c r="B194" i="11"/>
  <c r="C195" i="11"/>
  <c r="K193" i="11"/>
  <c r="M193" i="11"/>
  <c r="L193" i="11"/>
  <c r="J193" i="11"/>
  <c r="I193" i="11"/>
  <c r="H193" i="11"/>
  <c r="G193" i="11"/>
  <c r="F193" i="11"/>
  <c r="E193" i="11"/>
  <c r="D193" i="11"/>
  <c r="AB71" i="11" l="1"/>
  <c r="X72" i="11"/>
  <c r="R198" i="11"/>
  <c r="Q197" i="11"/>
  <c r="AA196" i="11"/>
  <c r="Z196" i="11"/>
  <c r="AB196" i="11"/>
  <c r="Y196" i="11"/>
  <c r="X196" i="11"/>
  <c r="W196" i="11"/>
  <c r="S196" i="11"/>
  <c r="V196" i="11"/>
  <c r="U196" i="11"/>
  <c r="T196" i="11"/>
  <c r="K194" i="11"/>
  <c r="D194" i="11"/>
  <c r="E194" i="11"/>
  <c r="M194" i="11"/>
  <c r="L194" i="11"/>
  <c r="J194" i="11"/>
  <c r="I194" i="11"/>
  <c r="H194" i="11"/>
  <c r="G194" i="11"/>
  <c r="F194" i="11"/>
  <c r="C196" i="11"/>
  <c r="B195" i="11"/>
  <c r="I70" i="11"/>
  <c r="Q198" i="11" l="1"/>
  <c r="R199" i="11"/>
  <c r="Z197" i="11"/>
  <c r="AB197" i="11"/>
  <c r="S197" i="11"/>
  <c r="AA197" i="11"/>
  <c r="Y197" i="11"/>
  <c r="X197" i="11"/>
  <c r="W197" i="11"/>
  <c r="V197" i="11"/>
  <c r="U197" i="11"/>
  <c r="T197" i="11"/>
  <c r="W72" i="11"/>
  <c r="Y72" i="11" s="1"/>
  <c r="B196" i="11"/>
  <c r="C197" i="11"/>
  <c r="K195" i="11"/>
  <c r="E195" i="11"/>
  <c r="G195" i="11"/>
  <c r="F195" i="11"/>
  <c r="D195" i="11"/>
  <c r="M195" i="11"/>
  <c r="L195" i="11"/>
  <c r="J195" i="11"/>
  <c r="I195" i="11"/>
  <c r="H195" i="11"/>
  <c r="H70" i="11"/>
  <c r="J70" i="11" s="1"/>
  <c r="R200" i="11" l="1"/>
  <c r="Q199" i="11"/>
  <c r="Z72" i="11"/>
  <c r="AB72" i="11" s="1"/>
  <c r="Z198" i="11"/>
  <c r="W198" i="11"/>
  <c r="V198" i="11"/>
  <c r="U198" i="11"/>
  <c r="T198" i="11"/>
  <c r="S198" i="11"/>
  <c r="AA198" i="11"/>
  <c r="Y198" i="11"/>
  <c r="X198" i="11"/>
  <c r="AB198" i="11"/>
  <c r="C198" i="11"/>
  <c r="B197" i="11"/>
  <c r="K70" i="11"/>
  <c r="M70" i="11" s="1"/>
  <c r="K196" i="11"/>
  <c r="F196" i="11"/>
  <c r="D196" i="11"/>
  <c r="L196" i="11"/>
  <c r="J196" i="11"/>
  <c r="I196" i="11"/>
  <c r="H196" i="11"/>
  <c r="G196" i="11"/>
  <c r="E196" i="11"/>
  <c r="M196" i="11"/>
  <c r="AA72" i="11" l="1"/>
  <c r="V73" i="11" s="1"/>
  <c r="X73" i="11" s="1"/>
  <c r="Z199" i="11"/>
  <c r="S199" i="11"/>
  <c r="T199" i="11"/>
  <c r="AB199" i="11"/>
  <c r="AA199" i="11"/>
  <c r="Y199" i="11"/>
  <c r="X199" i="11"/>
  <c r="W199" i="11"/>
  <c r="V199" i="11"/>
  <c r="U199" i="11"/>
  <c r="R201" i="11"/>
  <c r="Q200" i="11"/>
  <c r="L70" i="11"/>
  <c r="G71" i="11" s="1"/>
  <c r="K197" i="11"/>
  <c r="G197" i="11"/>
  <c r="E197" i="11"/>
  <c r="D197" i="11"/>
  <c r="M197" i="11"/>
  <c r="L197" i="11"/>
  <c r="J197" i="11"/>
  <c r="I197" i="11"/>
  <c r="H197" i="11"/>
  <c r="F197" i="11"/>
  <c r="B198" i="11"/>
  <c r="C199" i="11"/>
  <c r="W73" i="11" l="1"/>
  <c r="Y73" i="11" s="1"/>
  <c r="Z200" i="11"/>
  <c r="T200" i="11"/>
  <c r="V200" i="11"/>
  <c r="U200" i="11"/>
  <c r="AB200" i="11"/>
  <c r="AA200" i="11"/>
  <c r="Y200" i="11"/>
  <c r="X200" i="11"/>
  <c r="W200" i="11"/>
  <c r="S200" i="11"/>
  <c r="Q201" i="11"/>
  <c r="R202" i="11"/>
  <c r="K198" i="11"/>
  <c r="H198" i="11"/>
  <c r="F198" i="11"/>
  <c r="E198" i="11"/>
  <c r="D198" i="11"/>
  <c r="M198" i="11"/>
  <c r="L198" i="11"/>
  <c r="J198" i="11"/>
  <c r="I198" i="11"/>
  <c r="G198" i="11"/>
  <c r="B199" i="11"/>
  <c r="C200" i="11"/>
  <c r="I71" i="11"/>
  <c r="Z73" i="11" l="1"/>
  <c r="AA73" i="11" s="1"/>
  <c r="V74" i="11" s="1"/>
  <c r="R203" i="11"/>
  <c r="Q202" i="11"/>
  <c r="Z201" i="11"/>
  <c r="U201" i="11"/>
  <c r="X201" i="11"/>
  <c r="W201" i="11"/>
  <c r="T201" i="11"/>
  <c r="S201" i="11"/>
  <c r="AA201" i="11"/>
  <c r="Y201" i="11"/>
  <c r="V201" i="11"/>
  <c r="AB201" i="11"/>
  <c r="K199" i="11"/>
  <c r="I199" i="11"/>
  <c r="G199" i="11"/>
  <c r="F199" i="11"/>
  <c r="L199" i="11"/>
  <c r="J199" i="11"/>
  <c r="H199" i="11"/>
  <c r="E199" i="11"/>
  <c r="D199" i="11"/>
  <c r="M199" i="11"/>
  <c r="H71" i="11"/>
  <c r="J71" i="11" s="1"/>
  <c r="C201" i="11"/>
  <c r="B200" i="11"/>
  <c r="AB73" i="11" l="1"/>
  <c r="Z202" i="11"/>
  <c r="V202" i="11"/>
  <c r="AA202" i="11"/>
  <c r="Y202" i="11"/>
  <c r="AB202" i="11"/>
  <c r="X202" i="11"/>
  <c r="W202" i="11"/>
  <c r="U202" i="11"/>
  <c r="T202" i="11"/>
  <c r="S202" i="11"/>
  <c r="X74" i="11"/>
  <c r="R204" i="11"/>
  <c r="Q203" i="11"/>
  <c r="K71" i="11"/>
  <c r="L71" i="11" s="1"/>
  <c r="G72" i="11" s="1"/>
  <c r="K200" i="11"/>
  <c r="J200" i="11"/>
  <c r="H200" i="11"/>
  <c r="G200" i="11"/>
  <c r="M200" i="11"/>
  <c r="L200" i="11"/>
  <c r="I200" i="11"/>
  <c r="F200" i="11"/>
  <c r="E200" i="11"/>
  <c r="D200" i="11"/>
  <c r="B201" i="11"/>
  <c r="C202" i="11"/>
  <c r="M71" i="11" l="1"/>
  <c r="W74" i="11"/>
  <c r="Y74" i="11" s="1"/>
  <c r="Z203" i="11"/>
  <c r="W203" i="11"/>
  <c r="AB203" i="11"/>
  <c r="AA203" i="11"/>
  <c r="Y203" i="11"/>
  <c r="X203" i="11"/>
  <c r="V203" i="11"/>
  <c r="U203" i="11"/>
  <c r="T203" i="11"/>
  <c r="S203" i="11"/>
  <c r="Q204" i="11"/>
  <c r="R205" i="11"/>
  <c r="I72" i="11"/>
  <c r="B202" i="11"/>
  <c r="C203" i="11"/>
  <c r="K201" i="11"/>
  <c r="L201" i="11"/>
  <c r="I201" i="11"/>
  <c r="H201" i="11"/>
  <c r="D201" i="11"/>
  <c r="M201" i="11"/>
  <c r="J201" i="11"/>
  <c r="G201" i="11"/>
  <c r="F201" i="11"/>
  <c r="E201" i="11"/>
  <c r="Q205" i="11" l="1"/>
  <c r="R206" i="11"/>
  <c r="Z74" i="11"/>
  <c r="AA74" i="11" s="1"/>
  <c r="V75" i="11" s="1"/>
  <c r="Z204" i="11"/>
  <c r="X204" i="11"/>
  <c r="T204" i="11"/>
  <c r="S204" i="11"/>
  <c r="W204" i="11"/>
  <c r="V204" i="11"/>
  <c r="U204" i="11"/>
  <c r="AA204" i="11"/>
  <c r="Y204" i="11"/>
  <c r="AB204" i="11"/>
  <c r="C204" i="11"/>
  <c r="B203" i="11"/>
  <c r="H72" i="11"/>
  <c r="J72" i="11" s="1"/>
  <c r="K202" i="11"/>
  <c r="M202" i="11"/>
  <c r="J202" i="11"/>
  <c r="I202" i="11"/>
  <c r="H202" i="11"/>
  <c r="G202" i="11"/>
  <c r="F202" i="11"/>
  <c r="E202" i="11"/>
  <c r="D202" i="11"/>
  <c r="L202" i="11"/>
  <c r="X75" i="11" l="1"/>
  <c r="AB74" i="11"/>
  <c r="R207" i="11"/>
  <c r="Q206" i="11"/>
  <c r="Z205" i="11"/>
  <c r="Y205" i="11"/>
  <c r="S205" i="11"/>
  <c r="X205" i="11"/>
  <c r="W205" i="11"/>
  <c r="V205" i="11"/>
  <c r="U205" i="11"/>
  <c r="T205" i="11"/>
  <c r="AB205" i="11"/>
  <c r="AA205" i="11"/>
  <c r="K203" i="11"/>
  <c r="L203" i="11"/>
  <c r="J203" i="11"/>
  <c r="M203" i="11"/>
  <c r="I203" i="11"/>
  <c r="H203" i="11"/>
  <c r="G203" i="11"/>
  <c r="F203" i="11"/>
  <c r="E203" i="11"/>
  <c r="D203" i="11"/>
  <c r="K72" i="11"/>
  <c r="M72" i="11" s="1"/>
  <c r="C205" i="11"/>
  <c r="B204" i="11"/>
  <c r="Q207" i="11" l="1"/>
  <c r="R208" i="11"/>
  <c r="Z206" i="11"/>
  <c r="AA206" i="11"/>
  <c r="U206" i="11"/>
  <c r="T206" i="11"/>
  <c r="AB206" i="11"/>
  <c r="Y206" i="11"/>
  <c r="X206" i="11"/>
  <c r="W206" i="11"/>
  <c r="V206" i="11"/>
  <c r="S206" i="11"/>
  <c r="W75" i="11"/>
  <c r="Y75" i="11" s="1"/>
  <c r="B205" i="11"/>
  <c r="C206" i="11"/>
  <c r="K204" i="11"/>
  <c r="M204" i="11"/>
  <c r="L204" i="11"/>
  <c r="J204" i="11"/>
  <c r="D204" i="11"/>
  <c r="I204" i="11"/>
  <c r="H204" i="11"/>
  <c r="G204" i="11"/>
  <c r="F204" i="11"/>
  <c r="E204" i="11"/>
  <c r="L72" i="11"/>
  <c r="G73" i="11" s="1"/>
  <c r="Z75" i="11" l="1"/>
  <c r="AA75" i="11" s="1"/>
  <c r="V76" i="11" s="1"/>
  <c r="R209" i="11"/>
  <c r="Q208" i="11"/>
  <c r="Z207" i="11"/>
  <c r="AB207" i="11"/>
  <c r="W207" i="11"/>
  <c r="V207" i="11"/>
  <c r="S207" i="11"/>
  <c r="X207" i="11"/>
  <c r="U207" i="11"/>
  <c r="T207" i="11"/>
  <c r="AA207" i="11"/>
  <c r="Y207" i="11"/>
  <c r="C207" i="11"/>
  <c r="B206" i="11"/>
  <c r="I73" i="11"/>
  <c r="K205" i="11"/>
  <c r="M205" i="11"/>
  <c r="L205" i="11"/>
  <c r="I205" i="11"/>
  <c r="H205" i="11"/>
  <c r="G205" i="11"/>
  <c r="F205" i="11"/>
  <c r="E205" i="11"/>
  <c r="D205" i="11"/>
  <c r="J205" i="11"/>
  <c r="AB75" i="11" l="1"/>
  <c r="Z208" i="11"/>
  <c r="Y208" i="11"/>
  <c r="X208" i="11"/>
  <c r="W208" i="11"/>
  <c r="V208" i="11"/>
  <c r="U208" i="11"/>
  <c r="AB208" i="11"/>
  <c r="AA208" i="11"/>
  <c r="T208" i="11"/>
  <c r="S208" i="11"/>
  <c r="Q209" i="11"/>
  <c r="R210" i="11"/>
  <c r="X76" i="11"/>
  <c r="H73" i="11"/>
  <c r="J73" i="11" s="1"/>
  <c r="K206" i="11"/>
  <c r="D206" i="11"/>
  <c r="M206" i="11"/>
  <c r="L206" i="11"/>
  <c r="J206" i="11"/>
  <c r="I206" i="11"/>
  <c r="H206" i="11"/>
  <c r="G206" i="11"/>
  <c r="F206" i="11"/>
  <c r="E206" i="11"/>
  <c r="C208" i="11"/>
  <c r="B207" i="11"/>
  <c r="Q210" i="11" l="1"/>
  <c r="R211" i="11"/>
  <c r="Z209" i="11"/>
  <c r="Y209" i="11"/>
  <c r="AB209" i="11"/>
  <c r="AA209" i="11"/>
  <c r="X209" i="11"/>
  <c r="W209" i="11"/>
  <c r="V209" i="11"/>
  <c r="U209" i="11"/>
  <c r="T209" i="11"/>
  <c r="S209" i="11"/>
  <c r="W76" i="11"/>
  <c r="Y76" i="11" s="1"/>
  <c r="K207" i="11"/>
  <c r="E207" i="11"/>
  <c r="G207" i="11"/>
  <c r="F207" i="11"/>
  <c r="D207" i="11"/>
  <c r="M207" i="11"/>
  <c r="L207" i="11"/>
  <c r="J207" i="11"/>
  <c r="I207" i="11"/>
  <c r="H207" i="11"/>
  <c r="C209" i="11"/>
  <c r="B208" i="11"/>
  <c r="K73" i="11"/>
  <c r="M73" i="11" s="1"/>
  <c r="Z76" i="11" l="1"/>
  <c r="AA76" i="11" s="1"/>
  <c r="V77" i="11" s="1"/>
  <c r="Q211" i="11"/>
  <c r="R212" i="11"/>
  <c r="Z210" i="11"/>
  <c r="Y210" i="11"/>
  <c r="S210" i="11"/>
  <c r="AB210" i="11"/>
  <c r="AA210" i="11"/>
  <c r="X210" i="11"/>
  <c r="W210" i="11"/>
  <c r="V210" i="11"/>
  <c r="U210" i="11"/>
  <c r="T210" i="11"/>
  <c r="C210" i="11"/>
  <c r="B209" i="11"/>
  <c r="K208" i="11"/>
  <c r="F208" i="11"/>
  <c r="D208" i="11"/>
  <c r="M208" i="11"/>
  <c r="L208" i="11"/>
  <c r="J208" i="11"/>
  <c r="I208" i="11"/>
  <c r="H208" i="11"/>
  <c r="G208" i="11"/>
  <c r="E208" i="11"/>
  <c r="L73" i="11"/>
  <c r="G74" i="11" s="1"/>
  <c r="AB76" i="11" l="1"/>
  <c r="X77" i="11"/>
  <c r="R213" i="11"/>
  <c r="Q212" i="11"/>
  <c r="Z211" i="11"/>
  <c r="Y211" i="11"/>
  <c r="U211" i="11"/>
  <c r="T211" i="11"/>
  <c r="S211" i="11"/>
  <c r="V211" i="11"/>
  <c r="AA211" i="11"/>
  <c r="X211" i="11"/>
  <c r="W211" i="11"/>
  <c r="AB211" i="11"/>
  <c r="K209" i="11"/>
  <c r="G209" i="11"/>
  <c r="E209" i="11"/>
  <c r="D209" i="11"/>
  <c r="M209" i="11"/>
  <c r="L209" i="11"/>
  <c r="J209" i="11"/>
  <c r="I209" i="11"/>
  <c r="H209" i="11"/>
  <c r="F209" i="11"/>
  <c r="I74" i="11"/>
  <c r="B210" i="11"/>
  <c r="C211" i="11"/>
  <c r="Z212" i="11" l="1"/>
  <c r="Y212" i="11"/>
  <c r="W212" i="11"/>
  <c r="X212" i="11"/>
  <c r="V212" i="11"/>
  <c r="U212" i="11"/>
  <c r="T212" i="11"/>
  <c r="S212" i="11"/>
  <c r="AB212" i="11"/>
  <c r="AA212" i="11"/>
  <c r="Q213" i="11"/>
  <c r="R214" i="11"/>
  <c r="W77" i="11"/>
  <c r="Y77" i="11" s="1"/>
  <c r="C212" i="11"/>
  <c r="B211" i="11"/>
  <c r="H74" i="11"/>
  <c r="J74" i="11" s="1"/>
  <c r="K210" i="11"/>
  <c r="H210" i="11"/>
  <c r="F210" i="11"/>
  <c r="E210" i="11"/>
  <c r="D210" i="11"/>
  <c r="J210" i="11"/>
  <c r="I210" i="11"/>
  <c r="G210" i="11"/>
  <c r="M210" i="11"/>
  <c r="L210" i="11"/>
  <c r="Z213" i="11" l="1"/>
  <c r="Y213" i="11"/>
  <c r="AA213" i="11"/>
  <c r="AB213" i="11"/>
  <c r="X213" i="11"/>
  <c r="W213" i="11"/>
  <c r="V213" i="11"/>
  <c r="T213" i="11"/>
  <c r="S213" i="11"/>
  <c r="U213" i="11"/>
  <c r="Q214" i="11"/>
  <c r="R215" i="11"/>
  <c r="Z77" i="11"/>
  <c r="AA77" i="11" s="1"/>
  <c r="V78" i="11" s="1"/>
  <c r="K211" i="11"/>
  <c r="I211" i="11"/>
  <c r="G211" i="11"/>
  <c r="F211" i="11"/>
  <c r="E211" i="11"/>
  <c r="M211" i="11"/>
  <c r="L211" i="11"/>
  <c r="J211" i="11"/>
  <c r="H211" i="11"/>
  <c r="D211" i="11"/>
  <c r="K74" i="11"/>
  <c r="M74" i="11" s="1"/>
  <c r="B212" i="11"/>
  <c r="C213" i="11"/>
  <c r="AB77" i="11" l="1"/>
  <c r="L74" i="11"/>
  <c r="G75" i="11" s="1"/>
  <c r="I75" i="11" s="1"/>
  <c r="X78" i="11"/>
  <c r="Z214" i="11"/>
  <c r="Y214" i="11"/>
  <c r="AB214" i="11"/>
  <c r="AA214" i="11"/>
  <c r="X214" i="11"/>
  <c r="W214" i="11"/>
  <c r="V214" i="11"/>
  <c r="U214" i="11"/>
  <c r="T214" i="11"/>
  <c r="S214" i="11"/>
  <c r="Q215" i="11"/>
  <c r="R216" i="11"/>
  <c r="C214" i="11"/>
  <c r="B213" i="11"/>
  <c r="K212" i="11"/>
  <c r="J212" i="11"/>
  <c r="H212" i="11"/>
  <c r="G212" i="11"/>
  <c r="F212" i="11"/>
  <c r="D212" i="11"/>
  <c r="M212" i="11"/>
  <c r="L212" i="11"/>
  <c r="I212" i="11"/>
  <c r="E212" i="11"/>
  <c r="R217" i="11" l="1"/>
  <c r="Q216" i="11"/>
  <c r="Z215" i="11"/>
  <c r="Y215" i="11"/>
  <c r="T215" i="11"/>
  <c r="S215" i="11"/>
  <c r="X215" i="11"/>
  <c r="W215" i="11"/>
  <c r="V215" i="11"/>
  <c r="U215" i="11"/>
  <c r="AB215" i="11"/>
  <c r="AA215" i="11"/>
  <c r="W78" i="11"/>
  <c r="Y78" i="11" s="1"/>
  <c r="C215" i="11"/>
  <c r="B214" i="11"/>
  <c r="H213" i="11"/>
  <c r="L213" i="11"/>
  <c r="M213" i="11"/>
  <c r="J213" i="11"/>
  <c r="I213" i="11"/>
  <c r="G213" i="11"/>
  <c r="K213" i="11"/>
  <c r="F213" i="11"/>
  <c r="E213" i="11"/>
  <c r="D213" i="11"/>
  <c r="H75" i="11"/>
  <c r="J75" i="11" s="1"/>
  <c r="Z78" i="11" l="1"/>
  <c r="AA78" i="11" s="1"/>
  <c r="V79" i="11" s="1"/>
  <c r="Z216" i="11"/>
  <c r="Y216" i="11"/>
  <c r="S216" i="11"/>
  <c r="W216" i="11"/>
  <c r="V216" i="11"/>
  <c r="U216" i="11"/>
  <c r="T216" i="11"/>
  <c r="AB216" i="11"/>
  <c r="AA216" i="11"/>
  <c r="X216" i="11"/>
  <c r="R218" i="11"/>
  <c r="Q217" i="11"/>
  <c r="H214" i="11"/>
  <c r="M214" i="11"/>
  <c r="L214" i="11"/>
  <c r="K214" i="11"/>
  <c r="J214" i="11"/>
  <c r="I214" i="11"/>
  <c r="G214" i="11"/>
  <c r="F214" i="11"/>
  <c r="E214" i="11"/>
  <c r="D214" i="11"/>
  <c r="K75" i="11"/>
  <c r="M75" i="11" s="1"/>
  <c r="B215" i="11"/>
  <c r="C216" i="11"/>
  <c r="X79" i="11" l="1"/>
  <c r="R219" i="11"/>
  <c r="Q218" i="11"/>
  <c r="Z217" i="11"/>
  <c r="Y217" i="11"/>
  <c r="U217" i="11"/>
  <c r="AB217" i="11"/>
  <c r="AA217" i="11"/>
  <c r="X217" i="11"/>
  <c r="W217" i="11"/>
  <c r="V217" i="11"/>
  <c r="T217" i="11"/>
  <c r="S217" i="11"/>
  <c r="AB78" i="11"/>
  <c r="L75" i="11"/>
  <c r="G76" i="11" s="1"/>
  <c r="C217" i="11"/>
  <c r="B216" i="11"/>
  <c r="H215" i="11"/>
  <c r="M215" i="11"/>
  <c r="L215" i="11"/>
  <c r="K215" i="11"/>
  <c r="J215" i="11"/>
  <c r="I215" i="11"/>
  <c r="G215" i="11"/>
  <c r="F215" i="11"/>
  <c r="E215" i="11"/>
  <c r="D215" i="11"/>
  <c r="Z218" i="11" l="1"/>
  <c r="Y218" i="11"/>
  <c r="W218" i="11"/>
  <c r="AB218" i="11"/>
  <c r="AA218" i="11"/>
  <c r="X218" i="11"/>
  <c r="V218" i="11"/>
  <c r="U218" i="11"/>
  <c r="T218" i="11"/>
  <c r="S218" i="11"/>
  <c r="Q219" i="11"/>
  <c r="R220" i="11"/>
  <c r="W79" i="11"/>
  <c r="Y79" i="11" s="1"/>
  <c r="H216" i="11"/>
  <c r="E216" i="11"/>
  <c r="D216" i="11"/>
  <c r="M216" i="11"/>
  <c r="L216" i="11"/>
  <c r="K216" i="11"/>
  <c r="J216" i="11"/>
  <c r="I216" i="11"/>
  <c r="G216" i="11"/>
  <c r="F216" i="11"/>
  <c r="B217" i="11"/>
  <c r="C218" i="11"/>
  <c r="I76" i="11"/>
  <c r="Q220" i="11" l="1"/>
  <c r="R221" i="11"/>
  <c r="Z219" i="11"/>
  <c r="Y219" i="11"/>
  <c r="AA219" i="11"/>
  <c r="S219" i="11"/>
  <c r="AB219" i="11"/>
  <c r="X219" i="11"/>
  <c r="W219" i="11"/>
  <c r="V219" i="11"/>
  <c r="U219" i="11"/>
  <c r="T219" i="11"/>
  <c r="Z79" i="11"/>
  <c r="AA79" i="11" s="1"/>
  <c r="V80" i="11" s="1"/>
  <c r="C219" i="11"/>
  <c r="B218" i="11"/>
  <c r="H217" i="11"/>
  <c r="G217" i="11"/>
  <c r="F217" i="11"/>
  <c r="E217" i="11"/>
  <c r="D217" i="11"/>
  <c r="M217" i="11"/>
  <c r="L217" i="11"/>
  <c r="K217" i="11"/>
  <c r="J217" i="11"/>
  <c r="I217" i="11"/>
  <c r="H76" i="11"/>
  <c r="J76" i="11" s="1"/>
  <c r="AB79" i="11" l="1"/>
  <c r="X80" i="11"/>
  <c r="Q221" i="11"/>
  <c r="R222" i="11"/>
  <c r="Z220" i="11"/>
  <c r="Y220" i="11"/>
  <c r="V220" i="11"/>
  <c r="U220" i="11"/>
  <c r="T220" i="11"/>
  <c r="S220" i="11"/>
  <c r="AA220" i="11"/>
  <c r="X220" i="11"/>
  <c r="W220" i="11"/>
  <c r="AB220" i="11"/>
  <c r="K76" i="11"/>
  <c r="L76" i="11" s="1"/>
  <c r="G77" i="11" s="1"/>
  <c r="H218" i="11"/>
  <c r="D218" i="11"/>
  <c r="J218" i="11"/>
  <c r="I218" i="11"/>
  <c r="G218" i="11"/>
  <c r="F218" i="11"/>
  <c r="E218" i="11"/>
  <c r="M218" i="11"/>
  <c r="L218" i="11"/>
  <c r="K218" i="11"/>
  <c r="C220" i="11"/>
  <c r="B219" i="11"/>
  <c r="R223" i="11" l="1"/>
  <c r="Q222" i="11"/>
  <c r="Z221" i="11"/>
  <c r="Y221" i="11"/>
  <c r="AA221" i="11"/>
  <c r="X221" i="11"/>
  <c r="W221" i="11"/>
  <c r="V221" i="11"/>
  <c r="U221" i="11"/>
  <c r="AB221" i="11"/>
  <c r="T221" i="11"/>
  <c r="S221" i="11"/>
  <c r="W80" i="11"/>
  <c r="Y80" i="11" s="1"/>
  <c r="I77" i="11"/>
  <c r="B220" i="11"/>
  <c r="C221" i="11"/>
  <c r="H219" i="11"/>
  <c r="E219" i="11"/>
  <c r="L219" i="11"/>
  <c r="K219" i="11"/>
  <c r="J219" i="11"/>
  <c r="I219" i="11"/>
  <c r="G219" i="11"/>
  <c r="M219" i="11"/>
  <c r="F219" i="11"/>
  <c r="D219" i="11"/>
  <c r="M76" i="11"/>
  <c r="Z222" i="11" l="1"/>
  <c r="Y222" i="11"/>
  <c r="S222" i="11"/>
  <c r="AB222" i="11"/>
  <c r="AA222" i="11"/>
  <c r="X222" i="11"/>
  <c r="U222" i="11"/>
  <c r="T222" i="11"/>
  <c r="W222" i="11"/>
  <c r="V222" i="11"/>
  <c r="Z80" i="11"/>
  <c r="AB80" i="11" s="1"/>
  <c r="Q223" i="11"/>
  <c r="R224" i="11"/>
  <c r="H220" i="11"/>
  <c r="F220" i="11"/>
  <c r="M220" i="11"/>
  <c r="L220" i="11"/>
  <c r="K220" i="11"/>
  <c r="J220" i="11"/>
  <c r="I220" i="11"/>
  <c r="G220" i="11"/>
  <c r="E220" i="11"/>
  <c r="D220" i="11"/>
  <c r="B221" i="11"/>
  <c r="C222" i="11"/>
  <c r="H77" i="11"/>
  <c r="J77" i="11" s="1"/>
  <c r="AA80" i="11" l="1"/>
  <c r="V81" i="11" s="1"/>
  <c r="Q224" i="11"/>
  <c r="R225" i="11"/>
  <c r="Z223" i="11"/>
  <c r="Y223" i="11"/>
  <c r="U223" i="11"/>
  <c r="AB223" i="11"/>
  <c r="AA223" i="11"/>
  <c r="X223" i="11"/>
  <c r="W223" i="11"/>
  <c r="V223" i="11"/>
  <c r="T223" i="11"/>
  <c r="S223" i="11"/>
  <c r="B222" i="11"/>
  <c r="C223" i="11"/>
  <c r="H221" i="11"/>
  <c r="G221" i="11"/>
  <c r="M221" i="11"/>
  <c r="L221" i="11"/>
  <c r="K221" i="11"/>
  <c r="J221" i="11"/>
  <c r="I221" i="11"/>
  <c r="F221" i="11"/>
  <c r="E221" i="11"/>
  <c r="D221" i="11"/>
  <c r="K77" i="11"/>
  <c r="L77" i="11" s="1"/>
  <c r="G78" i="11" s="1"/>
  <c r="M77" i="11" l="1"/>
  <c r="R226" i="11"/>
  <c r="Q225" i="11"/>
  <c r="Z224" i="11"/>
  <c r="Y224" i="11"/>
  <c r="W224" i="11"/>
  <c r="U224" i="11"/>
  <c r="T224" i="11"/>
  <c r="S224" i="11"/>
  <c r="AA224" i="11"/>
  <c r="X224" i="11"/>
  <c r="V224" i="11"/>
  <c r="AB224" i="11"/>
  <c r="X81" i="11"/>
  <c r="I78" i="11"/>
  <c r="B223" i="11"/>
  <c r="C224" i="11"/>
  <c r="H222" i="11"/>
  <c r="I222" i="11"/>
  <c r="D222" i="11"/>
  <c r="E222" i="11"/>
  <c r="M222" i="11"/>
  <c r="L222" i="11"/>
  <c r="K222" i="11"/>
  <c r="J222" i="11"/>
  <c r="G222" i="11"/>
  <c r="F222" i="11"/>
  <c r="W81" i="11" l="1"/>
  <c r="Y81" i="11" s="1"/>
  <c r="Z225" i="11"/>
  <c r="Y225" i="11"/>
  <c r="AA225" i="11"/>
  <c r="X225" i="11"/>
  <c r="W225" i="11"/>
  <c r="V225" i="11"/>
  <c r="U225" i="11"/>
  <c r="T225" i="11"/>
  <c r="AB225" i="11"/>
  <c r="S225" i="11"/>
  <c r="R227" i="11"/>
  <c r="Q226" i="11"/>
  <c r="H223" i="11"/>
  <c r="J223" i="11"/>
  <c r="F223" i="11"/>
  <c r="E223" i="11"/>
  <c r="D223" i="11"/>
  <c r="M223" i="11"/>
  <c r="L223" i="11"/>
  <c r="K223" i="11"/>
  <c r="I223" i="11"/>
  <c r="G223" i="11"/>
  <c r="B224" i="11"/>
  <c r="C225" i="11"/>
  <c r="H78" i="11"/>
  <c r="J78" i="11" s="1"/>
  <c r="Z226" i="11" l="1"/>
  <c r="Y226" i="11"/>
  <c r="AB226" i="11"/>
  <c r="AA226" i="11"/>
  <c r="X226" i="11"/>
  <c r="W226" i="11"/>
  <c r="V226" i="11"/>
  <c r="U226" i="11"/>
  <c r="T226" i="11"/>
  <c r="S226" i="11"/>
  <c r="Q227" i="11"/>
  <c r="R228" i="11"/>
  <c r="Z81" i="11"/>
  <c r="AB81" i="11" s="1"/>
  <c r="C226" i="11"/>
  <c r="B225" i="11"/>
  <c r="H224" i="11"/>
  <c r="K224" i="11"/>
  <c r="I224" i="11"/>
  <c r="G224" i="11"/>
  <c r="F224" i="11"/>
  <c r="E224" i="11"/>
  <c r="D224" i="11"/>
  <c r="M224" i="11"/>
  <c r="L224" i="11"/>
  <c r="J224" i="11"/>
  <c r="K78" i="11"/>
  <c r="L78" i="11" s="1"/>
  <c r="G79" i="11" s="1"/>
  <c r="AA81" i="11" l="1"/>
  <c r="V82" i="11" s="1"/>
  <c r="X82" i="11" s="1"/>
  <c r="M78" i="11"/>
  <c r="Z227" i="11"/>
  <c r="Y227" i="11"/>
  <c r="AB227" i="11"/>
  <c r="S227" i="11"/>
  <c r="AA227" i="11"/>
  <c r="X227" i="11"/>
  <c r="W227" i="11"/>
  <c r="V227" i="11"/>
  <c r="U227" i="11"/>
  <c r="T227" i="11"/>
  <c r="Q228" i="11"/>
  <c r="R229" i="11"/>
  <c r="I79" i="11"/>
  <c r="H225" i="11"/>
  <c r="L225" i="11"/>
  <c r="K225" i="11"/>
  <c r="J225" i="11"/>
  <c r="I225" i="11"/>
  <c r="G225" i="11"/>
  <c r="F225" i="11"/>
  <c r="M225" i="11"/>
  <c r="E225" i="11"/>
  <c r="D225" i="11"/>
  <c r="B226" i="11"/>
  <c r="C227" i="11"/>
  <c r="Q229" i="11" l="1"/>
  <c r="R230" i="11"/>
  <c r="Z228" i="11"/>
  <c r="Y228" i="11"/>
  <c r="S228" i="11"/>
  <c r="U228" i="11"/>
  <c r="T228" i="11"/>
  <c r="AB228" i="11"/>
  <c r="AA228" i="11"/>
  <c r="X228" i="11"/>
  <c r="W228" i="11"/>
  <c r="V228" i="11"/>
  <c r="W82" i="11"/>
  <c r="Y82" i="11" s="1"/>
  <c r="B227" i="11"/>
  <c r="C228" i="11"/>
  <c r="H79" i="11"/>
  <c r="J79" i="11" s="1"/>
  <c r="H226" i="11"/>
  <c r="M226" i="11"/>
  <c r="L226" i="11"/>
  <c r="K226" i="11"/>
  <c r="J226" i="11"/>
  <c r="I226" i="11"/>
  <c r="D226" i="11"/>
  <c r="G226" i="11"/>
  <c r="F226" i="11"/>
  <c r="E226" i="11"/>
  <c r="R231" i="11" l="1"/>
  <c r="Q230" i="11"/>
  <c r="Z82" i="11"/>
  <c r="AB82" i="11" s="1"/>
  <c r="Z229" i="11"/>
  <c r="Y229" i="11"/>
  <c r="U229" i="11"/>
  <c r="X229" i="11"/>
  <c r="W229" i="11"/>
  <c r="V229" i="11"/>
  <c r="T229" i="11"/>
  <c r="S229" i="11"/>
  <c r="AB229" i="11"/>
  <c r="AA229" i="11"/>
  <c r="K79" i="11"/>
  <c r="M79" i="11" s="1"/>
  <c r="C229" i="11"/>
  <c r="B228" i="11"/>
  <c r="H227" i="11"/>
  <c r="M227" i="11"/>
  <c r="L227" i="11"/>
  <c r="K227" i="11"/>
  <c r="J227" i="11"/>
  <c r="I227" i="11"/>
  <c r="G227" i="11"/>
  <c r="F227" i="11"/>
  <c r="E227" i="11"/>
  <c r="D227" i="11"/>
  <c r="AA82" i="11" l="1"/>
  <c r="V83" i="11" s="1"/>
  <c r="X83" i="11" s="1"/>
  <c r="Z230" i="11"/>
  <c r="Y230" i="11"/>
  <c r="W230" i="11"/>
  <c r="AB230" i="11"/>
  <c r="AA230" i="11"/>
  <c r="X230" i="11"/>
  <c r="V230" i="11"/>
  <c r="U230" i="11"/>
  <c r="T230" i="11"/>
  <c r="S230" i="11"/>
  <c r="Q231" i="11"/>
  <c r="R232" i="11"/>
  <c r="B229" i="11"/>
  <c r="C230" i="11"/>
  <c r="H228" i="11"/>
  <c r="D228" i="11"/>
  <c r="M228" i="11"/>
  <c r="F228" i="11"/>
  <c r="E228" i="11"/>
  <c r="L228" i="11"/>
  <c r="K228" i="11"/>
  <c r="J228" i="11"/>
  <c r="I228" i="11"/>
  <c r="G228" i="11"/>
  <c r="L79" i="11"/>
  <c r="G80" i="11" s="1"/>
  <c r="Q232" i="11" l="1"/>
  <c r="R233" i="11"/>
  <c r="W83" i="11"/>
  <c r="Y83" i="11" s="1"/>
  <c r="Z231" i="11"/>
  <c r="Y231" i="11"/>
  <c r="AA231" i="11"/>
  <c r="AB231" i="11"/>
  <c r="U231" i="11"/>
  <c r="T231" i="11"/>
  <c r="S231" i="11"/>
  <c r="X231" i="11"/>
  <c r="W231" i="11"/>
  <c r="V231" i="11"/>
  <c r="B230" i="11"/>
  <c r="C231" i="11"/>
  <c r="I80" i="11"/>
  <c r="H229" i="11"/>
  <c r="F229" i="11"/>
  <c r="E229" i="11"/>
  <c r="D229" i="11"/>
  <c r="M229" i="11"/>
  <c r="L229" i="11"/>
  <c r="K229" i="11"/>
  <c r="J229" i="11"/>
  <c r="I229" i="11"/>
  <c r="G229" i="11"/>
  <c r="Z83" i="11" l="1"/>
  <c r="AA83" i="11" s="1"/>
  <c r="V84" i="11" s="1"/>
  <c r="Q233" i="11"/>
  <c r="R234" i="11"/>
  <c r="Z232" i="11"/>
  <c r="Y232" i="11"/>
  <c r="T232" i="11"/>
  <c r="S232" i="11"/>
  <c r="AB232" i="11"/>
  <c r="AA232" i="11"/>
  <c r="X232" i="11"/>
  <c r="W232" i="11"/>
  <c r="V232" i="11"/>
  <c r="U232" i="11"/>
  <c r="H80" i="11"/>
  <c r="J80" i="11" s="1"/>
  <c r="C232" i="11"/>
  <c r="B231" i="11"/>
  <c r="H230" i="11"/>
  <c r="D230" i="11"/>
  <c r="I230" i="11"/>
  <c r="G230" i="11"/>
  <c r="F230" i="11"/>
  <c r="E230" i="11"/>
  <c r="M230" i="11"/>
  <c r="L230" i="11"/>
  <c r="K230" i="11"/>
  <c r="J230" i="11"/>
  <c r="AB83" i="11" l="1"/>
  <c r="R235" i="11"/>
  <c r="Q234" i="11"/>
  <c r="Z233" i="11"/>
  <c r="Y233" i="11"/>
  <c r="W233" i="11"/>
  <c r="V233" i="11"/>
  <c r="U233" i="11"/>
  <c r="T233" i="11"/>
  <c r="S233" i="11"/>
  <c r="AA233" i="11"/>
  <c r="X233" i="11"/>
  <c r="AB233" i="11"/>
  <c r="X84" i="11"/>
  <c r="K80" i="11"/>
  <c r="L80" i="11" s="1"/>
  <c r="G81" i="11" s="1"/>
  <c r="H231" i="11"/>
  <c r="E231" i="11"/>
  <c r="K231" i="11"/>
  <c r="J231" i="11"/>
  <c r="I231" i="11"/>
  <c r="G231" i="11"/>
  <c r="F231" i="11"/>
  <c r="M231" i="11"/>
  <c r="L231" i="11"/>
  <c r="D231" i="11"/>
  <c r="B232" i="11"/>
  <c r="C233" i="11"/>
  <c r="M80" i="11" l="1"/>
  <c r="W84" i="11"/>
  <c r="Y84" i="11" s="1"/>
  <c r="Z234" i="11"/>
  <c r="Y234" i="11"/>
  <c r="S234" i="11"/>
  <c r="AB234" i="11"/>
  <c r="AA234" i="11"/>
  <c r="X234" i="11"/>
  <c r="W234" i="11"/>
  <c r="V234" i="11"/>
  <c r="U234" i="11"/>
  <c r="T234" i="11"/>
  <c r="R236" i="11"/>
  <c r="Q235" i="11"/>
  <c r="I81" i="11"/>
  <c r="C234" i="11"/>
  <c r="B233" i="11"/>
  <c r="H232" i="11"/>
  <c r="F232" i="11"/>
  <c r="M232" i="11"/>
  <c r="L232" i="11"/>
  <c r="K232" i="11"/>
  <c r="J232" i="11"/>
  <c r="I232" i="11"/>
  <c r="D232" i="11"/>
  <c r="G232" i="11"/>
  <c r="E232" i="11"/>
  <c r="Z235" i="11" l="1"/>
  <c r="Y235" i="11"/>
  <c r="U235" i="11"/>
  <c r="AB235" i="11"/>
  <c r="AA235" i="11"/>
  <c r="X235" i="11"/>
  <c r="W235" i="11"/>
  <c r="V235" i="11"/>
  <c r="T235" i="11"/>
  <c r="S235" i="11"/>
  <c r="Q236" i="11"/>
  <c r="R237" i="11"/>
  <c r="Z84" i="11"/>
  <c r="AB84" i="11" s="1"/>
  <c r="H233" i="11"/>
  <c r="G233" i="11"/>
  <c r="M233" i="11"/>
  <c r="L233" i="11"/>
  <c r="K233" i="11"/>
  <c r="J233" i="11"/>
  <c r="I233" i="11"/>
  <c r="F233" i="11"/>
  <c r="E233" i="11"/>
  <c r="D233" i="11"/>
  <c r="B234" i="11"/>
  <c r="C235" i="11"/>
  <c r="H81" i="11"/>
  <c r="J81" i="11" s="1"/>
  <c r="R238" i="11" l="1"/>
  <c r="Q237" i="11"/>
  <c r="AA84" i="11"/>
  <c r="V85" i="11" s="1"/>
  <c r="Z236" i="11"/>
  <c r="Y236" i="11"/>
  <c r="W236" i="11"/>
  <c r="S236" i="11"/>
  <c r="AB236" i="11"/>
  <c r="AA236" i="11"/>
  <c r="X236" i="11"/>
  <c r="V236" i="11"/>
  <c r="U236" i="11"/>
  <c r="T236" i="11"/>
  <c r="B235" i="11"/>
  <c r="C236" i="11"/>
  <c r="H234" i="11"/>
  <c r="I234" i="11"/>
  <c r="M234" i="11"/>
  <c r="F234" i="11"/>
  <c r="E234" i="11"/>
  <c r="D234" i="11"/>
  <c r="L234" i="11"/>
  <c r="K234" i="11"/>
  <c r="J234" i="11"/>
  <c r="G234" i="11"/>
  <c r="K81" i="11"/>
  <c r="M81" i="11" s="1"/>
  <c r="Z237" i="11" l="1"/>
  <c r="Y237" i="11"/>
  <c r="AA237" i="11"/>
  <c r="V237" i="11"/>
  <c r="U237" i="11"/>
  <c r="T237" i="11"/>
  <c r="S237" i="11"/>
  <c r="AB237" i="11"/>
  <c r="X237" i="11"/>
  <c r="W237" i="11"/>
  <c r="X85" i="11"/>
  <c r="Q238" i="11"/>
  <c r="R239" i="11"/>
  <c r="L81" i="11"/>
  <c r="G82" i="11" s="1"/>
  <c r="B236" i="11"/>
  <c r="C237" i="11"/>
  <c r="H235" i="11"/>
  <c r="J235" i="11"/>
  <c r="E235" i="11"/>
  <c r="D235" i="11"/>
  <c r="M235" i="11"/>
  <c r="L235" i="11"/>
  <c r="K235" i="11"/>
  <c r="I235" i="11"/>
  <c r="G235" i="11"/>
  <c r="F235" i="11"/>
  <c r="Z238" i="11" l="1"/>
  <c r="Y238" i="11"/>
  <c r="AA238" i="11"/>
  <c r="X238" i="11"/>
  <c r="W238" i="11"/>
  <c r="V238" i="11"/>
  <c r="U238" i="11"/>
  <c r="AB238" i="11"/>
  <c r="T238" i="11"/>
  <c r="S238" i="11"/>
  <c r="W85" i="11"/>
  <c r="Y85" i="11" s="1"/>
  <c r="Q239" i="11"/>
  <c r="R240" i="11"/>
  <c r="H236" i="11"/>
  <c r="K236" i="11"/>
  <c r="G236" i="11"/>
  <c r="F236" i="11"/>
  <c r="E236" i="11"/>
  <c r="D236" i="11"/>
  <c r="I236" i="11"/>
  <c r="M236" i="11"/>
  <c r="L236" i="11"/>
  <c r="J236" i="11"/>
  <c r="C238" i="11"/>
  <c r="B237" i="11"/>
  <c r="I82" i="11"/>
  <c r="Z85" i="11" l="1"/>
  <c r="AB85" i="11" s="1"/>
  <c r="Q240" i="11"/>
  <c r="R241" i="11"/>
  <c r="Z239" i="11"/>
  <c r="Y239" i="11"/>
  <c r="AB239" i="11"/>
  <c r="AA239" i="11"/>
  <c r="X239" i="11"/>
  <c r="W239" i="11"/>
  <c r="V239" i="11"/>
  <c r="U239" i="11"/>
  <c r="T239" i="11"/>
  <c r="S239" i="11"/>
  <c r="B238" i="11"/>
  <c r="C239" i="11"/>
  <c r="H82" i="11"/>
  <c r="J82" i="11" s="1"/>
  <c r="H237" i="11"/>
  <c r="L237" i="11"/>
  <c r="J237" i="11"/>
  <c r="I237" i="11"/>
  <c r="G237" i="11"/>
  <c r="F237" i="11"/>
  <c r="E237" i="11"/>
  <c r="M237" i="11"/>
  <c r="K237" i="11"/>
  <c r="D237" i="11"/>
  <c r="Z240" i="11" l="1"/>
  <c r="Y240" i="11"/>
  <c r="S240" i="11"/>
  <c r="V240" i="11"/>
  <c r="U240" i="11"/>
  <c r="T240" i="11"/>
  <c r="W240" i="11"/>
  <c r="X240" i="11"/>
  <c r="AA240" i="11"/>
  <c r="AB240" i="11"/>
  <c r="AA85" i="11"/>
  <c r="V86" i="11" s="1"/>
  <c r="Q241" i="11"/>
  <c r="R242" i="11"/>
  <c r="C240" i="11"/>
  <c r="B239" i="11"/>
  <c r="K82" i="11"/>
  <c r="L82" i="11" s="1"/>
  <c r="G83" i="11" s="1"/>
  <c r="H238" i="11"/>
  <c r="M238" i="11"/>
  <c r="L238" i="11"/>
  <c r="K238" i="11"/>
  <c r="J238" i="11"/>
  <c r="I238" i="11"/>
  <c r="G238" i="11"/>
  <c r="E238" i="11"/>
  <c r="D238" i="11"/>
  <c r="F238" i="11"/>
  <c r="Z241" i="11" l="1"/>
  <c r="Y241" i="11"/>
  <c r="U241" i="11"/>
  <c r="V241" i="11"/>
  <c r="T241" i="11"/>
  <c r="S241" i="11"/>
  <c r="AB241" i="11"/>
  <c r="AA241" i="11"/>
  <c r="X241" i="11"/>
  <c r="W241" i="11"/>
  <c r="X86" i="11"/>
  <c r="Q242" i="11"/>
  <c r="R243" i="11"/>
  <c r="I83" i="11"/>
  <c r="M82" i="11"/>
  <c r="H239" i="11"/>
  <c r="M239" i="11"/>
  <c r="L239" i="11"/>
  <c r="K239" i="11"/>
  <c r="J239" i="11"/>
  <c r="I239" i="11"/>
  <c r="G239" i="11"/>
  <c r="F239" i="11"/>
  <c r="E239" i="11"/>
  <c r="D239" i="11"/>
  <c r="C241" i="11"/>
  <c r="B240" i="11"/>
  <c r="R244" i="11" l="1"/>
  <c r="Q243" i="11"/>
  <c r="Z242" i="11"/>
  <c r="Y242" i="11"/>
  <c r="W242" i="11"/>
  <c r="AA242" i="11"/>
  <c r="X242" i="11"/>
  <c r="V242" i="11"/>
  <c r="U242" i="11"/>
  <c r="T242" i="11"/>
  <c r="AB242" i="11"/>
  <c r="S242" i="11"/>
  <c r="W86" i="11"/>
  <c r="Y86" i="11" s="1"/>
  <c r="H240" i="11"/>
  <c r="M240" i="11"/>
  <c r="L240" i="11"/>
  <c r="G240" i="11"/>
  <c r="F240" i="11"/>
  <c r="E240" i="11"/>
  <c r="D240" i="11"/>
  <c r="K240" i="11"/>
  <c r="J240" i="11"/>
  <c r="I240" i="11"/>
  <c r="B241" i="11"/>
  <c r="C242" i="11"/>
  <c r="H83" i="11"/>
  <c r="J83" i="11" s="1"/>
  <c r="Z243" i="11" l="1"/>
  <c r="Y243" i="11"/>
  <c r="AA243" i="11"/>
  <c r="AB243" i="11"/>
  <c r="X243" i="11"/>
  <c r="W243" i="11"/>
  <c r="V243" i="11"/>
  <c r="U243" i="11"/>
  <c r="T243" i="11"/>
  <c r="S243" i="11"/>
  <c r="Z86" i="11"/>
  <c r="AB86" i="11" s="1"/>
  <c r="Q244" i="11"/>
  <c r="R245" i="11"/>
  <c r="B242" i="11"/>
  <c r="C243" i="11"/>
  <c r="H241" i="11"/>
  <c r="E241" i="11"/>
  <c r="D241" i="11"/>
  <c r="M241" i="11"/>
  <c r="L241" i="11"/>
  <c r="K241" i="11"/>
  <c r="J241" i="11"/>
  <c r="I241" i="11"/>
  <c r="G241" i="11"/>
  <c r="F241" i="11"/>
  <c r="K83" i="11"/>
  <c r="M83" i="11" s="1"/>
  <c r="L83" i="11" l="1"/>
  <c r="G84" i="11" s="1"/>
  <c r="I84" i="11" s="1"/>
  <c r="Q245" i="11"/>
  <c r="R246" i="11"/>
  <c r="Z244" i="11"/>
  <c r="Y244" i="11"/>
  <c r="AB244" i="11"/>
  <c r="X244" i="11"/>
  <c r="W244" i="11"/>
  <c r="V244" i="11"/>
  <c r="U244" i="11"/>
  <c r="T244" i="11"/>
  <c r="S244" i="11"/>
  <c r="AA244" i="11"/>
  <c r="AA86" i="11"/>
  <c r="V87" i="11" s="1"/>
  <c r="C244" i="11"/>
  <c r="B243" i="11"/>
  <c r="H242" i="11"/>
  <c r="D242" i="11"/>
  <c r="G242" i="11"/>
  <c r="F242" i="11"/>
  <c r="E242" i="11"/>
  <c r="J242" i="11"/>
  <c r="I242" i="11"/>
  <c r="M242" i="11"/>
  <c r="L242" i="11"/>
  <c r="K242" i="11"/>
  <c r="R247" i="11" l="1"/>
  <c r="Q246" i="11"/>
  <c r="X87" i="11"/>
  <c r="Z245" i="11"/>
  <c r="Y245" i="11"/>
  <c r="U245" i="11"/>
  <c r="T245" i="11"/>
  <c r="S245" i="11"/>
  <c r="AB245" i="11"/>
  <c r="AA245" i="11"/>
  <c r="X245" i="11"/>
  <c r="W245" i="11"/>
  <c r="V245" i="11"/>
  <c r="H243" i="11"/>
  <c r="E243" i="11"/>
  <c r="J243" i="11"/>
  <c r="I243" i="11"/>
  <c r="G243" i="11"/>
  <c r="F243" i="11"/>
  <c r="D243" i="11"/>
  <c r="M243" i="11"/>
  <c r="L243" i="11"/>
  <c r="K243" i="11"/>
  <c r="B244" i="11"/>
  <c r="C245" i="11"/>
  <c r="H84" i="11"/>
  <c r="J84" i="11" s="1"/>
  <c r="W87" i="11" l="1"/>
  <c r="Y87" i="11" s="1"/>
  <c r="Z246" i="11"/>
  <c r="Y246" i="11"/>
  <c r="S246" i="11"/>
  <c r="X246" i="11"/>
  <c r="W246" i="11"/>
  <c r="V246" i="11"/>
  <c r="U246" i="11"/>
  <c r="T246" i="11"/>
  <c r="AB246" i="11"/>
  <c r="AA246" i="11"/>
  <c r="Q247" i="11"/>
  <c r="R248" i="11"/>
  <c r="H244" i="11"/>
  <c r="F244" i="11"/>
  <c r="L244" i="11"/>
  <c r="K244" i="11"/>
  <c r="J244" i="11"/>
  <c r="I244" i="11"/>
  <c r="G244" i="11"/>
  <c r="E244" i="11"/>
  <c r="D244" i="11"/>
  <c r="M244" i="11"/>
  <c r="C246" i="11"/>
  <c r="B245" i="11"/>
  <c r="K84" i="11"/>
  <c r="L84" i="11" s="1"/>
  <c r="G85" i="11" s="1"/>
  <c r="M84" i="11" l="1"/>
  <c r="Q248" i="11"/>
  <c r="R249" i="11"/>
  <c r="Z247" i="11"/>
  <c r="Y247" i="11"/>
  <c r="U247" i="11"/>
  <c r="AB247" i="11"/>
  <c r="AA247" i="11"/>
  <c r="X247" i="11"/>
  <c r="W247" i="11"/>
  <c r="S247" i="11"/>
  <c r="V247" i="11"/>
  <c r="T247" i="11"/>
  <c r="Z87" i="11"/>
  <c r="AB87" i="11" s="1"/>
  <c r="I85" i="11"/>
  <c r="H245" i="11"/>
  <c r="G245" i="11"/>
  <c r="M245" i="11"/>
  <c r="L245" i="11"/>
  <c r="K245" i="11"/>
  <c r="J245" i="11"/>
  <c r="I245" i="11"/>
  <c r="F245" i="11"/>
  <c r="E245" i="11"/>
  <c r="D245" i="11"/>
  <c r="B246" i="11"/>
  <c r="C247" i="11"/>
  <c r="AA87" i="11" l="1"/>
  <c r="V88" i="11" s="1"/>
  <c r="X88" i="11" s="1"/>
  <c r="Q249" i="11"/>
  <c r="R250" i="11"/>
  <c r="Z248" i="11"/>
  <c r="Y248" i="11"/>
  <c r="W248" i="11"/>
  <c r="AB248" i="11"/>
  <c r="AA248" i="11"/>
  <c r="X248" i="11"/>
  <c r="V248" i="11"/>
  <c r="U248" i="11"/>
  <c r="T248" i="11"/>
  <c r="S248" i="11"/>
  <c r="B247" i="11"/>
  <c r="C248" i="11"/>
  <c r="H246" i="11"/>
  <c r="I246" i="11"/>
  <c r="M246" i="11"/>
  <c r="L246" i="11"/>
  <c r="G246" i="11"/>
  <c r="F246" i="11"/>
  <c r="E246" i="11"/>
  <c r="D246" i="11"/>
  <c r="K246" i="11"/>
  <c r="J246" i="11"/>
  <c r="H85" i="11"/>
  <c r="J85" i="11" s="1"/>
  <c r="R251" i="11" l="1"/>
  <c r="Q250" i="11"/>
  <c r="Z249" i="11"/>
  <c r="Y249" i="11"/>
  <c r="AA249" i="11"/>
  <c r="T249" i="11"/>
  <c r="S249" i="11"/>
  <c r="V249" i="11"/>
  <c r="U249" i="11"/>
  <c r="AB249" i="11"/>
  <c r="X249" i="11"/>
  <c r="W249" i="11"/>
  <c r="W88" i="11"/>
  <c r="Y88" i="11" s="1"/>
  <c r="B248" i="11"/>
  <c r="C249" i="11"/>
  <c r="K85" i="11"/>
  <c r="M85" i="11" s="1"/>
  <c r="H247" i="11"/>
  <c r="J247" i="11"/>
  <c r="D247" i="11"/>
  <c r="M247" i="11"/>
  <c r="L247" i="11"/>
  <c r="K247" i="11"/>
  <c r="I247" i="11"/>
  <c r="G247" i="11"/>
  <c r="F247" i="11"/>
  <c r="E247" i="11"/>
  <c r="Z88" i="11" l="1"/>
  <c r="AB88" i="11" s="1"/>
  <c r="Z250" i="11"/>
  <c r="Y250" i="11"/>
  <c r="W250" i="11"/>
  <c r="V250" i="11"/>
  <c r="U250" i="11"/>
  <c r="T250" i="11"/>
  <c r="S250" i="11"/>
  <c r="AB250" i="11"/>
  <c r="AA250" i="11"/>
  <c r="X250" i="11"/>
  <c r="Q251" i="11"/>
  <c r="R252" i="11"/>
  <c r="L85" i="11"/>
  <c r="G86" i="11" s="1"/>
  <c r="C250" i="11"/>
  <c r="B249" i="11"/>
  <c r="H248" i="11"/>
  <c r="K248" i="11"/>
  <c r="F248" i="11"/>
  <c r="E248" i="11"/>
  <c r="D248" i="11"/>
  <c r="J248" i="11"/>
  <c r="I248" i="11"/>
  <c r="G248" i="11"/>
  <c r="M248" i="11"/>
  <c r="L248" i="11"/>
  <c r="Z251" i="11" l="1"/>
  <c r="Y251" i="11"/>
  <c r="AB251" i="11"/>
  <c r="AA251" i="11"/>
  <c r="X251" i="11"/>
  <c r="W251" i="11"/>
  <c r="V251" i="11"/>
  <c r="U251" i="11"/>
  <c r="T251" i="11"/>
  <c r="S251" i="11"/>
  <c r="R253" i="11"/>
  <c r="Q252" i="11"/>
  <c r="AA88" i="11"/>
  <c r="V89" i="11" s="1"/>
  <c r="B250" i="11"/>
  <c r="C251" i="11"/>
  <c r="H249" i="11"/>
  <c r="L249" i="11"/>
  <c r="I249" i="11"/>
  <c r="G249" i="11"/>
  <c r="F249" i="11"/>
  <c r="E249" i="11"/>
  <c r="D249" i="11"/>
  <c r="M249" i="11"/>
  <c r="K249" i="11"/>
  <c r="J249" i="11"/>
  <c r="I86" i="11"/>
  <c r="Z252" i="11" l="1"/>
  <c r="Y252" i="11"/>
  <c r="S252" i="11"/>
  <c r="AB252" i="11"/>
  <c r="AA252" i="11"/>
  <c r="X252" i="11"/>
  <c r="W252" i="11"/>
  <c r="V252" i="11"/>
  <c r="U252" i="11"/>
  <c r="T252" i="11"/>
  <c r="Q253" i="11"/>
  <c r="R254" i="11"/>
  <c r="X89" i="11"/>
  <c r="C252" i="11"/>
  <c r="B251" i="11"/>
  <c r="H86" i="11"/>
  <c r="J86" i="11" s="1"/>
  <c r="H250" i="11"/>
  <c r="M250" i="11"/>
  <c r="K250" i="11"/>
  <c r="J250" i="11"/>
  <c r="I250" i="11"/>
  <c r="G250" i="11"/>
  <c r="F250" i="11"/>
  <c r="L250" i="11"/>
  <c r="E250" i="11"/>
  <c r="D250" i="11"/>
  <c r="R255" i="11" l="1"/>
  <c r="Q254" i="11"/>
  <c r="Z253" i="11"/>
  <c r="Y253" i="11"/>
  <c r="U253" i="11"/>
  <c r="S253" i="11"/>
  <c r="AA253" i="11"/>
  <c r="X253" i="11"/>
  <c r="W253" i="11"/>
  <c r="V253" i="11"/>
  <c r="T253" i="11"/>
  <c r="AB253" i="11"/>
  <c r="W89" i="11"/>
  <c r="Y89" i="11" s="1"/>
  <c r="H251" i="11"/>
  <c r="M251" i="11"/>
  <c r="L251" i="11"/>
  <c r="K251" i="11"/>
  <c r="J251" i="11"/>
  <c r="I251" i="11"/>
  <c r="G251" i="11"/>
  <c r="F251" i="11"/>
  <c r="E251" i="11"/>
  <c r="D251" i="11"/>
  <c r="K86" i="11"/>
  <c r="M86" i="11" s="1"/>
  <c r="C253" i="11"/>
  <c r="B252" i="11"/>
  <c r="Z89" i="11" l="1"/>
  <c r="AA89" i="11" s="1"/>
  <c r="V90" i="11" s="1"/>
  <c r="Z254" i="11"/>
  <c r="Y254" i="11"/>
  <c r="W254" i="11"/>
  <c r="V254" i="11"/>
  <c r="U254" i="11"/>
  <c r="T254" i="11"/>
  <c r="S254" i="11"/>
  <c r="AB254" i="11"/>
  <c r="AA254" i="11"/>
  <c r="X254" i="11"/>
  <c r="R256" i="11"/>
  <c r="Q255" i="11"/>
  <c r="H252" i="11"/>
  <c r="M252" i="11"/>
  <c r="L252" i="11"/>
  <c r="K252" i="11"/>
  <c r="I252" i="11"/>
  <c r="G252" i="11"/>
  <c r="F252" i="11"/>
  <c r="E252" i="11"/>
  <c r="D252" i="11"/>
  <c r="J252" i="11"/>
  <c r="B253" i="11"/>
  <c r="C254" i="11"/>
  <c r="L86" i="11"/>
  <c r="G87" i="11" s="1"/>
  <c r="AB89" i="11" l="1"/>
  <c r="Z255" i="11"/>
  <c r="Y255" i="11"/>
  <c r="AA255" i="11"/>
  <c r="AB255" i="11"/>
  <c r="X255" i="11"/>
  <c r="W255" i="11"/>
  <c r="V255" i="11"/>
  <c r="U255" i="11"/>
  <c r="T255" i="11"/>
  <c r="S255" i="11"/>
  <c r="R257" i="11"/>
  <c r="Q256" i="11"/>
  <c r="X90" i="11"/>
  <c r="B254" i="11"/>
  <c r="C255" i="11"/>
  <c r="H253" i="11"/>
  <c r="D253" i="11"/>
  <c r="M253" i="11"/>
  <c r="L253" i="11"/>
  <c r="K253" i="11"/>
  <c r="J253" i="11"/>
  <c r="I253" i="11"/>
  <c r="G253" i="11"/>
  <c r="F253" i="11"/>
  <c r="E253" i="11"/>
  <c r="I87" i="11"/>
  <c r="Q257" i="11" l="1"/>
  <c r="R258" i="11"/>
  <c r="Z256" i="11"/>
  <c r="Y256" i="11"/>
  <c r="AB256" i="11"/>
  <c r="AA256" i="11"/>
  <c r="X256" i="11"/>
  <c r="S256" i="11"/>
  <c r="W256" i="11"/>
  <c r="V256" i="11"/>
  <c r="U256" i="11"/>
  <c r="T256" i="11"/>
  <c r="W90" i="11"/>
  <c r="Y90" i="11" s="1"/>
  <c r="C256" i="11"/>
  <c r="B255" i="11"/>
  <c r="H87" i="11"/>
  <c r="J87" i="11" s="1"/>
  <c r="H254" i="11"/>
  <c r="D254" i="11"/>
  <c r="F254" i="11"/>
  <c r="E254" i="11"/>
  <c r="K254" i="11"/>
  <c r="J254" i="11"/>
  <c r="I254" i="11"/>
  <c r="G254" i="11"/>
  <c r="M254" i="11"/>
  <c r="L254" i="11"/>
  <c r="Z90" i="11" l="1"/>
  <c r="AA90" i="11" s="1"/>
  <c r="V91" i="11" s="1"/>
  <c r="Q258" i="11"/>
  <c r="R259" i="11"/>
  <c r="Z257" i="11"/>
  <c r="Y257" i="11"/>
  <c r="S257" i="11"/>
  <c r="AB257" i="11"/>
  <c r="AA257" i="11"/>
  <c r="X257" i="11"/>
  <c r="W257" i="11"/>
  <c r="V257" i="11"/>
  <c r="U257" i="11"/>
  <c r="T257" i="11"/>
  <c r="K87" i="11"/>
  <c r="M87" i="11" s="1"/>
  <c r="H255" i="11"/>
  <c r="E255" i="11"/>
  <c r="I255" i="11"/>
  <c r="G255" i="11"/>
  <c r="F255" i="11"/>
  <c r="D255" i="11"/>
  <c r="M255" i="11"/>
  <c r="L255" i="11"/>
  <c r="K255" i="11"/>
  <c r="J255" i="11"/>
  <c r="B256" i="11"/>
  <c r="C257" i="11"/>
  <c r="AB90" i="11" l="1"/>
  <c r="R260" i="11"/>
  <c r="Q259" i="11"/>
  <c r="Z258" i="11"/>
  <c r="Y258" i="11"/>
  <c r="S258" i="11"/>
  <c r="V258" i="11"/>
  <c r="U258" i="11"/>
  <c r="T258" i="11"/>
  <c r="W258" i="11"/>
  <c r="AB258" i="11"/>
  <c r="AA258" i="11"/>
  <c r="X258" i="11"/>
  <c r="X91" i="11"/>
  <c r="L87" i="11"/>
  <c r="G88" i="11" s="1"/>
  <c r="C258" i="11"/>
  <c r="B257" i="11"/>
  <c r="H256" i="11"/>
  <c r="F256" i="11"/>
  <c r="K256" i="11"/>
  <c r="J256" i="11"/>
  <c r="I256" i="11"/>
  <c r="G256" i="11"/>
  <c r="E256" i="11"/>
  <c r="M256" i="11"/>
  <c r="L256" i="11"/>
  <c r="D256" i="11"/>
  <c r="Z259" i="11" l="1"/>
  <c r="Y259" i="11"/>
  <c r="U259" i="11"/>
  <c r="AA259" i="11"/>
  <c r="X259" i="11"/>
  <c r="W259" i="11"/>
  <c r="V259" i="11"/>
  <c r="T259" i="11"/>
  <c r="AB259" i="11"/>
  <c r="S259" i="11"/>
  <c r="W91" i="11"/>
  <c r="Y91" i="11" s="1"/>
  <c r="R261" i="11"/>
  <c r="Q260" i="11"/>
  <c r="H257" i="11"/>
  <c r="G257" i="11"/>
  <c r="M257" i="11"/>
  <c r="L257" i="11"/>
  <c r="K257" i="11"/>
  <c r="J257" i="11"/>
  <c r="I257" i="11"/>
  <c r="F257" i="11"/>
  <c r="E257" i="11"/>
  <c r="D257" i="11"/>
  <c r="C259" i="11"/>
  <c r="B258" i="11"/>
  <c r="I88" i="11"/>
  <c r="Z91" i="11" l="1"/>
  <c r="AB91" i="11" s="1"/>
  <c r="Z260" i="11"/>
  <c r="Y260" i="11"/>
  <c r="W260" i="11"/>
  <c r="AB260" i="11"/>
  <c r="AA260" i="11"/>
  <c r="X260" i="11"/>
  <c r="U260" i="11"/>
  <c r="T260" i="11"/>
  <c r="S260" i="11"/>
  <c r="V260" i="11"/>
  <c r="Q261" i="11"/>
  <c r="R262" i="11"/>
  <c r="B259" i="11"/>
  <c r="C260" i="11"/>
  <c r="H258" i="11"/>
  <c r="I258" i="11"/>
  <c r="F258" i="11"/>
  <c r="E258" i="11"/>
  <c r="M258" i="11"/>
  <c r="L258" i="11"/>
  <c r="K258" i="11"/>
  <c r="J258" i="11"/>
  <c r="G258" i="11"/>
  <c r="D258" i="11"/>
  <c r="H88" i="11"/>
  <c r="J88" i="11" s="1"/>
  <c r="Q262" i="11" l="1"/>
  <c r="R263" i="11"/>
  <c r="Z261" i="11"/>
  <c r="Y261" i="11"/>
  <c r="AA261" i="11"/>
  <c r="AB261" i="11"/>
  <c r="X261" i="11"/>
  <c r="W261" i="11"/>
  <c r="V261" i="11"/>
  <c r="U261" i="11"/>
  <c r="T261" i="11"/>
  <c r="S261" i="11"/>
  <c r="AA91" i="11"/>
  <c r="V92" i="11" s="1"/>
  <c r="C261" i="11"/>
  <c r="B260" i="11"/>
  <c r="K88" i="11"/>
  <c r="M88" i="11" s="1"/>
  <c r="H259" i="11"/>
  <c r="J259" i="11"/>
  <c r="I259" i="11"/>
  <c r="G259" i="11"/>
  <c r="F259" i="11"/>
  <c r="E259" i="11"/>
  <c r="D259" i="11"/>
  <c r="M259" i="11"/>
  <c r="L259" i="11"/>
  <c r="K259" i="11"/>
  <c r="Q263" i="11" l="1"/>
  <c r="R264" i="11"/>
  <c r="X92" i="11"/>
  <c r="Z262" i="11"/>
  <c r="Y262" i="11"/>
  <c r="U262" i="11"/>
  <c r="T262" i="11"/>
  <c r="S262" i="11"/>
  <c r="AA262" i="11"/>
  <c r="X262" i="11"/>
  <c r="W262" i="11"/>
  <c r="V262" i="11"/>
  <c r="AB262" i="11"/>
  <c r="L88" i="11"/>
  <c r="G89" i="11" s="1"/>
  <c r="H260" i="11"/>
  <c r="K260" i="11"/>
  <c r="J260" i="11"/>
  <c r="I260" i="11"/>
  <c r="G260" i="11"/>
  <c r="M260" i="11"/>
  <c r="L260" i="11"/>
  <c r="F260" i="11"/>
  <c r="E260" i="11"/>
  <c r="D260" i="11"/>
  <c r="B261" i="11"/>
  <c r="C262" i="11"/>
  <c r="W92" i="11" l="1"/>
  <c r="Y92" i="11" s="1"/>
  <c r="R265" i="11"/>
  <c r="Q264" i="11"/>
  <c r="Z263" i="11"/>
  <c r="Y263" i="11"/>
  <c r="X263" i="11"/>
  <c r="W263" i="11"/>
  <c r="V263" i="11"/>
  <c r="U263" i="11"/>
  <c r="T263" i="11"/>
  <c r="AB263" i="11"/>
  <c r="AA263" i="11"/>
  <c r="S263" i="11"/>
  <c r="H261" i="11"/>
  <c r="L261" i="11"/>
  <c r="K261" i="11"/>
  <c r="J261" i="11"/>
  <c r="I261" i="11"/>
  <c r="M261" i="11"/>
  <c r="G261" i="11"/>
  <c r="F261" i="11"/>
  <c r="E261" i="11"/>
  <c r="D261" i="11"/>
  <c r="C263" i="11"/>
  <c r="B262" i="11"/>
  <c r="I89" i="11"/>
  <c r="Z264" i="11" l="1"/>
  <c r="Y264" i="11"/>
  <c r="S264" i="11"/>
  <c r="AB264" i="11"/>
  <c r="AA264" i="11"/>
  <c r="X264" i="11"/>
  <c r="W264" i="11"/>
  <c r="V264" i="11"/>
  <c r="U264" i="11"/>
  <c r="T264" i="11"/>
  <c r="Q265" i="11"/>
  <c r="R266" i="11"/>
  <c r="Z92" i="11"/>
  <c r="AB92" i="11" s="1"/>
  <c r="C264" i="11"/>
  <c r="B263" i="11"/>
  <c r="H262" i="11"/>
  <c r="M262" i="11"/>
  <c r="L262" i="11"/>
  <c r="K262" i="11"/>
  <c r="J262" i="11"/>
  <c r="I262" i="11"/>
  <c r="G262" i="11"/>
  <c r="F262" i="11"/>
  <c r="E262" i="11"/>
  <c r="D262" i="11"/>
  <c r="H89" i="11"/>
  <c r="J89" i="11" s="1"/>
  <c r="Z265" i="11" l="1"/>
  <c r="Y265" i="11"/>
  <c r="U265" i="11"/>
  <c r="T265" i="11"/>
  <c r="S265" i="11"/>
  <c r="AB265" i="11"/>
  <c r="AA265" i="11"/>
  <c r="X265" i="11"/>
  <c r="W265" i="11"/>
  <c r="V265" i="11"/>
  <c r="Q266" i="11"/>
  <c r="R267" i="11"/>
  <c r="AA92" i="11"/>
  <c r="V93" i="11" s="1"/>
  <c r="H263" i="11"/>
  <c r="M263" i="11"/>
  <c r="L263" i="11"/>
  <c r="K263" i="11"/>
  <c r="J263" i="11"/>
  <c r="I263" i="11"/>
  <c r="G263" i="11"/>
  <c r="F263" i="11"/>
  <c r="E263" i="11"/>
  <c r="D263" i="11"/>
  <c r="K89" i="11"/>
  <c r="M89" i="11" s="1"/>
  <c r="C265" i="11"/>
  <c r="B264" i="11"/>
  <c r="R268" i="11" l="1"/>
  <c r="Q267" i="11"/>
  <c r="Z266" i="11"/>
  <c r="Y266" i="11"/>
  <c r="W266" i="11"/>
  <c r="U266" i="11"/>
  <c r="T266" i="11"/>
  <c r="S266" i="11"/>
  <c r="AA266" i="11"/>
  <c r="X266" i="11"/>
  <c r="V266" i="11"/>
  <c r="AB266" i="11"/>
  <c r="X93" i="11"/>
  <c r="H264" i="11"/>
  <c r="M264" i="11"/>
  <c r="L264" i="11"/>
  <c r="F264" i="11"/>
  <c r="E264" i="11"/>
  <c r="D264" i="11"/>
  <c r="J264" i="11"/>
  <c r="I264" i="11"/>
  <c r="G264" i="11"/>
  <c r="K264" i="11"/>
  <c r="L89" i="11"/>
  <c r="G90" i="11" s="1"/>
  <c r="C266" i="11"/>
  <c r="B265" i="11"/>
  <c r="W93" i="11" l="1"/>
  <c r="Y93" i="11" s="1"/>
  <c r="Z267" i="11"/>
  <c r="Y267" i="11"/>
  <c r="AA267" i="11"/>
  <c r="W267" i="11"/>
  <c r="V267" i="11"/>
  <c r="U267" i="11"/>
  <c r="AB267" i="11"/>
  <c r="X267" i="11"/>
  <c r="T267" i="11"/>
  <c r="S267" i="11"/>
  <c r="Q268" i="11"/>
  <c r="R269" i="11"/>
  <c r="I90" i="11"/>
  <c r="C267" i="11"/>
  <c r="B266" i="11"/>
  <c r="H265" i="11"/>
  <c r="M265" i="11"/>
  <c r="L265" i="11"/>
  <c r="K265" i="11"/>
  <c r="J265" i="11"/>
  <c r="I265" i="11"/>
  <c r="G265" i="11"/>
  <c r="F265" i="11"/>
  <c r="E265" i="11"/>
  <c r="D265" i="11"/>
  <c r="Q269" i="11" l="1"/>
  <c r="R270" i="11"/>
  <c r="Z93" i="11"/>
  <c r="AB93" i="11" s="1"/>
  <c r="Z268" i="11"/>
  <c r="Y268" i="11"/>
  <c r="AA268" i="11"/>
  <c r="X268" i="11"/>
  <c r="W268" i="11"/>
  <c r="U268" i="11"/>
  <c r="T268" i="11"/>
  <c r="S268" i="11"/>
  <c r="V268" i="11"/>
  <c r="AB268" i="11"/>
  <c r="C268" i="11"/>
  <c r="B267" i="11"/>
  <c r="H266" i="11"/>
  <c r="D266" i="11"/>
  <c r="M266" i="11"/>
  <c r="L266" i="11"/>
  <c r="K266" i="11"/>
  <c r="J266" i="11"/>
  <c r="I266" i="11"/>
  <c r="G266" i="11"/>
  <c r="F266" i="11"/>
  <c r="E266" i="11"/>
  <c r="H90" i="11"/>
  <c r="J90" i="11" s="1"/>
  <c r="AA93" i="11" l="1"/>
  <c r="V94" i="11" s="1"/>
  <c r="X94" i="11" s="1"/>
  <c r="Q270" i="11"/>
  <c r="R271" i="11"/>
  <c r="Z269" i="11"/>
  <c r="Y269" i="11"/>
  <c r="AB269" i="11"/>
  <c r="AA269" i="11"/>
  <c r="X269" i="11"/>
  <c r="W269" i="11"/>
  <c r="V269" i="11"/>
  <c r="U269" i="11"/>
  <c r="T269" i="11"/>
  <c r="S269" i="11"/>
  <c r="H267" i="11"/>
  <c r="E267" i="11"/>
  <c r="D267" i="11"/>
  <c r="J267" i="11"/>
  <c r="I267" i="11"/>
  <c r="G267" i="11"/>
  <c r="F267" i="11"/>
  <c r="K267" i="11"/>
  <c r="M267" i="11"/>
  <c r="L267" i="11"/>
  <c r="K90" i="11"/>
  <c r="M90" i="11" s="1"/>
  <c r="C269" i="11"/>
  <c r="B268" i="11"/>
  <c r="Q271" i="11" l="1"/>
  <c r="R272" i="11"/>
  <c r="W94" i="11"/>
  <c r="Y94" i="11" s="1"/>
  <c r="Z270" i="11"/>
  <c r="Y270" i="11"/>
  <c r="S270" i="11"/>
  <c r="U270" i="11"/>
  <c r="T270" i="11"/>
  <c r="AB270" i="11"/>
  <c r="AA270" i="11"/>
  <c r="X270" i="11"/>
  <c r="W270" i="11"/>
  <c r="V270" i="11"/>
  <c r="L90" i="11"/>
  <c r="G91" i="11" s="1"/>
  <c r="H268" i="11"/>
  <c r="F268" i="11"/>
  <c r="E268" i="11"/>
  <c r="D268" i="11"/>
  <c r="M268" i="11"/>
  <c r="L268" i="11"/>
  <c r="K268" i="11"/>
  <c r="J268" i="11"/>
  <c r="I268" i="11"/>
  <c r="G268" i="11"/>
  <c r="B269" i="11"/>
  <c r="C270" i="11"/>
  <c r="Z94" i="11" l="1"/>
  <c r="AB94" i="11" s="1"/>
  <c r="Q272" i="11"/>
  <c r="R273" i="11"/>
  <c r="Z271" i="11"/>
  <c r="Y271" i="11"/>
  <c r="U271" i="11"/>
  <c r="S271" i="11"/>
  <c r="AB271" i="11"/>
  <c r="AA271" i="11"/>
  <c r="X271" i="11"/>
  <c r="W271" i="11"/>
  <c r="V271" i="11"/>
  <c r="T271" i="11"/>
  <c r="H269" i="11"/>
  <c r="G269" i="11"/>
  <c r="F269" i="11"/>
  <c r="E269" i="11"/>
  <c r="D269" i="11"/>
  <c r="J269" i="11"/>
  <c r="I269" i="11"/>
  <c r="M269" i="11"/>
  <c r="L269" i="11"/>
  <c r="K269" i="11"/>
  <c r="C271" i="11"/>
  <c r="B270" i="11"/>
  <c r="I91" i="11"/>
  <c r="R274" i="11" l="1"/>
  <c r="Q273" i="11"/>
  <c r="Z272" i="11"/>
  <c r="Y272" i="11"/>
  <c r="W272" i="11"/>
  <c r="U272" i="11"/>
  <c r="T272" i="11"/>
  <c r="S272" i="11"/>
  <c r="AB272" i="11"/>
  <c r="AA272" i="11"/>
  <c r="X272" i="11"/>
  <c r="V272" i="11"/>
  <c r="AA94" i="11"/>
  <c r="V95" i="11" s="1"/>
  <c r="H270" i="11"/>
  <c r="I270" i="11"/>
  <c r="G270" i="11"/>
  <c r="F270" i="11"/>
  <c r="E270" i="11"/>
  <c r="D270" i="11"/>
  <c r="M270" i="11"/>
  <c r="L270" i="11"/>
  <c r="J270" i="11"/>
  <c r="K270" i="11"/>
  <c r="B271" i="11"/>
  <c r="C272" i="11"/>
  <c r="H91" i="11"/>
  <c r="J91" i="11" s="1"/>
  <c r="Z273" i="11" l="1"/>
  <c r="Y273" i="11"/>
  <c r="AA273" i="11"/>
  <c r="W273" i="11"/>
  <c r="V273" i="11"/>
  <c r="U273" i="11"/>
  <c r="AB273" i="11"/>
  <c r="X273" i="11"/>
  <c r="T273" i="11"/>
  <c r="S273" i="11"/>
  <c r="X95" i="11"/>
  <c r="Q274" i="11"/>
  <c r="R275" i="11"/>
  <c r="H271" i="11"/>
  <c r="J271" i="11"/>
  <c r="I271" i="11"/>
  <c r="G271" i="11"/>
  <c r="F271" i="11"/>
  <c r="E271" i="11"/>
  <c r="D271" i="11"/>
  <c r="M271" i="11"/>
  <c r="L271" i="11"/>
  <c r="K271" i="11"/>
  <c r="C273" i="11"/>
  <c r="B272" i="11"/>
  <c r="K91" i="11"/>
  <c r="M91" i="11" s="1"/>
  <c r="Q275" i="11" l="1"/>
  <c r="R276" i="11"/>
  <c r="Z274" i="11"/>
  <c r="Y274" i="11"/>
  <c r="AA274" i="11"/>
  <c r="X274" i="11"/>
  <c r="W274" i="11"/>
  <c r="U274" i="11"/>
  <c r="T274" i="11"/>
  <c r="S274" i="11"/>
  <c r="AB274" i="11"/>
  <c r="V274" i="11"/>
  <c r="W95" i="11"/>
  <c r="Y95" i="11" s="1"/>
  <c r="H272" i="11"/>
  <c r="K272" i="11"/>
  <c r="J272" i="11"/>
  <c r="I272" i="11"/>
  <c r="G272" i="11"/>
  <c r="F272" i="11"/>
  <c r="M272" i="11"/>
  <c r="L272" i="11"/>
  <c r="E272" i="11"/>
  <c r="D272" i="11"/>
  <c r="B273" i="11"/>
  <c r="C274" i="11"/>
  <c r="L91" i="11"/>
  <c r="G92" i="11" s="1"/>
  <c r="Q276" i="11" l="1"/>
  <c r="R277" i="11"/>
  <c r="Z95" i="11"/>
  <c r="AB95" i="11" s="1"/>
  <c r="Z275" i="11"/>
  <c r="Y275" i="11"/>
  <c r="AB275" i="11"/>
  <c r="AA275" i="11"/>
  <c r="W275" i="11"/>
  <c r="V275" i="11"/>
  <c r="U275" i="11"/>
  <c r="T275" i="11"/>
  <c r="S275" i="11"/>
  <c r="X275" i="11"/>
  <c r="H273" i="11"/>
  <c r="L273" i="11"/>
  <c r="K273" i="11"/>
  <c r="J273" i="11"/>
  <c r="I273" i="11"/>
  <c r="G273" i="11"/>
  <c r="D273" i="11"/>
  <c r="M273" i="11"/>
  <c r="F273" i="11"/>
  <c r="E273" i="11"/>
  <c r="C275" i="11"/>
  <c r="B274" i="11"/>
  <c r="I92" i="11"/>
  <c r="AA95" i="11" l="1"/>
  <c r="V96" i="11" s="1"/>
  <c r="Q277" i="11"/>
  <c r="R278" i="11"/>
  <c r="Z276" i="11"/>
  <c r="Y276" i="11"/>
  <c r="S276" i="11"/>
  <c r="AB276" i="11"/>
  <c r="AA276" i="11"/>
  <c r="U276" i="11"/>
  <c r="X276" i="11"/>
  <c r="W276" i="11"/>
  <c r="V276" i="11"/>
  <c r="T276" i="11"/>
  <c r="B275" i="11"/>
  <c r="C276" i="11"/>
  <c r="H92" i="11"/>
  <c r="J92" i="11" s="1"/>
  <c r="H274" i="11"/>
  <c r="M274" i="11"/>
  <c r="L274" i="11"/>
  <c r="K274" i="11"/>
  <c r="J274" i="11"/>
  <c r="I274" i="11"/>
  <c r="G274" i="11"/>
  <c r="F274" i="11"/>
  <c r="E274" i="11"/>
  <c r="D274" i="11"/>
  <c r="R279" i="11" l="1"/>
  <c r="Q278" i="11"/>
  <c r="Z277" i="11"/>
  <c r="Y277" i="11"/>
  <c r="U277" i="11"/>
  <c r="S277" i="11"/>
  <c r="W277" i="11"/>
  <c r="V277" i="11"/>
  <c r="T277" i="11"/>
  <c r="AB277" i="11"/>
  <c r="AA277" i="11"/>
  <c r="X277" i="11"/>
  <c r="X96" i="11"/>
  <c r="C277" i="11"/>
  <c r="B276" i="11"/>
  <c r="K92" i="11"/>
  <c r="M92" i="11" s="1"/>
  <c r="H275" i="11"/>
  <c r="M275" i="11"/>
  <c r="L275" i="11"/>
  <c r="K275" i="11"/>
  <c r="J275" i="11"/>
  <c r="D275" i="11"/>
  <c r="G275" i="11"/>
  <c r="I275" i="11"/>
  <c r="F275" i="11"/>
  <c r="E275" i="11"/>
  <c r="L92" i="11" l="1"/>
  <c r="G93" i="11" s="1"/>
  <c r="I93" i="11" s="1"/>
  <c r="W96" i="11"/>
  <c r="Y96" i="11" s="1"/>
  <c r="Z278" i="11"/>
  <c r="Y278" i="11"/>
  <c r="W278" i="11"/>
  <c r="U278" i="11"/>
  <c r="T278" i="11"/>
  <c r="S278" i="11"/>
  <c r="AB278" i="11"/>
  <c r="AA278" i="11"/>
  <c r="X278" i="11"/>
  <c r="V278" i="11"/>
  <c r="Q279" i="11"/>
  <c r="R280" i="11"/>
  <c r="C278" i="11"/>
  <c r="B277" i="11"/>
  <c r="H276" i="11"/>
  <c r="M276" i="11"/>
  <c r="L276" i="11"/>
  <c r="K276" i="11"/>
  <c r="J276" i="11"/>
  <c r="I276" i="11"/>
  <c r="G276" i="11"/>
  <c r="F276" i="11"/>
  <c r="E276" i="11"/>
  <c r="D276" i="11"/>
  <c r="R281" i="11" l="1"/>
  <c r="Q280" i="11"/>
  <c r="Z279" i="11"/>
  <c r="Y279" i="11"/>
  <c r="AA279" i="11"/>
  <c r="W279" i="11"/>
  <c r="V279" i="11"/>
  <c r="U279" i="11"/>
  <c r="S279" i="11"/>
  <c r="AB279" i="11"/>
  <c r="X279" i="11"/>
  <c r="T279" i="11"/>
  <c r="Z96" i="11"/>
  <c r="AB96" i="11" s="1"/>
  <c r="H277" i="11"/>
  <c r="M277" i="11"/>
  <c r="L277" i="11"/>
  <c r="D277" i="11"/>
  <c r="G277" i="11"/>
  <c r="J277" i="11"/>
  <c r="I277" i="11"/>
  <c r="F277" i="11"/>
  <c r="E277" i="11"/>
  <c r="K277" i="11"/>
  <c r="C279" i="11"/>
  <c r="B278" i="11"/>
  <c r="H93" i="11"/>
  <c r="J93" i="11" s="1"/>
  <c r="Z280" i="11" l="1"/>
  <c r="Y280" i="11"/>
  <c r="AA280" i="11"/>
  <c r="X280" i="11"/>
  <c r="W280" i="11"/>
  <c r="AB280" i="11"/>
  <c r="V280" i="11"/>
  <c r="U280" i="11"/>
  <c r="T280" i="11"/>
  <c r="S280" i="11"/>
  <c r="AA96" i="11"/>
  <c r="V97" i="11" s="1"/>
  <c r="Q281" i="11"/>
  <c r="R282" i="11"/>
  <c r="C280" i="11"/>
  <c r="B279" i="11"/>
  <c r="H278" i="11"/>
  <c r="D278" i="11"/>
  <c r="M278" i="11"/>
  <c r="K278" i="11"/>
  <c r="J278" i="11"/>
  <c r="I278" i="11"/>
  <c r="G278" i="11"/>
  <c r="F278" i="11"/>
  <c r="L278" i="11"/>
  <c r="E278" i="11"/>
  <c r="K93" i="11"/>
  <c r="L93" i="11" s="1"/>
  <c r="G94" i="11" s="1"/>
  <c r="M93" i="11" l="1"/>
  <c r="X97" i="11"/>
  <c r="Z281" i="11"/>
  <c r="Y281" i="11"/>
  <c r="AB281" i="11"/>
  <c r="AA281" i="11"/>
  <c r="S281" i="11"/>
  <c r="W281" i="11"/>
  <c r="V281" i="11"/>
  <c r="U281" i="11"/>
  <c r="T281" i="11"/>
  <c r="X281" i="11"/>
  <c r="Q282" i="11"/>
  <c r="R283" i="11"/>
  <c r="I94" i="11"/>
  <c r="H279" i="11"/>
  <c r="E279" i="11"/>
  <c r="D279" i="11"/>
  <c r="M279" i="11"/>
  <c r="G279" i="11"/>
  <c r="L279" i="11"/>
  <c r="K279" i="11"/>
  <c r="J279" i="11"/>
  <c r="I279" i="11"/>
  <c r="F279" i="11"/>
  <c r="C281" i="11"/>
  <c r="B280" i="11"/>
  <c r="Q283" i="11" l="1"/>
  <c r="R284" i="11"/>
  <c r="Z282" i="11"/>
  <c r="Y282" i="11"/>
  <c r="S282" i="11"/>
  <c r="AA282" i="11"/>
  <c r="X282" i="11"/>
  <c r="W282" i="11"/>
  <c r="V282" i="11"/>
  <c r="U282" i="11"/>
  <c r="AB282" i="11"/>
  <c r="T282" i="11"/>
  <c r="W97" i="11"/>
  <c r="Y97" i="11" s="1"/>
  <c r="H280" i="11"/>
  <c r="F280" i="11"/>
  <c r="E280" i="11"/>
  <c r="D280" i="11"/>
  <c r="K280" i="11"/>
  <c r="J280" i="11"/>
  <c r="I280" i="11"/>
  <c r="G280" i="11"/>
  <c r="M280" i="11"/>
  <c r="L280" i="11"/>
  <c r="H94" i="11"/>
  <c r="J94" i="11" s="1"/>
  <c r="C282" i="11"/>
  <c r="B281" i="11"/>
  <c r="Z97" i="11" l="1"/>
  <c r="AA97" i="11" s="1"/>
  <c r="V98" i="11" s="1"/>
  <c r="Q284" i="11"/>
  <c r="R285" i="11"/>
  <c r="Z283" i="11"/>
  <c r="Y283" i="11"/>
  <c r="U283" i="11"/>
  <c r="S283" i="11"/>
  <c r="W283" i="11"/>
  <c r="AB283" i="11"/>
  <c r="AA283" i="11"/>
  <c r="X283" i="11"/>
  <c r="V283" i="11"/>
  <c r="T283" i="11"/>
  <c r="K94" i="11"/>
  <c r="L94" i="11" s="1"/>
  <c r="G95" i="11" s="1"/>
  <c r="H281" i="11"/>
  <c r="G281" i="11"/>
  <c r="F281" i="11"/>
  <c r="E281" i="11"/>
  <c r="D281" i="11"/>
  <c r="M281" i="11"/>
  <c r="J281" i="11"/>
  <c r="I281" i="11"/>
  <c r="L281" i="11"/>
  <c r="K281" i="11"/>
  <c r="B282" i="11"/>
  <c r="C283" i="11"/>
  <c r="AB97" i="11" l="1"/>
  <c r="M94" i="11"/>
  <c r="X98" i="11"/>
  <c r="Z284" i="11"/>
  <c r="Y284" i="11"/>
  <c r="W284" i="11"/>
  <c r="U284" i="11"/>
  <c r="T284" i="11"/>
  <c r="S284" i="11"/>
  <c r="AA284" i="11"/>
  <c r="X284" i="11"/>
  <c r="V284" i="11"/>
  <c r="AB284" i="11"/>
  <c r="R286" i="11"/>
  <c r="Q285" i="11"/>
  <c r="I95" i="11"/>
  <c r="C284" i="11"/>
  <c r="B283" i="11"/>
  <c r="H282" i="11"/>
  <c r="I282" i="11"/>
  <c r="G282" i="11"/>
  <c r="F282" i="11"/>
  <c r="E282" i="11"/>
  <c r="D282" i="11"/>
  <c r="K282" i="11"/>
  <c r="J282" i="11"/>
  <c r="M282" i="11"/>
  <c r="L282" i="11"/>
  <c r="Q286" i="11" l="1"/>
  <c r="R287" i="11"/>
  <c r="W98" i="11"/>
  <c r="Y98" i="11" s="1"/>
  <c r="Z285" i="11"/>
  <c r="Y285" i="11"/>
  <c r="AA285" i="11"/>
  <c r="W285" i="11"/>
  <c r="V285" i="11"/>
  <c r="U285" i="11"/>
  <c r="S285" i="11"/>
  <c r="AB285" i="11"/>
  <c r="X285" i="11"/>
  <c r="T285" i="11"/>
  <c r="H283" i="11"/>
  <c r="J283" i="11"/>
  <c r="I283" i="11"/>
  <c r="G283" i="11"/>
  <c r="F283" i="11"/>
  <c r="E283" i="11"/>
  <c r="M283" i="11"/>
  <c r="L283" i="11"/>
  <c r="K283" i="11"/>
  <c r="D283" i="11"/>
  <c r="B284" i="11"/>
  <c r="C285" i="11"/>
  <c r="H95" i="11"/>
  <c r="J95" i="11" s="1"/>
  <c r="Z98" i="11" l="1"/>
  <c r="AB98" i="11" s="1"/>
  <c r="Q287" i="11"/>
  <c r="R288" i="11"/>
  <c r="Z286" i="11"/>
  <c r="Y286" i="11"/>
  <c r="AA286" i="11"/>
  <c r="X286" i="11"/>
  <c r="W286" i="11"/>
  <c r="U286" i="11"/>
  <c r="T286" i="11"/>
  <c r="S286" i="11"/>
  <c r="AB286" i="11"/>
  <c r="V286" i="11"/>
  <c r="H284" i="11"/>
  <c r="K284" i="11"/>
  <c r="J284" i="11"/>
  <c r="I284" i="11"/>
  <c r="G284" i="11"/>
  <c r="F284" i="11"/>
  <c r="E284" i="11"/>
  <c r="D284" i="11"/>
  <c r="M284" i="11"/>
  <c r="L284" i="11"/>
  <c r="C286" i="11"/>
  <c r="B285" i="11"/>
  <c r="K95" i="11"/>
  <c r="M95" i="11" s="1"/>
  <c r="AA98" i="11" l="1"/>
  <c r="V99" i="11" s="1"/>
  <c r="X99" i="11" s="1"/>
  <c r="L95" i="11"/>
  <c r="G96" i="11" s="1"/>
  <c r="I96" i="11" s="1"/>
  <c r="Q288" i="11"/>
  <c r="R289" i="11"/>
  <c r="Z287" i="11"/>
  <c r="Y287" i="11"/>
  <c r="AB287" i="11"/>
  <c r="AA287" i="11"/>
  <c r="X287" i="11"/>
  <c r="W287" i="11"/>
  <c r="S287" i="11"/>
  <c r="V287" i="11"/>
  <c r="U287" i="11"/>
  <c r="T287" i="11"/>
  <c r="B286" i="11"/>
  <c r="C287" i="11"/>
  <c r="H285" i="11"/>
  <c r="L285" i="11"/>
  <c r="K285" i="11"/>
  <c r="J285" i="11"/>
  <c r="I285" i="11"/>
  <c r="G285" i="11"/>
  <c r="M285" i="11"/>
  <c r="D285" i="11"/>
  <c r="F285" i="11"/>
  <c r="E285" i="11"/>
  <c r="W99" i="11" l="1"/>
  <c r="Y99" i="11" s="1"/>
  <c r="Q289" i="11"/>
  <c r="R290" i="11"/>
  <c r="Z288" i="11"/>
  <c r="Y288" i="11"/>
  <c r="S288" i="11"/>
  <c r="U288" i="11"/>
  <c r="T288" i="11"/>
  <c r="AA288" i="11"/>
  <c r="X288" i="11"/>
  <c r="W288" i="11"/>
  <c r="V288" i="11"/>
  <c r="AB288" i="11"/>
  <c r="C288" i="11"/>
  <c r="B287" i="11"/>
  <c r="H96" i="11"/>
  <c r="J96" i="11" s="1"/>
  <c r="H286" i="11"/>
  <c r="M286" i="11"/>
  <c r="L286" i="11"/>
  <c r="K286" i="11"/>
  <c r="J286" i="11"/>
  <c r="I286" i="11"/>
  <c r="E286" i="11"/>
  <c r="D286" i="11"/>
  <c r="G286" i="11"/>
  <c r="F286" i="11"/>
  <c r="Z289" i="11" l="1"/>
  <c r="Y289" i="11"/>
  <c r="U289" i="11"/>
  <c r="S289" i="11"/>
  <c r="AB289" i="11"/>
  <c r="AA289" i="11"/>
  <c r="X289" i="11"/>
  <c r="W289" i="11"/>
  <c r="V289" i="11"/>
  <c r="T289" i="11"/>
  <c r="Q290" i="11"/>
  <c r="R291" i="11"/>
  <c r="Z99" i="11"/>
  <c r="AB99" i="11" s="1"/>
  <c r="H287" i="11"/>
  <c r="M287" i="11"/>
  <c r="L287" i="11"/>
  <c r="K287" i="11"/>
  <c r="J287" i="11"/>
  <c r="I287" i="11"/>
  <c r="G287" i="11"/>
  <c r="F287" i="11"/>
  <c r="E287" i="11"/>
  <c r="D287" i="11"/>
  <c r="K96" i="11"/>
  <c r="M96" i="11" s="1"/>
  <c r="B288" i="11"/>
  <c r="C289" i="11"/>
  <c r="Z290" i="11" l="1"/>
  <c r="Y290" i="11"/>
  <c r="W290" i="11"/>
  <c r="U290" i="11"/>
  <c r="T290" i="11"/>
  <c r="S290" i="11"/>
  <c r="AA290" i="11"/>
  <c r="AB290" i="11"/>
  <c r="X290" i="11"/>
  <c r="V290" i="11"/>
  <c r="AA99" i="11"/>
  <c r="V100" i="11" s="1"/>
  <c r="R292" i="11"/>
  <c r="Q291" i="11"/>
  <c r="B289" i="11"/>
  <c r="C290" i="11"/>
  <c r="H288" i="11"/>
  <c r="G288" i="11"/>
  <c r="F288" i="11"/>
  <c r="E288" i="11"/>
  <c r="I288" i="11"/>
  <c r="D288" i="11"/>
  <c r="L288" i="11"/>
  <c r="M288" i="11"/>
  <c r="K288" i="11"/>
  <c r="J288" i="11"/>
  <c r="L96" i="11"/>
  <c r="G97" i="11" s="1"/>
  <c r="X100" i="11" l="1"/>
  <c r="Q292" i="11"/>
  <c r="R293" i="11"/>
  <c r="Z291" i="11"/>
  <c r="Y291" i="11"/>
  <c r="AA291" i="11"/>
  <c r="W291" i="11"/>
  <c r="V291" i="11"/>
  <c r="U291" i="11"/>
  <c r="AB291" i="11"/>
  <c r="X291" i="11"/>
  <c r="T291" i="11"/>
  <c r="S291" i="11"/>
  <c r="C291" i="11"/>
  <c r="B290" i="11"/>
  <c r="I97" i="11"/>
  <c r="H289" i="11"/>
  <c r="G289" i="11"/>
  <c r="F289" i="11"/>
  <c r="E289" i="11"/>
  <c r="J289" i="11"/>
  <c r="I289" i="11"/>
  <c r="D289" i="11"/>
  <c r="K289" i="11"/>
  <c r="M289" i="11"/>
  <c r="L289" i="11"/>
  <c r="Q293" i="11" l="1"/>
  <c r="R294" i="11"/>
  <c r="Z292" i="11"/>
  <c r="Y292" i="11"/>
  <c r="AA292" i="11"/>
  <c r="X292" i="11"/>
  <c r="W292" i="11"/>
  <c r="V292" i="11"/>
  <c r="U292" i="11"/>
  <c r="T292" i="11"/>
  <c r="S292" i="11"/>
  <c r="AB292" i="11"/>
  <c r="W100" i="11"/>
  <c r="Y100" i="11" s="1"/>
  <c r="H97" i="11"/>
  <c r="J97" i="11" s="1"/>
  <c r="H290" i="11"/>
  <c r="G290" i="11"/>
  <c r="F290" i="11"/>
  <c r="E290" i="11"/>
  <c r="M290" i="11"/>
  <c r="L290" i="11"/>
  <c r="K290" i="11"/>
  <c r="J290" i="11"/>
  <c r="I290" i="11"/>
  <c r="D290" i="11"/>
  <c r="B291" i="11"/>
  <c r="C292" i="11"/>
  <c r="Q294" i="11" l="1"/>
  <c r="R295" i="11"/>
  <c r="Z100" i="11"/>
  <c r="AB100" i="11" s="1"/>
  <c r="Z293" i="11"/>
  <c r="Y293" i="11"/>
  <c r="AB293" i="11"/>
  <c r="AA293" i="11"/>
  <c r="X293" i="11"/>
  <c r="W293" i="11"/>
  <c r="V293" i="11"/>
  <c r="U293" i="11"/>
  <c r="T293" i="11"/>
  <c r="S293" i="11"/>
  <c r="K97" i="11"/>
  <c r="L97" i="11" s="1"/>
  <c r="G98" i="11" s="1"/>
  <c r="B292" i="11"/>
  <c r="C293" i="11"/>
  <c r="H291" i="11"/>
  <c r="G291" i="11"/>
  <c r="F291" i="11"/>
  <c r="E291" i="11"/>
  <c r="J291" i="11"/>
  <c r="M291" i="11"/>
  <c r="L291" i="11"/>
  <c r="K291" i="11"/>
  <c r="I291" i="11"/>
  <c r="D291" i="11"/>
  <c r="M97" i="11" l="1"/>
  <c r="AA100" i="11"/>
  <c r="V101" i="11" s="1"/>
  <c r="Q295" i="11"/>
  <c r="R296" i="11"/>
  <c r="Z294" i="11"/>
  <c r="Y294" i="11"/>
  <c r="S294" i="11"/>
  <c r="AB294" i="11"/>
  <c r="W294" i="11"/>
  <c r="AA294" i="11"/>
  <c r="X294" i="11"/>
  <c r="V294" i="11"/>
  <c r="U294" i="11"/>
  <c r="T294" i="11"/>
  <c r="I98" i="11"/>
  <c r="B293" i="11"/>
  <c r="C294" i="11"/>
  <c r="H292" i="11"/>
  <c r="G292" i="11"/>
  <c r="F292" i="11"/>
  <c r="E292" i="11"/>
  <c r="J292" i="11"/>
  <c r="I292" i="11"/>
  <c r="D292" i="11"/>
  <c r="M292" i="11"/>
  <c r="L292" i="11"/>
  <c r="K292" i="11"/>
  <c r="Q296" i="11" l="1"/>
  <c r="R297" i="11"/>
  <c r="Z295" i="11"/>
  <c r="Y295" i="11"/>
  <c r="U295" i="11"/>
  <c r="S295" i="11"/>
  <c r="AB295" i="11"/>
  <c r="AA295" i="11"/>
  <c r="X295" i="11"/>
  <c r="W295" i="11"/>
  <c r="V295" i="11"/>
  <c r="T295" i="11"/>
  <c r="X101" i="11"/>
  <c r="H293" i="11"/>
  <c r="G293" i="11"/>
  <c r="F293" i="11"/>
  <c r="E293" i="11"/>
  <c r="M293" i="11"/>
  <c r="L293" i="11"/>
  <c r="K293" i="11"/>
  <c r="J293" i="11"/>
  <c r="D293" i="11"/>
  <c r="I293" i="11"/>
  <c r="H98" i="11"/>
  <c r="J98" i="11" s="1"/>
  <c r="B294" i="11"/>
  <c r="C295" i="11"/>
  <c r="W101" i="11" l="1"/>
  <c r="Y101" i="11" s="1"/>
  <c r="R298" i="11"/>
  <c r="Q297" i="11"/>
  <c r="AB296" i="11"/>
  <c r="AA296" i="11"/>
  <c r="Z296" i="11"/>
  <c r="Y296" i="11"/>
  <c r="W296" i="11"/>
  <c r="U296" i="11"/>
  <c r="T296" i="11"/>
  <c r="S296" i="11"/>
  <c r="X296" i="11"/>
  <c r="V296" i="11"/>
  <c r="K98" i="11"/>
  <c r="M98" i="11" s="1"/>
  <c r="B295" i="11"/>
  <c r="C296" i="11"/>
  <c r="H294" i="11"/>
  <c r="G294" i="11"/>
  <c r="F294" i="11"/>
  <c r="E294" i="11"/>
  <c r="M294" i="11"/>
  <c r="L294" i="11"/>
  <c r="K294" i="11"/>
  <c r="J294" i="11"/>
  <c r="I294" i="11"/>
  <c r="D294" i="11"/>
  <c r="AB297" i="11" l="1"/>
  <c r="AA297" i="11"/>
  <c r="Y297" i="11"/>
  <c r="X297" i="11"/>
  <c r="W297" i="11"/>
  <c r="V297" i="11"/>
  <c r="Z297" i="11"/>
  <c r="U297" i="11"/>
  <c r="T297" i="11"/>
  <c r="S297" i="11"/>
  <c r="Q298" i="11"/>
  <c r="R299" i="11"/>
  <c r="Z101" i="11"/>
  <c r="AA101" i="11" s="1"/>
  <c r="V102" i="11" s="1"/>
  <c r="C297" i="11"/>
  <c r="B296" i="11"/>
  <c r="M295" i="11"/>
  <c r="H295" i="11"/>
  <c r="G295" i="11"/>
  <c r="F295" i="11"/>
  <c r="E295" i="11"/>
  <c r="J295" i="11"/>
  <c r="I295" i="11"/>
  <c r="D295" i="11"/>
  <c r="L295" i="11"/>
  <c r="K295" i="11"/>
  <c r="L98" i="11"/>
  <c r="G99" i="11" s="1"/>
  <c r="AB101" i="11" l="1"/>
  <c r="X102" i="11"/>
  <c r="Q299" i="11"/>
  <c r="R300" i="11"/>
  <c r="AB298" i="11"/>
  <c r="AA298" i="11"/>
  <c r="S298" i="11"/>
  <c r="Z298" i="11"/>
  <c r="V298" i="11"/>
  <c r="U298" i="11"/>
  <c r="T298" i="11"/>
  <c r="Y298" i="11"/>
  <c r="X298" i="11"/>
  <c r="W298" i="11"/>
  <c r="M296" i="11"/>
  <c r="I296" i="11"/>
  <c r="H296" i="11"/>
  <c r="G296" i="11"/>
  <c r="F296" i="11"/>
  <c r="L296" i="11"/>
  <c r="K296" i="11"/>
  <c r="J296" i="11"/>
  <c r="E296" i="11"/>
  <c r="D296" i="11"/>
  <c r="I99" i="11"/>
  <c r="B297" i="11"/>
  <c r="C298" i="11"/>
  <c r="AB299" i="11" l="1"/>
  <c r="AA299" i="11"/>
  <c r="T299" i="11"/>
  <c r="S299" i="11"/>
  <c r="W299" i="11"/>
  <c r="V299" i="11"/>
  <c r="U299" i="11"/>
  <c r="Z299" i="11"/>
  <c r="Y299" i="11"/>
  <c r="X299" i="11"/>
  <c r="R301" i="11"/>
  <c r="Q300" i="11"/>
  <c r="W102" i="11"/>
  <c r="Y102" i="11" s="1"/>
  <c r="H99" i="11"/>
  <c r="J99" i="11" s="1"/>
  <c r="C299" i="11"/>
  <c r="B298" i="11"/>
  <c r="M297" i="11"/>
  <c r="J297" i="11"/>
  <c r="I297" i="11"/>
  <c r="H297" i="11"/>
  <c r="G297" i="11"/>
  <c r="D297" i="11"/>
  <c r="L297" i="11"/>
  <c r="K297" i="11"/>
  <c r="F297" i="11"/>
  <c r="E297" i="11"/>
  <c r="AB300" i="11" l="1"/>
  <c r="AA300" i="11"/>
  <c r="V300" i="11"/>
  <c r="U300" i="11"/>
  <c r="Z300" i="11"/>
  <c r="Y300" i="11"/>
  <c r="X300" i="11"/>
  <c r="W300" i="11"/>
  <c r="T300" i="11"/>
  <c r="S300" i="11"/>
  <c r="Z102" i="11"/>
  <c r="AB102" i="11" s="1"/>
  <c r="Q301" i="11"/>
  <c r="R302" i="11"/>
  <c r="M298" i="11"/>
  <c r="K298" i="11"/>
  <c r="J298" i="11"/>
  <c r="I298" i="11"/>
  <c r="H298" i="11"/>
  <c r="L298" i="11"/>
  <c r="G298" i="11"/>
  <c r="F298" i="11"/>
  <c r="E298" i="11"/>
  <c r="D298" i="11"/>
  <c r="B299" i="11"/>
  <c r="C300" i="11"/>
  <c r="K99" i="11"/>
  <c r="M99" i="11" s="1"/>
  <c r="L99" i="11" l="1"/>
  <c r="G100" i="11" s="1"/>
  <c r="I100" i="11" s="1"/>
  <c r="Q302" i="11"/>
  <c r="R303" i="11"/>
  <c r="AA102" i="11"/>
  <c r="V103" i="11" s="1"/>
  <c r="AB301" i="11"/>
  <c r="AA301" i="11"/>
  <c r="X301" i="11"/>
  <c r="W301" i="11"/>
  <c r="Z301" i="11"/>
  <c r="T301" i="11"/>
  <c r="S301" i="11"/>
  <c r="Y301" i="11"/>
  <c r="V301" i="11"/>
  <c r="U301" i="11"/>
  <c r="C301" i="11"/>
  <c r="B300" i="11"/>
  <c r="M299" i="11"/>
  <c r="L299" i="11"/>
  <c r="K299" i="11"/>
  <c r="J299" i="11"/>
  <c r="I299" i="11"/>
  <c r="D299" i="11"/>
  <c r="H299" i="11"/>
  <c r="G299" i="11"/>
  <c r="F299" i="11"/>
  <c r="E299" i="11"/>
  <c r="X103" i="11" l="1"/>
  <c r="AB302" i="11"/>
  <c r="AA302" i="11"/>
  <c r="Z302" i="11"/>
  <c r="Y302" i="11"/>
  <c r="U302" i="11"/>
  <c r="T302" i="11"/>
  <c r="S302" i="11"/>
  <c r="X302" i="11"/>
  <c r="W302" i="11"/>
  <c r="V302" i="11"/>
  <c r="R304" i="11"/>
  <c r="Q303" i="11"/>
  <c r="H100" i="11"/>
  <c r="J100" i="11" s="1"/>
  <c r="M300" i="11"/>
  <c r="L300" i="11"/>
  <c r="K300" i="11"/>
  <c r="J300" i="11"/>
  <c r="G300" i="11"/>
  <c r="F300" i="11"/>
  <c r="E300" i="11"/>
  <c r="D300" i="11"/>
  <c r="I300" i="11"/>
  <c r="H300" i="11"/>
  <c r="C302" i="11"/>
  <c r="B301" i="11"/>
  <c r="AB303" i="11" l="1"/>
  <c r="AA303" i="11"/>
  <c r="Y303" i="11"/>
  <c r="X303" i="11"/>
  <c r="W303" i="11"/>
  <c r="V303" i="11"/>
  <c r="U303" i="11"/>
  <c r="T303" i="11"/>
  <c r="Z303" i="11"/>
  <c r="S303" i="11"/>
  <c r="Q304" i="11"/>
  <c r="R305" i="11"/>
  <c r="W103" i="11"/>
  <c r="Y103" i="11" s="1"/>
  <c r="M301" i="11"/>
  <c r="L301" i="11"/>
  <c r="K301" i="11"/>
  <c r="J301" i="11"/>
  <c r="I301" i="11"/>
  <c r="H301" i="11"/>
  <c r="G301" i="11"/>
  <c r="F301" i="11"/>
  <c r="E301" i="11"/>
  <c r="D301" i="11"/>
  <c r="C303" i="11"/>
  <c r="B302" i="11"/>
  <c r="K100" i="11"/>
  <c r="M100" i="11" s="1"/>
  <c r="L100" i="11" l="1"/>
  <c r="G101" i="11" s="1"/>
  <c r="I101" i="11" s="1"/>
  <c r="AB304" i="11"/>
  <c r="AA304" i="11"/>
  <c r="Z304" i="11"/>
  <c r="Y304" i="11"/>
  <c r="X304" i="11"/>
  <c r="T304" i="11"/>
  <c r="S304" i="11"/>
  <c r="W304" i="11"/>
  <c r="V304" i="11"/>
  <c r="U304" i="11"/>
  <c r="Q305" i="11"/>
  <c r="R306" i="11"/>
  <c r="Z103" i="11"/>
  <c r="AB103" i="11" s="1"/>
  <c r="M302" i="11"/>
  <c r="L302" i="11"/>
  <c r="K302" i="11"/>
  <c r="E302" i="11"/>
  <c r="D302" i="11"/>
  <c r="J302" i="11"/>
  <c r="I302" i="11"/>
  <c r="H302" i="11"/>
  <c r="G302" i="11"/>
  <c r="F302" i="11"/>
  <c r="C304" i="11"/>
  <c r="B303" i="11"/>
  <c r="R307" i="11" l="1"/>
  <c r="Q306" i="11"/>
  <c r="AB305" i="11"/>
  <c r="AA305" i="11"/>
  <c r="T305" i="11"/>
  <c r="S305" i="11"/>
  <c r="U305" i="11"/>
  <c r="Z305" i="11"/>
  <c r="Y305" i="11"/>
  <c r="X305" i="11"/>
  <c r="W305" i="11"/>
  <c r="V305" i="11"/>
  <c r="AA103" i="11"/>
  <c r="V104" i="11" s="1"/>
  <c r="M303" i="11"/>
  <c r="D303" i="11"/>
  <c r="L303" i="11"/>
  <c r="K303" i="11"/>
  <c r="J303" i="11"/>
  <c r="I303" i="11"/>
  <c r="H303" i="11"/>
  <c r="G303" i="11"/>
  <c r="F303" i="11"/>
  <c r="E303" i="11"/>
  <c r="C305" i="11"/>
  <c r="B304" i="11"/>
  <c r="H101" i="11"/>
  <c r="J101" i="11" s="1"/>
  <c r="AB306" i="11" l="1"/>
  <c r="AA306" i="11"/>
  <c r="V306" i="11"/>
  <c r="U306" i="11"/>
  <c r="Y306" i="11"/>
  <c r="X306" i="11"/>
  <c r="W306" i="11"/>
  <c r="T306" i="11"/>
  <c r="S306" i="11"/>
  <c r="Z306" i="11"/>
  <c r="X104" i="11"/>
  <c r="R308" i="11"/>
  <c r="Q307" i="11"/>
  <c r="M304" i="11"/>
  <c r="E304" i="11"/>
  <c r="D304" i="11"/>
  <c r="J304" i="11"/>
  <c r="I304" i="11"/>
  <c r="H304" i="11"/>
  <c r="G304" i="11"/>
  <c r="F304" i="11"/>
  <c r="L304" i="11"/>
  <c r="K304" i="11"/>
  <c r="C306" i="11"/>
  <c r="B305" i="11"/>
  <c r="K101" i="11"/>
  <c r="M101" i="11" s="1"/>
  <c r="W104" i="11" l="1"/>
  <c r="Y104" i="11" s="1"/>
  <c r="AB307" i="11"/>
  <c r="AA307" i="11"/>
  <c r="X307" i="11"/>
  <c r="W307" i="11"/>
  <c r="Z307" i="11"/>
  <c r="Y307" i="11"/>
  <c r="V307" i="11"/>
  <c r="U307" i="11"/>
  <c r="T307" i="11"/>
  <c r="S307" i="11"/>
  <c r="Q308" i="11"/>
  <c r="R309" i="11"/>
  <c r="M305" i="11"/>
  <c r="F305" i="11"/>
  <c r="E305" i="11"/>
  <c r="D305" i="11"/>
  <c r="K305" i="11"/>
  <c r="J305" i="11"/>
  <c r="I305" i="11"/>
  <c r="H305" i="11"/>
  <c r="G305" i="11"/>
  <c r="L305" i="11"/>
  <c r="C307" i="11"/>
  <c r="B306" i="11"/>
  <c r="L101" i="11"/>
  <c r="G102" i="11" s="1"/>
  <c r="R310" i="11" l="1"/>
  <c r="Q309" i="11"/>
  <c r="AB308" i="11"/>
  <c r="AA308" i="11"/>
  <c r="Z308" i="11"/>
  <c r="Y308" i="11"/>
  <c r="S308" i="11"/>
  <c r="X308" i="11"/>
  <c r="W308" i="11"/>
  <c r="V308" i="11"/>
  <c r="U308" i="11"/>
  <c r="T308" i="11"/>
  <c r="Z104" i="11"/>
  <c r="AB104" i="11" s="1"/>
  <c r="M306" i="11"/>
  <c r="G306" i="11"/>
  <c r="F306" i="11"/>
  <c r="E306" i="11"/>
  <c r="D306" i="11"/>
  <c r="L306" i="11"/>
  <c r="K306" i="11"/>
  <c r="J306" i="11"/>
  <c r="I306" i="11"/>
  <c r="H306" i="11"/>
  <c r="B307" i="11"/>
  <c r="C308" i="11"/>
  <c r="I102" i="11"/>
  <c r="Q310" i="11" l="1"/>
  <c r="R311" i="11"/>
  <c r="AA104" i="11"/>
  <c r="V105" i="11" s="1"/>
  <c r="AB309" i="11"/>
  <c r="AA309" i="11"/>
  <c r="W309" i="11"/>
  <c r="V309" i="11"/>
  <c r="U309" i="11"/>
  <c r="T309" i="11"/>
  <c r="S309" i="11"/>
  <c r="Z309" i="11"/>
  <c r="Y309" i="11"/>
  <c r="X309" i="11"/>
  <c r="M307" i="11"/>
  <c r="H307" i="11"/>
  <c r="G307" i="11"/>
  <c r="F307" i="11"/>
  <c r="E307" i="11"/>
  <c r="D307" i="11"/>
  <c r="K307" i="11"/>
  <c r="J307" i="11"/>
  <c r="I307" i="11"/>
  <c r="L307" i="11"/>
  <c r="C309" i="11"/>
  <c r="B308" i="11"/>
  <c r="H102" i="11"/>
  <c r="J102" i="11" s="1"/>
  <c r="X105" i="11" l="1"/>
  <c r="Q311" i="11"/>
  <c r="R312" i="11"/>
  <c r="AB310" i="11"/>
  <c r="AA310" i="11"/>
  <c r="Z310" i="11"/>
  <c r="Y310" i="11"/>
  <c r="X310" i="11"/>
  <c r="W310" i="11"/>
  <c r="V310" i="11"/>
  <c r="U310" i="11"/>
  <c r="T310" i="11"/>
  <c r="S310" i="11"/>
  <c r="B309" i="11"/>
  <c r="C310" i="11"/>
  <c r="M308" i="11"/>
  <c r="I308" i="11"/>
  <c r="H308" i="11"/>
  <c r="G308" i="11"/>
  <c r="F308" i="11"/>
  <c r="E308" i="11"/>
  <c r="L308" i="11"/>
  <c r="K308" i="11"/>
  <c r="J308" i="11"/>
  <c r="D308" i="11"/>
  <c r="K102" i="11"/>
  <c r="M102" i="11" s="1"/>
  <c r="Q312" i="11" l="1"/>
  <c r="R313" i="11"/>
  <c r="AB311" i="11"/>
  <c r="AA311" i="11"/>
  <c r="T311" i="11"/>
  <c r="S311" i="11"/>
  <c r="Z311" i="11"/>
  <c r="Y311" i="11"/>
  <c r="X311" i="11"/>
  <c r="W311" i="11"/>
  <c r="V311" i="11"/>
  <c r="U311" i="11"/>
  <c r="W105" i="11"/>
  <c r="Y105" i="11" s="1"/>
  <c r="C311" i="11"/>
  <c r="B310" i="11"/>
  <c r="L102" i="11"/>
  <c r="G103" i="11" s="1"/>
  <c r="M309" i="11"/>
  <c r="J309" i="11"/>
  <c r="I309" i="11"/>
  <c r="H309" i="11"/>
  <c r="G309" i="11"/>
  <c r="F309" i="11"/>
  <c r="K309" i="11"/>
  <c r="E309" i="11"/>
  <c r="D309" i="11"/>
  <c r="L309" i="11"/>
  <c r="R314" i="11" l="1"/>
  <c r="Q313" i="11"/>
  <c r="Z105" i="11"/>
  <c r="AB105" i="11" s="1"/>
  <c r="AB312" i="11"/>
  <c r="AA312" i="11"/>
  <c r="V312" i="11"/>
  <c r="U312" i="11"/>
  <c r="W312" i="11"/>
  <c r="T312" i="11"/>
  <c r="S312" i="11"/>
  <c r="Z312" i="11"/>
  <c r="Y312" i="11"/>
  <c r="X312" i="11"/>
  <c r="I103" i="11"/>
  <c r="M310" i="11"/>
  <c r="K310" i="11"/>
  <c r="J310" i="11"/>
  <c r="I310" i="11"/>
  <c r="H310" i="11"/>
  <c r="G310" i="11"/>
  <c r="L310" i="11"/>
  <c r="F310" i="11"/>
  <c r="E310" i="11"/>
  <c r="D310" i="11"/>
  <c r="B311" i="11"/>
  <c r="C312" i="11"/>
  <c r="AA105" i="11" l="1"/>
  <c r="V106" i="11" s="1"/>
  <c r="AB313" i="11"/>
  <c r="AA313" i="11"/>
  <c r="X313" i="11"/>
  <c r="W313" i="11"/>
  <c r="Z313" i="11"/>
  <c r="Y313" i="11"/>
  <c r="V313" i="11"/>
  <c r="U313" i="11"/>
  <c r="T313" i="11"/>
  <c r="S313" i="11"/>
  <c r="Q314" i="11"/>
  <c r="R315" i="11"/>
  <c r="C313" i="11"/>
  <c r="B312" i="11"/>
  <c r="H103" i="11"/>
  <c r="J103" i="11" s="1"/>
  <c r="M311" i="11"/>
  <c r="L311" i="11"/>
  <c r="K311" i="11"/>
  <c r="J311" i="11"/>
  <c r="I311" i="11"/>
  <c r="H311" i="11"/>
  <c r="F311" i="11"/>
  <c r="E311" i="11"/>
  <c r="D311" i="11"/>
  <c r="G311" i="11"/>
  <c r="AB314" i="11" l="1"/>
  <c r="AA314" i="11"/>
  <c r="Z314" i="11"/>
  <c r="Y314" i="11"/>
  <c r="X314" i="11"/>
  <c r="W314" i="11"/>
  <c r="V314" i="11"/>
  <c r="U314" i="11"/>
  <c r="T314" i="11"/>
  <c r="S314" i="11"/>
  <c r="R316" i="11"/>
  <c r="Q315" i="11"/>
  <c r="X106" i="11"/>
  <c r="K103" i="11"/>
  <c r="L103" i="11" s="1"/>
  <c r="G104" i="11" s="1"/>
  <c r="M312" i="11"/>
  <c r="L312" i="11"/>
  <c r="K312" i="11"/>
  <c r="J312" i="11"/>
  <c r="I312" i="11"/>
  <c r="H312" i="11"/>
  <c r="G312" i="11"/>
  <c r="F312" i="11"/>
  <c r="E312" i="11"/>
  <c r="D312" i="11"/>
  <c r="C314" i="11"/>
  <c r="B313" i="11"/>
  <c r="AB315" i="11" l="1"/>
  <c r="AA315" i="11"/>
  <c r="U315" i="11"/>
  <c r="T315" i="11"/>
  <c r="S315" i="11"/>
  <c r="X315" i="11"/>
  <c r="W315" i="11"/>
  <c r="V315" i="11"/>
  <c r="Z315" i="11"/>
  <c r="Y315" i="11"/>
  <c r="Q316" i="11"/>
  <c r="R317" i="11"/>
  <c r="W106" i="11"/>
  <c r="Y106" i="11" s="1"/>
  <c r="I104" i="11"/>
  <c r="M313" i="11"/>
  <c r="L313" i="11"/>
  <c r="K313" i="11"/>
  <c r="J313" i="11"/>
  <c r="F313" i="11"/>
  <c r="E313" i="11"/>
  <c r="D313" i="11"/>
  <c r="I313" i="11"/>
  <c r="H313" i="11"/>
  <c r="G313" i="11"/>
  <c r="C315" i="11"/>
  <c r="B314" i="11"/>
  <c r="M103" i="11"/>
  <c r="R318" i="11" l="1"/>
  <c r="Q317" i="11"/>
  <c r="AB316" i="11"/>
  <c r="AA316" i="11"/>
  <c r="Y316" i="11"/>
  <c r="X316" i="11"/>
  <c r="W316" i="11"/>
  <c r="V316" i="11"/>
  <c r="U316" i="11"/>
  <c r="T316" i="11"/>
  <c r="Z316" i="11"/>
  <c r="S316" i="11"/>
  <c r="Z106" i="11"/>
  <c r="AA106" i="11" s="1"/>
  <c r="V107" i="11" s="1"/>
  <c r="M314" i="11"/>
  <c r="L314" i="11"/>
  <c r="K314" i="11"/>
  <c r="J314" i="11"/>
  <c r="I314" i="11"/>
  <c r="H314" i="11"/>
  <c r="F314" i="11"/>
  <c r="E314" i="11"/>
  <c r="D314" i="11"/>
  <c r="G314" i="11"/>
  <c r="H104" i="11"/>
  <c r="J104" i="11" s="1"/>
  <c r="C316" i="11"/>
  <c r="B315" i="11"/>
  <c r="AB106" i="11" l="1"/>
  <c r="X107" i="11"/>
  <c r="AB317" i="11"/>
  <c r="AA317" i="11"/>
  <c r="T317" i="11"/>
  <c r="S317" i="11"/>
  <c r="Z317" i="11"/>
  <c r="Y317" i="11"/>
  <c r="X317" i="11"/>
  <c r="W317" i="11"/>
  <c r="V317" i="11"/>
  <c r="U317" i="11"/>
  <c r="Q318" i="11"/>
  <c r="R319" i="11"/>
  <c r="K104" i="11"/>
  <c r="L104" i="11" s="1"/>
  <c r="G105" i="11" s="1"/>
  <c r="M315" i="11"/>
  <c r="D315" i="11"/>
  <c r="L315" i="11"/>
  <c r="F315" i="11"/>
  <c r="E315" i="11"/>
  <c r="K315" i="11"/>
  <c r="J315" i="11"/>
  <c r="I315" i="11"/>
  <c r="H315" i="11"/>
  <c r="G315" i="11"/>
  <c r="C317" i="11"/>
  <c r="B316" i="11"/>
  <c r="R320" i="11" l="1"/>
  <c r="Q319" i="11"/>
  <c r="W107" i="11"/>
  <c r="Y107" i="11" s="1"/>
  <c r="AB318" i="11"/>
  <c r="AA318" i="11"/>
  <c r="V318" i="11"/>
  <c r="U318" i="11"/>
  <c r="S318" i="11"/>
  <c r="X318" i="11"/>
  <c r="W318" i="11"/>
  <c r="T318" i="11"/>
  <c r="Z318" i="11"/>
  <c r="Y318" i="11"/>
  <c r="I105" i="11"/>
  <c r="M316" i="11"/>
  <c r="E316" i="11"/>
  <c r="D316" i="11"/>
  <c r="L316" i="11"/>
  <c r="K316" i="11"/>
  <c r="J316" i="11"/>
  <c r="I316" i="11"/>
  <c r="H316" i="11"/>
  <c r="G316" i="11"/>
  <c r="F316" i="11"/>
  <c r="C318" i="11"/>
  <c r="B317" i="11"/>
  <c r="M104" i="11"/>
  <c r="Z107" i="11" l="1"/>
  <c r="AB107" i="11" s="1"/>
  <c r="AB319" i="11"/>
  <c r="AA319" i="11"/>
  <c r="X319" i="11"/>
  <c r="W319" i="11"/>
  <c r="Y319" i="11"/>
  <c r="V319" i="11"/>
  <c r="U319" i="11"/>
  <c r="T319" i="11"/>
  <c r="S319" i="11"/>
  <c r="Z319" i="11"/>
  <c r="R321" i="11"/>
  <c r="Q320" i="11"/>
  <c r="M317" i="11"/>
  <c r="F317" i="11"/>
  <c r="E317" i="11"/>
  <c r="D317" i="11"/>
  <c r="J317" i="11"/>
  <c r="I317" i="11"/>
  <c r="H317" i="11"/>
  <c r="G317" i="11"/>
  <c r="L317" i="11"/>
  <c r="K317" i="11"/>
  <c r="C319" i="11"/>
  <c r="B318" i="11"/>
  <c r="H105" i="11"/>
  <c r="J105" i="11" s="1"/>
  <c r="AB320" i="11" l="1"/>
  <c r="AA320" i="11"/>
  <c r="Z320" i="11"/>
  <c r="Y320" i="11"/>
  <c r="X320" i="11"/>
  <c r="W320" i="11"/>
  <c r="V320" i="11"/>
  <c r="U320" i="11"/>
  <c r="T320" i="11"/>
  <c r="S320" i="11"/>
  <c r="R322" i="11"/>
  <c r="Q321" i="11"/>
  <c r="AA107" i="11"/>
  <c r="V108" i="11" s="1"/>
  <c r="M318" i="11"/>
  <c r="G318" i="11"/>
  <c r="F318" i="11"/>
  <c r="E318" i="11"/>
  <c r="D318" i="11"/>
  <c r="L318" i="11"/>
  <c r="K318" i="11"/>
  <c r="J318" i="11"/>
  <c r="I318" i="11"/>
  <c r="H318" i="11"/>
  <c r="C320" i="11"/>
  <c r="B319" i="11"/>
  <c r="K105" i="11"/>
  <c r="M105" i="11" s="1"/>
  <c r="AB321" i="11" l="1"/>
  <c r="AA321" i="11"/>
  <c r="S321" i="11"/>
  <c r="Z321" i="11"/>
  <c r="V321" i="11"/>
  <c r="U321" i="11"/>
  <c r="T321" i="11"/>
  <c r="Y321" i="11"/>
  <c r="X321" i="11"/>
  <c r="W321" i="11"/>
  <c r="Q322" i="11"/>
  <c r="R323" i="11"/>
  <c r="X108" i="11"/>
  <c r="C321" i="11"/>
  <c r="B320" i="11"/>
  <c r="L105" i="11"/>
  <c r="G106" i="11" s="1"/>
  <c r="M319" i="11"/>
  <c r="H319" i="11"/>
  <c r="G319" i="11"/>
  <c r="F319" i="11"/>
  <c r="E319" i="11"/>
  <c r="D319" i="11"/>
  <c r="L319" i="11"/>
  <c r="K319" i="11"/>
  <c r="J319" i="11"/>
  <c r="I319" i="11"/>
  <c r="R324" i="11" l="1"/>
  <c r="Q323" i="11"/>
  <c r="AB322" i="11"/>
  <c r="AA322" i="11"/>
  <c r="W322" i="11"/>
  <c r="V322" i="11"/>
  <c r="U322" i="11"/>
  <c r="T322" i="11"/>
  <c r="S322" i="11"/>
  <c r="Z322" i="11"/>
  <c r="Y322" i="11"/>
  <c r="X322" i="11"/>
  <c r="W108" i="11"/>
  <c r="Y108" i="11" s="1"/>
  <c r="I106" i="11"/>
  <c r="M320" i="11"/>
  <c r="I320" i="11"/>
  <c r="H320" i="11"/>
  <c r="G320" i="11"/>
  <c r="F320" i="11"/>
  <c r="E320" i="11"/>
  <c r="L320" i="11"/>
  <c r="K320" i="11"/>
  <c r="J320" i="11"/>
  <c r="D320" i="11"/>
  <c r="C322" i="11"/>
  <c r="B321" i="11"/>
  <c r="AB323" i="11" l="1"/>
  <c r="AA323" i="11"/>
  <c r="T323" i="11"/>
  <c r="S323" i="11"/>
  <c r="Z323" i="11"/>
  <c r="Y323" i="11"/>
  <c r="X323" i="11"/>
  <c r="W323" i="11"/>
  <c r="V323" i="11"/>
  <c r="U323" i="11"/>
  <c r="Z108" i="11"/>
  <c r="AB108" i="11" s="1"/>
  <c r="Q324" i="11"/>
  <c r="R325" i="11"/>
  <c r="H106" i="11"/>
  <c r="J106" i="11" s="1"/>
  <c r="M321" i="11"/>
  <c r="J321" i="11"/>
  <c r="I321" i="11"/>
  <c r="H321" i="11"/>
  <c r="G321" i="11"/>
  <c r="F321" i="11"/>
  <c r="L321" i="11"/>
  <c r="K321" i="11"/>
  <c r="E321" i="11"/>
  <c r="D321" i="11"/>
  <c r="C323" i="11"/>
  <c r="B322" i="11"/>
  <c r="AA108" i="11" l="1"/>
  <c r="V109" i="11" s="1"/>
  <c r="X109" i="11" s="1"/>
  <c r="Q325" i="11"/>
  <c r="R326" i="11"/>
  <c r="AB324" i="11"/>
  <c r="AA324" i="11"/>
  <c r="V324" i="11"/>
  <c r="U324" i="11"/>
  <c r="Z324" i="11"/>
  <c r="T324" i="11"/>
  <c r="S324" i="11"/>
  <c r="Y324" i="11"/>
  <c r="X324" i="11"/>
  <c r="W324" i="11"/>
  <c r="M322" i="11"/>
  <c r="K322" i="11"/>
  <c r="J322" i="11"/>
  <c r="I322" i="11"/>
  <c r="H322" i="11"/>
  <c r="G322" i="11"/>
  <c r="L322" i="11"/>
  <c r="F322" i="11"/>
  <c r="E322" i="11"/>
  <c r="D322" i="11"/>
  <c r="C324" i="11"/>
  <c r="B323" i="11"/>
  <c r="K106" i="11"/>
  <c r="M106" i="11" s="1"/>
  <c r="L106" i="11" l="1"/>
  <c r="G107" i="11" s="1"/>
  <c r="I107" i="11" s="1"/>
  <c r="R327" i="11"/>
  <c r="Q326" i="11"/>
  <c r="AB325" i="11"/>
  <c r="AA325" i="11"/>
  <c r="X325" i="11"/>
  <c r="W325" i="11"/>
  <c r="U325" i="11"/>
  <c r="T325" i="11"/>
  <c r="S325" i="11"/>
  <c r="Z325" i="11"/>
  <c r="Y325" i="11"/>
  <c r="V325" i="11"/>
  <c r="W109" i="11"/>
  <c r="Y109" i="11" s="1"/>
  <c r="B324" i="11"/>
  <c r="C325" i="11"/>
  <c r="M323" i="11"/>
  <c r="L323" i="11"/>
  <c r="K323" i="11"/>
  <c r="J323" i="11"/>
  <c r="I323" i="11"/>
  <c r="H323" i="11"/>
  <c r="G323" i="11"/>
  <c r="F323" i="11"/>
  <c r="E323" i="11"/>
  <c r="D323" i="11"/>
  <c r="Z109" i="11" l="1"/>
  <c r="AA109" i="11" s="1"/>
  <c r="V110" i="11" s="1"/>
  <c r="AB326" i="11"/>
  <c r="AA326" i="11"/>
  <c r="Z326" i="11"/>
  <c r="Y326" i="11"/>
  <c r="X326" i="11"/>
  <c r="W326" i="11"/>
  <c r="V326" i="11"/>
  <c r="U326" i="11"/>
  <c r="T326" i="11"/>
  <c r="S326" i="11"/>
  <c r="R328" i="11"/>
  <c r="Q327" i="11"/>
  <c r="C326" i="11"/>
  <c r="B325" i="11"/>
  <c r="H107" i="11"/>
  <c r="J107" i="11" s="1"/>
  <c r="M324" i="11"/>
  <c r="L324" i="11"/>
  <c r="K324" i="11"/>
  <c r="J324" i="11"/>
  <c r="I324" i="11"/>
  <c r="G324" i="11"/>
  <c r="F324" i="11"/>
  <c r="E324" i="11"/>
  <c r="D324" i="11"/>
  <c r="H324" i="11"/>
  <c r="X110" i="11" l="1"/>
  <c r="AB327" i="11"/>
  <c r="AA327" i="11"/>
  <c r="Z327" i="11"/>
  <c r="Y327" i="11"/>
  <c r="X327" i="11"/>
  <c r="T327" i="11"/>
  <c r="S327" i="11"/>
  <c r="W327" i="11"/>
  <c r="V327" i="11"/>
  <c r="U327" i="11"/>
  <c r="Q328" i="11"/>
  <c r="R329" i="11"/>
  <c r="AB109" i="11"/>
  <c r="K107" i="11"/>
  <c r="M107" i="11" s="1"/>
  <c r="M325" i="11"/>
  <c r="L325" i="11"/>
  <c r="K325" i="11"/>
  <c r="J325" i="11"/>
  <c r="I325" i="11"/>
  <c r="H325" i="11"/>
  <c r="G325" i="11"/>
  <c r="F325" i="11"/>
  <c r="E325" i="11"/>
  <c r="D325" i="11"/>
  <c r="C327" i="11"/>
  <c r="B326" i="11"/>
  <c r="R330" i="11" l="1"/>
  <c r="Q329" i="11"/>
  <c r="AB328" i="11"/>
  <c r="AA328" i="11"/>
  <c r="U328" i="11"/>
  <c r="T328" i="11"/>
  <c r="S328" i="11"/>
  <c r="Z328" i="11"/>
  <c r="Y328" i="11"/>
  <c r="X328" i="11"/>
  <c r="W328" i="11"/>
  <c r="V328" i="11"/>
  <c r="W110" i="11"/>
  <c r="Y110" i="11" s="1"/>
  <c r="M326" i="11"/>
  <c r="L326" i="11"/>
  <c r="K326" i="11"/>
  <c r="G326" i="11"/>
  <c r="F326" i="11"/>
  <c r="E326" i="11"/>
  <c r="D326" i="11"/>
  <c r="J326" i="11"/>
  <c r="I326" i="11"/>
  <c r="H326" i="11"/>
  <c r="C328" i="11"/>
  <c r="B327" i="11"/>
  <c r="L107" i="11"/>
  <c r="G108" i="11" s="1"/>
  <c r="AB329" i="11" l="1"/>
  <c r="AA329" i="11"/>
  <c r="T329" i="11"/>
  <c r="S329" i="11"/>
  <c r="Y329" i="11"/>
  <c r="X329" i="11"/>
  <c r="W329" i="11"/>
  <c r="V329" i="11"/>
  <c r="U329" i="11"/>
  <c r="Z329" i="11"/>
  <c r="Z110" i="11"/>
  <c r="AB110" i="11" s="1"/>
  <c r="R331" i="11"/>
  <c r="Q330" i="11"/>
  <c r="M327" i="11"/>
  <c r="D327" i="11"/>
  <c r="L327" i="11"/>
  <c r="K327" i="11"/>
  <c r="J327" i="11"/>
  <c r="I327" i="11"/>
  <c r="F327" i="11"/>
  <c r="E327" i="11"/>
  <c r="H327" i="11"/>
  <c r="G327" i="11"/>
  <c r="C329" i="11"/>
  <c r="B328" i="11"/>
  <c r="I108" i="11"/>
  <c r="AA110" i="11" l="1"/>
  <c r="V111" i="11" s="1"/>
  <c r="X111" i="11" s="1"/>
  <c r="AB330" i="11"/>
  <c r="AA330" i="11"/>
  <c r="V330" i="11"/>
  <c r="U330" i="11"/>
  <c r="Z330" i="11"/>
  <c r="Y330" i="11"/>
  <c r="X330" i="11"/>
  <c r="W330" i="11"/>
  <c r="T330" i="11"/>
  <c r="S330" i="11"/>
  <c r="Q331" i="11"/>
  <c r="R332" i="11"/>
  <c r="M328" i="11"/>
  <c r="E328" i="11"/>
  <c r="D328" i="11"/>
  <c r="G328" i="11"/>
  <c r="F328" i="11"/>
  <c r="L328" i="11"/>
  <c r="K328" i="11"/>
  <c r="J328" i="11"/>
  <c r="I328" i="11"/>
  <c r="H328" i="11"/>
  <c r="C330" i="11"/>
  <c r="B329" i="11"/>
  <c r="H108" i="11"/>
  <c r="J108" i="11" s="1"/>
  <c r="R333" i="11" l="1"/>
  <c r="Q332" i="11"/>
  <c r="AB331" i="11"/>
  <c r="AA331" i="11"/>
  <c r="X331" i="11"/>
  <c r="W331" i="11"/>
  <c r="S331" i="11"/>
  <c r="Z331" i="11"/>
  <c r="Y331" i="11"/>
  <c r="V331" i="11"/>
  <c r="U331" i="11"/>
  <c r="T331" i="11"/>
  <c r="W111" i="11"/>
  <c r="Y111" i="11" s="1"/>
  <c r="B330" i="11"/>
  <c r="C331" i="11"/>
  <c r="M329" i="11"/>
  <c r="F329" i="11"/>
  <c r="E329" i="11"/>
  <c r="D329" i="11"/>
  <c r="L329" i="11"/>
  <c r="K329" i="11"/>
  <c r="J329" i="11"/>
  <c r="I329" i="11"/>
  <c r="H329" i="11"/>
  <c r="G329" i="11"/>
  <c r="K108" i="11"/>
  <c r="M108" i="11" s="1"/>
  <c r="AB332" i="11" l="1"/>
  <c r="AA332" i="11"/>
  <c r="Z332" i="11"/>
  <c r="Y332" i="11"/>
  <c r="W332" i="11"/>
  <c r="V332" i="11"/>
  <c r="U332" i="11"/>
  <c r="T332" i="11"/>
  <c r="S332" i="11"/>
  <c r="X332" i="11"/>
  <c r="Z111" i="11"/>
  <c r="AB111" i="11" s="1"/>
  <c r="R334" i="11"/>
  <c r="Q333" i="11"/>
  <c r="C332" i="11"/>
  <c r="B331" i="11"/>
  <c r="L108" i="11"/>
  <c r="G109" i="11" s="1"/>
  <c r="M330" i="11"/>
  <c r="G330" i="11"/>
  <c r="F330" i="11"/>
  <c r="E330" i="11"/>
  <c r="D330" i="11"/>
  <c r="J330" i="11"/>
  <c r="I330" i="11"/>
  <c r="H330" i="11"/>
  <c r="L330" i="11"/>
  <c r="K330" i="11"/>
  <c r="AA111" i="11" l="1"/>
  <c r="V112" i="11" s="1"/>
  <c r="X112" i="11" s="1"/>
  <c r="AB333" i="11"/>
  <c r="AA333" i="11"/>
  <c r="Z333" i="11"/>
  <c r="Y333" i="11"/>
  <c r="X333" i="11"/>
  <c r="W333" i="11"/>
  <c r="V333" i="11"/>
  <c r="U333" i="11"/>
  <c r="T333" i="11"/>
  <c r="S333" i="11"/>
  <c r="Q334" i="11"/>
  <c r="R335" i="11"/>
  <c r="M331" i="11"/>
  <c r="H331" i="11"/>
  <c r="G331" i="11"/>
  <c r="F331" i="11"/>
  <c r="E331" i="11"/>
  <c r="D331" i="11"/>
  <c r="L331" i="11"/>
  <c r="K331" i="11"/>
  <c r="J331" i="11"/>
  <c r="I331" i="11"/>
  <c r="I109" i="11"/>
  <c r="B332" i="11"/>
  <c r="C333" i="11"/>
  <c r="Q335" i="11" l="1"/>
  <c r="R336" i="11"/>
  <c r="AB334" i="11"/>
  <c r="AA334" i="11"/>
  <c r="S334" i="11"/>
  <c r="Z334" i="11"/>
  <c r="Y334" i="11"/>
  <c r="X334" i="11"/>
  <c r="W334" i="11"/>
  <c r="V334" i="11"/>
  <c r="U334" i="11"/>
  <c r="T334" i="11"/>
  <c r="W112" i="11"/>
  <c r="Y112" i="11" s="1"/>
  <c r="C334" i="11"/>
  <c r="B333" i="11"/>
  <c r="M332" i="11"/>
  <c r="I332" i="11"/>
  <c r="H332" i="11"/>
  <c r="G332" i="11"/>
  <c r="F332" i="11"/>
  <c r="E332" i="11"/>
  <c r="L332" i="11"/>
  <c r="K332" i="11"/>
  <c r="J332" i="11"/>
  <c r="D332" i="11"/>
  <c r="H109" i="11"/>
  <c r="J109" i="11" s="1"/>
  <c r="Q336" i="11" l="1"/>
  <c r="R337" i="11"/>
  <c r="Z112" i="11"/>
  <c r="AB112" i="11" s="1"/>
  <c r="AB335" i="11"/>
  <c r="AA335" i="11"/>
  <c r="T335" i="11"/>
  <c r="S335" i="11"/>
  <c r="W335" i="11"/>
  <c r="V335" i="11"/>
  <c r="U335" i="11"/>
  <c r="Z335" i="11"/>
  <c r="Y335" i="11"/>
  <c r="X335" i="11"/>
  <c r="M333" i="11"/>
  <c r="J333" i="11"/>
  <c r="I333" i="11"/>
  <c r="H333" i="11"/>
  <c r="G333" i="11"/>
  <c r="F333" i="11"/>
  <c r="L333" i="11"/>
  <c r="K333" i="11"/>
  <c r="E333" i="11"/>
  <c r="D333" i="11"/>
  <c r="K109" i="11"/>
  <c r="M109" i="11" s="1"/>
  <c r="B334" i="11"/>
  <c r="C335" i="11"/>
  <c r="L109" i="11" l="1"/>
  <c r="G110" i="11" s="1"/>
  <c r="I110" i="11" s="1"/>
  <c r="AA112" i="11"/>
  <c r="V113" i="11" s="1"/>
  <c r="Q337" i="11"/>
  <c r="R338" i="11"/>
  <c r="AB336" i="11"/>
  <c r="AA336" i="11"/>
  <c r="V336" i="11"/>
  <c r="U336" i="11"/>
  <c r="Z336" i="11"/>
  <c r="Y336" i="11"/>
  <c r="X336" i="11"/>
  <c r="W336" i="11"/>
  <c r="T336" i="11"/>
  <c r="S336" i="11"/>
  <c r="C336" i="11"/>
  <c r="B335" i="11"/>
  <c r="M334" i="11"/>
  <c r="K334" i="11"/>
  <c r="J334" i="11"/>
  <c r="I334" i="11"/>
  <c r="H334" i="11"/>
  <c r="G334" i="11"/>
  <c r="L334" i="11"/>
  <c r="F334" i="11"/>
  <c r="E334" i="11"/>
  <c r="D334" i="11"/>
  <c r="Q338" i="11" l="1"/>
  <c r="R339" i="11"/>
  <c r="AB337" i="11"/>
  <c r="AA337" i="11"/>
  <c r="X337" i="11"/>
  <c r="W337" i="11"/>
  <c r="Z337" i="11"/>
  <c r="Y337" i="11"/>
  <c r="V337" i="11"/>
  <c r="U337" i="11"/>
  <c r="T337" i="11"/>
  <c r="S337" i="11"/>
  <c r="X113" i="11"/>
  <c r="B336" i="11"/>
  <c r="C337" i="11"/>
  <c r="M335" i="11"/>
  <c r="L335" i="11"/>
  <c r="K335" i="11"/>
  <c r="J335" i="11"/>
  <c r="I335" i="11"/>
  <c r="H335" i="11"/>
  <c r="G335" i="11"/>
  <c r="F335" i="11"/>
  <c r="E335" i="11"/>
  <c r="D335" i="11"/>
  <c r="H110" i="11"/>
  <c r="J110" i="11" s="1"/>
  <c r="W113" i="11" l="1"/>
  <c r="Y113" i="11" s="1"/>
  <c r="R340" i="11"/>
  <c r="Q339" i="11"/>
  <c r="AB338" i="11"/>
  <c r="AA338" i="11"/>
  <c r="Z338" i="11"/>
  <c r="Y338" i="11"/>
  <c r="U338" i="11"/>
  <c r="T338" i="11"/>
  <c r="S338" i="11"/>
  <c r="X338" i="11"/>
  <c r="W338" i="11"/>
  <c r="V338" i="11"/>
  <c r="C338" i="11"/>
  <c r="B337" i="11"/>
  <c r="K110" i="11"/>
  <c r="M110" i="11" s="1"/>
  <c r="M336" i="11"/>
  <c r="L336" i="11"/>
  <c r="K336" i="11"/>
  <c r="J336" i="11"/>
  <c r="I336" i="11"/>
  <c r="H336" i="11"/>
  <c r="G336" i="11"/>
  <c r="F336" i="11"/>
  <c r="E336" i="11"/>
  <c r="D336" i="11"/>
  <c r="AB339" i="11" l="1"/>
  <c r="AA339" i="11"/>
  <c r="Y339" i="11"/>
  <c r="X339" i="11"/>
  <c r="W339" i="11"/>
  <c r="V339" i="11"/>
  <c r="U339" i="11"/>
  <c r="T339" i="11"/>
  <c r="S339" i="11"/>
  <c r="Z339" i="11"/>
  <c r="Q340" i="11"/>
  <c r="R341" i="11"/>
  <c r="Z113" i="11"/>
  <c r="AA113" i="11" s="1"/>
  <c r="V114" i="11" s="1"/>
  <c r="L110" i="11"/>
  <c r="G111" i="11" s="1"/>
  <c r="M337" i="11"/>
  <c r="L337" i="11"/>
  <c r="K337" i="11"/>
  <c r="J337" i="11"/>
  <c r="H337" i="11"/>
  <c r="G337" i="11"/>
  <c r="F337" i="11"/>
  <c r="E337" i="11"/>
  <c r="D337" i="11"/>
  <c r="I337" i="11"/>
  <c r="C339" i="11"/>
  <c r="B338" i="11"/>
  <c r="AB113" i="11" l="1"/>
  <c r="Q341" i="11"/>
  <c r="R342" i="11"/>
  <c r="AB340" i="11"/>
  <c r="AA340" i="11"/>
  <c r="Z340" i="11"/>
  <c r="Y340" i="11"/>
  <c r="X340" i="11"/>
  <c r="W340" i="11"/>
  <c r="V340" i="11"/>
  <c r="U340" i="11"/>
  <c r="T340" i="11"/>
  <c r="S340" i="11"/>
  <c r="X114" i="11"/>
  <c r="C340" i="11"/>
  <c r="B339" i="11"/>
  <c r="M338" i="11"/>
  <c r="L338" i="11"/>
  <c r="K338" i="11"/>
  <c r="J338" i="11"/>
  <c r="I338" i="11"/>
  <c r="H338" i="11"/>
  <c r="G338" i="11"/>
  <c r="F338" i="11"/>
  <c r="E338" i="11"/>
  <c r="D338" i="11"/>
  <c r="I111" i="11"/>
  <c r="W114" i="11" l="1"/>
  <c r="Y114" i="11" s="1"/>
  <c r="Q342" i="11"/>
  <c r="R343" i="11"/>
  <c r="AB341" i="11"/>
  <c r="AA341" i="11"/>
  <c r="T341" i="11"/>
  <c r="S341" i="11"/>
  <c r="U341" i="11"/>
  <c r="Z341" i="11"/>
  <c r="Y341" i="11"/>
  <c r="X341" i="11"/>
  <c r="W341" i="11"/>
  <c r="V341" i="11"/>
  <c r="M339" i="11"/>
  <c r="D339" i="11"/>
  <c r="L339" i="11"/>
  <c r="H339" i="11"/>
  <c r="G339" i="11"/>
  <c r="F339" i="11"/>
  <c r="E339" i="11"/>
  <c r="K339" i="11"/>
  <c r="J339" i="11"/>
  <c r="I339" i="11"/>
  <c r="H111" i="11"/>
  <c r="J111" i="11" s="1"/>
  <c r="C341" i="11"/>
  <c r="B340" i="11"/>
  <c r="R344" i="11" l="1"/>
  <c r="Q343" i="11"/>
  <c r="AB342" i="11"/>
  <c r="AA342" i="11"/>
  <c r="V342" i="11"/>
  <c r="U342" i="11"/>
  <c r="Y342" i="11"/>
  <c r="X342" i="11"/>
  <c r="W342" i="11"/>
  <c r="T342" i="11"/>
  <c r="S342" i="11"/>
  <c r="Z342" i="11"/>
  <c r="Z114" i="11"/>
  <c r="AA114" i="11" s="1"/>
  <c r="V115" i="11" s="1"/>
  <c r="K111" i="11"/>
  <c r="M111" i="11" s="1"/>
  <c r="M340" i="11"/>
  <c r="E340" i="11"/>
  <c r="D340" i="11"/>
  <c r="L340" i="11"/>
  <c r="K340" i="11"/>
  <c r="J340" i="11"/>
  <c r="I340" i="11"/>
  <c r="H340" i="11"/>
  <c r="G340" i="11"/>
  <c r="F340" i="11"/>
  <c r="C342" i="11"/>
  <c r="B341" i="11"/>
  <c r="AB114" i="11" l="1"/>
  <c r="X115" i="11"/>
  <c r="AB343" i="11"/>
  <c r="AA343" i="11"/>
  <c r="X343" i="11"/>
  <c r="W343" i="11"/>
  <c r="Z343" i="11"/>
  <c r="Y343" i="11"/>
  <c r="V343" i="11"/>
  <c r="U343" i="11"/>
  <c r="T343" i="11"/>
  <c r="S343" i="11"/>
  <c r="Q344" i="11"/>
  <c r="R345" i="11"/>
  <c r="M341" i="11"/>
  <c r="F341" i="11"/>
  <c r="E341" i="11"/>
  <c r="D341" i="11"/>
  <c r="H341" i="11"/>
  <c r="G341" i="11"/>
  <c r="L341" i="11"/>
  <c r="K341" i="11"/>
  <c r="J341" i="11"/>
  <c r="I341" i="11"/>
  <c r="C343" i="11"/>
  <c r="B342" i="11"/>
  <c r="L111" i="11"/>
  <c r="G112" i="11" s="1"/>
  <c r="AB344" i="11" l="1"/>
  <c r="AA344" i="11"/>
  <c r="Z344" i="11"/>
  <c r="Y344" i="11"/>
  <c r="S344" i="11"/>
  <c r="X344" i="11"/>
  <c r="W344" i="11"/>
  <c r="V344" i="11"/>
  <c r="U344" i="11"/>
  <c r="T344" i="11"/>
  <c r="W115" i="11"/>
  <c r="Y115" i="11" s="1"/>
  <c r="R346" i="11"/>
  <c r="Q345" i="11"/>
  <c r="M342" i="11"/>
  <c r="G342" i="11"/>
  <c r="F342" i="11"/>
  <c r="E342" i="11"/>
  <c r="D342" i="11"/>
  <c r="L342" i="11"/>
  <c r="K342" i="11"/>
  <c r="J342" i="11"/>
  <c r="I342" i="11"/>
  <c r="H342" i="11"/>
  <c r="B343" i="11"/>
  <c r="C344" i="11"/>
  <c r="I112" i="11"/>
  <c r="Z115" i="11" l="1"/>
  <c r="AA115" i="11" s="1"/>
  <c r="V116" i="11" s="1"/>
  <c r="AB345" i="11"/>
  <c r="AA345" i="11"/>
  <c r="W345" i="11"/>
  <c r="V345" i="11"/>
  <c r="U345" i="11"/>
  <c r="T345" i="11"/>
  <c r="S345" i="11"/>
  <c r="Z345" i="11"/>
  <c r="Y345" i="11"/>
  <c r="X345" i="11"/>
  <c r="Q346" i="11"/>
  <c r="R347" i="11"/>
  <c r="C345" i="11"/>
  <c r="B344" i="11"/>
  <c r="M343" i="11"/>
  <c r="H343" i="11"/>
  <c r="G343" i="11"/>
  <c r="F343" i="11"/>
  <c r="E343" i="11"/>
  <c r="D343" i="11"/>
  <c r="I343" i="11"/>
  <c r="L343" i="11"/>
  <c r="K343" i="11"/>
  <c r="J343" i="11"/>
  <c r="H112" i="11"/>
  <c r="J112" i="11" s="1"/>
  <c r="AB115" i="11" l="1"/>
  <c r="X116" i="11"/>
  <c r="Q347" i="11"/>
  <c r="R348" i="11"/>
  <c r="AB346" i="11"/>
  <c r="AA346" i="11"/>
  <c r="Z346" i="11"/>
  <c r="Y346" i="11"/>
  <c r="X346" i="11"/>
  <c r="W346" i="11"/>
  <c r="V346" i="11"/>
  <c r="U346" i="11"/>
  <c r="T346" i="11"/>
  <c r="S346" i="11"/>
  <c r="M344" i="11"/>
  <c r="I344" i="11"/>
  <c r="H344" i="11"/>
  <c r="G344" i="11"/>
  <c r="F344" i="11"/>
  <c r="E344" i="11"/>
  <c r="L344" i="11"/>
  <c r="K344" i="11"/>
  <c r="J344" i="11"/>
  <c r="D344" i="11"/>
  <c r="K112" i="11"/>
  <c r="M112" i="11" s="1"/>
  <c r="B345" i="11"/>
  <c r="C346" i="11"/>
  <c r="Q348" i="11" l="1"/>
  <c r="R349" i="11"/>
  <c r="AB347" i="11"/>
  <c r="AA347" i="11"/>
  <c r="T347" i="11"/>
  <c r="S347" i="11"/>
  <c r="Z347" i="11"/>
  <c r="Y347" i="11"/>
  <c r="X347" i="11"/>
  <c r="W347" i="11"/>
  <c r="V347" i="11"/>
  <c r="U347" i="11"/>
  <c r="W116" i="11"/>
  <c r="Y116" i="11" s="1"/>
  <c r="L112" i="11"/>
  <c r="G113" i="11" s="1"/>
  <c r="C347" i="11"/>
  <c r="B346" i="11"/>
  <c r="M345" i="11"/>
  <c r="J345" i="11"/>
  <c r="I345" i="11"/>
  <c r="H345" i="11"/>
  <c r="G345" i="11"/>
  <c r="F345" i="11"/>
  <c r="L345" i="11"/>
  <c r="K345" i="11"/>
  <c r="E345" i="11"/>
  <c r="D345" i="11"/>
  <c r="Z116" i="11" l="1"/>
  <c r="AA116" i="11" s="1"/>
  <c r="V117" i="11" s="1"/>
  <c r="R350" i="11"/>
  <c r="Q349" i="11"/>
  <c r="AB348" i="11"/>
  <c r="AA348" i="11"/>
  <c r="V348" i="11"/>
  <c r="U348" i="11"/>
  <c r="W348" i="11"/>
  <c r="T348" i="11"/>
  <c r="S348" i="11"/>
  <c r="Z348" i="11"/>
  <c r="Y348" i="11"/>
  <c r="X348" i="11"/>
  <c r="M346" i="11"/>
  <c r="K346" i="11"/>
  <c r="J346" i="11"/>
  <c r="I346" i="11"/>
  <c r="H346" i="11"/>
  <c r="G346" i="11"/>
  <c r="L346" i="11"/>
  <c r="F346" i="11"/>
  <c r="E346" i="11"/>
  <c r="D346" i="11"/>
  <c r="B347" i="11"/>
  <c r="C348" i="11"/>
  <c r="I113" i="11"/>
  <c r="AB116" i="11" l="1"/>
  <c r="X117" i="11"/>
  <c r="AB349" i="11"/>
  <c r="AA349" i="11"/>
  <c r="X349" i="11"/>
  <c r="W349" i="11"/>
  <c r="Z349" i="11"/>
  <c r="Y349" i="11"/>
  <c r="V349" i="11"/>
  <c r="U349" i="11"/>
  <c r="T349" i="11"/>
  <c r="S349" i="11"/>
  <c r="Q350" i="11"/>
  <c r="R351" i="11"/>
  <c r="C349" i="11"/>
  <c r="B348" i="11"/>
  <c r="M347" i="11"/>
  <c r="L347" i="11"/>
  <c r="K347" i="11"/>
  <c r="J347" i="11"/>
  <c r="I347" i="11"/>
  <c r="H347" i="11"/>
  <c r="G347" i="11"/>
  <c r="F347" i="11"/>
  <c r="E347" i="11"/>
  <c r="D347" i="11"/>
  <c r="H113" i="11"/>
  <c r="J113" i="11" s="1"/>
  <c r="R352" i="11" l="1"/>
  <c r="Q351" i="11"/>
  <c r="AB350" i="11"/>
  <c r="AA350" i="11"/>
  <c r="Z350" i="11"/>
  <c r="Y350" i="11"/>
  <c r="X350" i="11"/>
  <c r="W350" i="11"/>
  <c r="S350" i="11"/>
  <c r="V350" i="11"/>
  <c r="U350" i="11"/>
  <c r="T350" i="11"/>
  <c r="W117" i="11"/>
  <c r="Y117" i="11" s="1"/>
  <c r="M348" i="11"/>
  <c r="L348" i="11"/>
  <c r="K348" i="11"/>
  <c r="J348" i="11"/>
  <c r="I348" i="11"/>
  <c r="H348" i="11"/>
  <c r="G348" i="11"/>
  <c r="F348" i="11"/>
  <c r="E348" i="11"/>
  <c r="D348" i="11"/>
  <c r="K113" i="11"/>
  <c r="M113" i="11" s="1"/>
  <c r="C350" i="11"/>
  <c r="B349" i="11"/>
  <c r="L113" i="11" l="1"/>
  <c r="G114" i="11" s="1"/>
  <c r="I114" i="11" s="1"/>
  <c r="AB351" i="11"/>
  <c r="AA351" i="11"/>
  <c r="U351" i="11"/>
  <c r="T351" i="11"/>
  <c r="S351" i="11"/>
  <c r="Z351" i="11"/>
  <c r="Y351" i="11"/>
  <c r="X351" i="11"/>
  <c r="W351" i="11"/>
  <c r="V351" i="11"/>
  <c r="Z117" i="11"/>
  <c r="AB117" i="11" s="1"/>
  <c r="Q352" i="11"/>
  <c r="R353" i="11"/>
  <c r="M349" i="11"/>
  <c r="L349" i="11"/>
  <c r="K349" i="11"/>
  <c r="J349" i="11"/>
  <c r="I349" i="11"/>
  <c r="H349" i="11"/>
  <c r="D349" i="11"/>
  <c r="G349" i="11"/>
  <c r="F349" i="11"/>
  <c r="E349" i="11"/>
  <c r="C351" i="11"/>
  <c r="B350" i="11"/>
  <c r="AA117" i="11" l="1"/>
  <c r="V118" i="11" s="1"/>
  <c r="R354" i="11"/>
  <c r="Q353" i="11"/>
  <c r="AB352" i="11"/>
  <c r="AA352" i="11"/>
  <c r="Y352" i="11"/>
  <c r="X352" i="11"/>
  <c r="W352" i="11"/>
  <c r="V352" i="11"/>
  <c r="U352" i="11"/>
  <c r="T352" i="11"/>
  <c r="S352" i="11"/>
  <c r="Z352" i="11"/>
  <c r="M350" i="11"/>
  <c r="L350" i="11"/>
  <c r="K350" i="11"/>
  <c r="I350" i="11"/>
  <c r="H350" i="11"/>
  <c r="G350" i="11"/>
  <c r="F350" i="11"/>
  <c r="E350" i="11"/>
  <c r="D350" i="11"/>
  <c r="J350" i="11"/>
  <c r="H114" i="11"/>
  <c r="J114" i="11" s="1"/>
  <c r="C352" i="11"/>
  <c r="B351" i="11"/>
  <c r="AB353" i="11" l="1"/>
  <c r="AA353" i="11"/>
  <c r="T353" i="11"/>
  <c r="S353" i="11"/>
  <c r="Z353" i="11"/>
  <c r="Y353" i="11"/>
  <c r="X353" i="11"/>
  <c r="W353" i="11"/>
  <c r="U353" i="11"/>
  <c r="V353" i="11"/>
  <c r="Q354" i="11"/>
  <c r="R355" i="11"/>
  <c r="X118" i="11"/>
  <c r="K114" i="11"/>
  <c r="L114" i="11" s="1"/>
  <c r="G115" i="11" s="1"/>
  <c r="M351" i="11"/>
  <c r="D351" i="11"/>
  <c r="L351" i="11"/>
  <c r="K351" i="11"/>
  <c r="J351" i="11"/>
  <c r="I351" i="11"/>
  <c r="H351" i="11"/>
  <c r="G351" i="11"/>
  <c r="F351" i="11"/>
  <c r="E351" i="11"/>
  <c r="C353" i="11"/>
  <c r="B352" i="11"/>
  <c r="M114" i="11" l="1"/>
  <c r="Q355" i="11"/>
  <c r="R356" i="11"/>
  <c r="AB354" i="11"/>
  <c r="AA354" i="11"/>
  <c r="V354" i="11"/>
  <c r="U354" i="11"/>
  <c r="S354" i="11"/>
  <c r="Z354" i="11"/>
  <c r="Y354" i="11"/>
  <c r="X354" i="11"/>
  <c r="W354" i="11"/>
  <c r="T354" i="11"/>
  <c r="W118" i="11"/>
  <c r="Y118" i="11" s="1"/>
  <c r="M352" i="11"/>
  <c r="E352" i="11"/>
  <c r="D352" i="11"/>
  <c r="I352" i="11"/>
  <c r="H352" i="11"/>
  <c r="G352" i="11"/>
  <c r="F352" i="11"/>
  <c r="L352" i="11"/>
  <c r="K352" i="11"/>
  <c r="J352" i="11"/>
  <c r="C354" i="11"/>
  <c r="B353" i="11"/>
  <c r="I115" i="11"/>
  <c r="Z118" i="11" l="1"/>
  <c r="AA118" i="11" s="1"/>
  <c r="V119" i="11" s="1"/>
  <c r="R357" i="11"/>
  <c r="Q356" i="11"/>
  <c r="AB355" i="11"/>
  <c r="AA355" i="11"/>
  <c r="X355" i="11"/>
  <c r="W355" i="11"/>
  <c r="Y355" i="11"/>
  <c r="V355" i="11"/>
  <c r="U355" i="11"/>
  <c r="T355" i="11"/>
  <c r="S355" i="11"/>
  <c r="Z355" i="11"/>
  <c r="M353" i="11"/>
  <c r="F353" i="11"/>
  <c r="E353" i="11"/>
  <c r="D353" i="11"/>
  <c r="L353" i="11"/>
  <c r="K353" i="11"/>
  <c r="J353" i="11"/>
  <c r="I353" i="11"/>
  <c r="H353" i="11"/>
  <c r="G353" i="11"/>
  <c r="B354" i="11"/>
  <c r="C355" i="11"/>
  <c r="H115" i="11"/>
  <c r="J115" i="11" s="1"/>
  <c r="AB118" i="11" l="1"/>
  <c r="AB356" i="11"/>
  <c r="AA356" i="11"/>
  <c r="Z356" i="11"/>
  <c r="Y356" i="11"/>
  <c r="X356" i="11"/>
  <c r="W356" i="11"/>
  <c r="V356" i="11"/>
  <c r="U356" i="11"/>
  <c r="T356" i="11"/>
  <c r="S356" i="11"/>
  <c r="R358" i="11"/>
  <c r="Q357" i="11"/>
  <c r="X119" i="11"/>
  <c r="C356" i="11"/>
  <c r="B355" i="11"/>
  <c r="M354" i="11"/>
  <c r="G354" i="11"/>
  <c r="F354" i="11"/>
  <c r="E354" i="11"/>
  <c r="D354" i="11"/>
  <c r="I354" i="11"/>
  <c r="H354" i="11"/>
  <c r="L354" i="11"/>
  <c r="K354" i="11"/>
  <c r="J354" i="11"/>
  <c r="K115" i="11"/>
  <c r="M115" i="11" s="1"/>
  <c r="AB357" i="11" l="1"/>
  <c r="AA357" i="11"/>
  <c r="S357" i="11"/>
  <c r="Z357" i="11"/>
  <c r="Y357" i="11"/>
  <c r="T357" i="11"/>
  <c r="X357" i="11"/>
  <c r="W357" i="11"/>
  <c r="V357" i="11"/>
  <c r="U357" i="11"/>
  <c r="Q358" i="11"/>
  <c r="R359" i="11"/>
  <c r="W119" i="11"/>
  <c r="Y119" i="11" s="1"/>
  <c r="M355" i="11"/>
  <c r="H355" i="11"/>
  <c r="G355" i="11"/>
  <c r="F355" i="11"/>
  <c r="E355" i="11"/>
  <c r="D355" i="11"/>
  <c r="L355" i="11"/>
  <c r="K355" i="11"/>
  <c r="J355" i="11"/>
  <c r="I355" i="11"/>
  <c r="L115" i="11"/>
  <c r="G116" i="11" s="1"/>
  <c r="B356" i="11"/>
  <c r="C357" i="11"/>
  <c r="Q359" i="11" l="1"/>
  <c r="R360" i="11"/>
  <c r="AB358" i="11"/>
  <c r="AA358" i="11"/>
  <c r="W358" i="11"/>
  <c r="V358" i="11"/>
  <c r="U358" i="11"/>
  <c r="T358" i="11"/>
  <c r="S358" i="11"/>
  <c r="Z358" i="11"/>
  <c r="Y358" i="11"/>
  <c r="X358" i="11"/>
  <c r="Z119" i="11"/>
  <c r="AA119" i="11" s="1"/>
  <c r="V120" i="11" s="1"/>
  <c r="I116" i="11"/>
  <c r="M356" i="11"/>
  <c r="I356" i="11"/>
  <c r="H356" i="11"/>
  <c r="G356" i="11"/>
  <c r="F356" i="11"/>
  <c r="E356" i="11"/>
  <c r="D356" i="11"/>
  <c r="L356" i="11"/>
  <c r="K356" i="11"/>
  <c r="J356" i="11"/>
  <c r="C358" i="11"/>
  <c r="B357" i="11"/>
  <c r="AB119" i="11" l="1"/>
  <c r="X120" i="11"/>
  <c r="Q360" i="11"/>
  <c r="R361" i="11"/>
  <c r="AB359" i="11"/>
  <c r="AA359" i="11"/>
  <c r="T359" i="11"/>
  <c r="S359" i="11"/>
  <c r="Z359" i="11"/>
  <c r="Y359" i="11"/>
  <c r="X359" i="11"/>
  <c r="W359" i="11"/>
  <c r="V359" i="11"/>
  <c r="U359" i="11"/>
  <c r="H116" i="11"/>
  <c r="J116" i="11" s="1"/>
  <c r="M357" i="11"/>
  <c r="J357" i="11"/>
  <c r="I357" i="11"/>
  <c r="H357" i="11"/>
  <c r="G357" i="11"/>
  <c r="F357" i="11"/>
  <c r="L357" i="11"/>
  <c r="K357" i="11"/>
  <c r="E357" i="11"/>
  <c r="D357" i="11"/>
  <c r="B358" i="11"/>
  <c r="C359" i="11"/>
  <c r="Q361" i="11" l="1"/>
  <c r="R362" i="11"/>
  <c r="W120" i="11"/>
  <c r="Y120" i="11" s="1"/>
  <c r="AB360" i="11"/>
  <c r="AA360" i="11"/>
  <c r="V360" i="11"/>
  <c r="U360" i="11"/>
  <c r="Z360" i="11"/>
  <c r="Y360" i="11"/>
  <c r="X360" i="11"/>
  <c r="W360" i="11"/>
  <c r="T360" i="11"/>
  <c r="S360" i="11"/>
  <c r="C360" i="11"/>
  <c r="B359" i="11"/>
  <c r="M358" i="11"/>
  <c r="K358" i="11"/>
  <c r="J358" i="11"/>
  <c r="I358" i="11"/>
  <c r="H358" i="11"/>
  <c r="G358" i="11"/>
  <c r="D358" i="11"/>
  <c r="L358" i="11"/>
  <c r="F358" i="11"/>
  <c r="E358" i="11"/>
  <c r="K116" i="11"/>
  <c r="M116" i="11" s="1"/>
  <c r="L116" i="11" l="1"/>
  <c r="G117" i="11" s="1"/>
  <c r="I117" i="11" s="1"/>
  <c r="Z120" i="11"/>
  <c r="AB120" i="11" s="1"/>
  <c r="Q362" i="11"/>
  <c r="R363" i="11"/>
  <c r="AB361" i="11"/>
  <c r="AA361" i="11"/>
  <c r="X361" i="11"/>
  <c r="W361" i="11"/>
  <c r="U361" i="11"/>
  <c r="T361" i="11"/>
  <c r="S361" i="11"/>
  <c r="Y361" i="11"/>
  <c r="V361" i="11"/>
  <c r="Z361" i="11"/>
  <c r="M359" i="11"/>
  <c r="L359" i="11"/>
  <c r="K359" i="11"/>
  <c r="J359" i="11"/>
  <c r="I359" i="11"/>
  <c r="H359" i="11"/>
  <c r="G359" i="11"/>
  <c r="F359" i="11"/>
  <c r="E359" i="11"/>
  <c r="D359" i="11"/>
  <c r="B360" i="11"/>
  <c r="C361" i="11"/>
  <c r="AB362" i="11" l="1"/>
  <c r="AA362" i="11"/>
  <c r="Z362" i="11"/>
  <c r="Y362" i="11"/>
  <c r="X362" i="11"/>
  <c r="W362" i="11"/>
  <c r="V362" i="11"/>
  <c r="U362" i="11"/>
  <c r="T362" i="11"/>
  <c r="S362" i="11"/>
  <c r="R364" i="11"/>
  <c r="Q363" i="11"/>
  <c r="AA120" i="11"/>
  <c r="V121" i="11" s="1"/>
  <c r="C362" i="11"/>
  <c r="B361" i="11"/>
  <c r="M360" i="11"/>
  <c r="L360" i="11"/>
  <c r="K360" i="11"/>
  <c r="J360" i="11"/>
  <c r="I360" i="11"/>
  <c r="D360" i="11"/>
  <c r="G360" i="11"/>
  <c r="H360" i="11"/>
  <c r="F360" i="11"/>
  <c r="E360" i="11"/>
  <c r="H117" i="11"/>
  <c r="J117" i="11" s="1"/>
  <c r="AB363" i="11" l="1"/>
  <c r="AA363" i="11"/>
  <c r="Z363" i="11"/>
  <c r="Y363" i="11"/>
  <c r="X363" i="11"/>
  <c r="W363" i="11"/>
  <c r="V363" i="11"/>
  <c r="U363" i="11"/>
  <c r="T363" i="11"/>
  <c r="S363" i="11"/>
  <c r="Q364" i="11"/>
  <c r="R365" i="11"/>
  <c r="X121" i="11"/>
  <c r="M361" i="11"/>
  <c r="L361" i="11"/>
  <c r="K361" i="11"/>
  <c r="J361" i="11"/>
  <c r="I361" i="11"/>
  <c r="H361" i="11"/>
  <c r="G361" i="11"/>
  <c r="F361" i="11"/>
  <c r="E361" i="11"/>
  <c r="D361" i="11"/>
  <c r="K117" i="11"/>
  <c r="M117" i="11" s="1"/>
  <c r="C363" i="11"/>
  <c r="B362" i="11"/>
  <c r="Q365" i="11" l="1"/>
  <c r="R366" i="11"/>
  <c r="AB364" i="11"/>
  <c r="AA364" i="11"/>
  <c r="U364" i="11"/>
  <c r="T364" i="11"/>
  <c r="S364" i="11"/>
  <c r="Z364" i="11"/>
  <c r="Y364" i="11"/>
  <c r="X364" i="11"/>
  <c r="W364" i="11"/>
  <c r="V364" i="11"/>
  <c r="W121" i="11"/>
  <c r="Y121" i="11" s="1"/>
  <c r="L117" i="11"/>
  <c r="G118" i="11" s="1"/>
  <c r="M362" i="11"/>
  <c r="L362" i="11"/>
  <c r="K362" i="11"/>
  <c r="D362" i="11"/>
  <c r="J362" i="11"/>
  <c r="I362" i="11"/>
  <c r="G362" i="11"/>
  <c r="F362" i="11"/>
  <c r="E362" i="11"/>
  <c r="H362" i="11"/>
  <c r="C364" i="11"/>
  <c r="B363" i="11"/>
  <c r="Z121" i="11" l="1"/>
  <c r="AA121" i="11" s="1"/>
  <c r="V122" i="11" s="1"/>
  <c r="R367" i="11"/>
  <c r="Q366" i="11"/>
  <c r="AB365" i="11"/>
  <c r="AA365" i="11"/>
  <c r="T365" i="11"/>
  <c r="S365" i="11"/>
  <c r="Y365" i="11"/>
  <c r="X365" i="11"/>
  <c r="W365" i="11"/>
  <c r="V365" i="11"/>
  <c r="U365" i="11"/>
  <c r="Z365" i="11"/>
  <c r="C365" i="11"/>
  <c r="B364" i="11"/>
  <c r="M363" i="11"/>
  <c r="D363" i="11"/>
  <c r="L363" i="11"/>
  <c r="J363" i="11"/>
  <c r="I363" i="11"/>
  <c r="H363" i="11"/>
  <c r="G363" i="11"/>
  <c r="F363" i="11"/>
  <c r="E363" i="11"/>
  <c r="K363" i="11"/>
  <c r="I118" i="11"/>
  <c r="AB121" i="11" l="1"/>
  <c r="X122" i="11"/>
  <c r="AB366" i="11"/>
  <c r="AA366" i="11"/>
  <c r="V366" i="11"/>
  <c r="U366" i="11"/>
  <c r="Z366" i="11"/>
  <c r="Y366" i="11"/>
  <c r="X366" i="11"/>
  <c r="W366" i="11"/>
  <c r="T366" i="11"/>
  <c r="S366" i="11"/>
  <c r="Q367" i="11"/>
  <c r="R368" i="11"/>
  <c r="H118" i="11"/>
  <c r="J118" i="11" s="1"/>
  <c r="M364" i="11"/>
  <c r="E364" i="11"/>
  <c r="D364" i="11"/>
  <c r="L364" i="11"/>
  <c r="K364" i="11"/>
  <c r="J364" i="11"/>
  <c r="I364" i="11"/>
  <c r="G364" i="11"/>
  <c r="H364" i="11"/>
  <c r="F364" i="11"/>
  <c r="C366" i="11"/>
  <c r="B365" i="11"/>
  <c r="Q368" i="11" l="1"/>
  <c r="R369" i="11"/>
  <c r="W122" i="11"/>
  <c r="Y122" i="11" s="1"/>
  <c r="AB367" i="11"/>
  <c r="AA367" i="11"/>
  <c r="X367" i="11"/>
  <c r="W367" i="11"/>
  <c r="S367" i="11"/>
  <c r="Z367" i="11"/>
  <c r="Y367" i="11"/>
  <c r="U367" i="11"/>
  <c r="T367" i="11"/>
  <c r="V367" i="11"/>
  <c r="M365" i="11"/>
  <c r="F365" i="11"/>
  <c r="E365" i="11"/>
  <c r="D365" i="11"/>
  <c r="J365" i="11"/>
  <c r="I365" i="11"/>
  <c r="H365" i="11"/>
  <c r="G365" i="11"/>
  <c r="L365" i="11"/>
  <c r="K365" i="11"/>
  <c r="C367" i="11"/>
  <c r="B366" i="11"/>
  <c r="K118" i="11"/>
  <c r="M118" i="11" s="1"/>
  <c r="Z122" i="11" l="1"/>
  <c r="AA122" i="11" s="1"/>
  <c r="V123" i="11" s="1"/>
  <c r="R370" i="11"/>
  <c r="Q369" i="11"/>
  <c r="AB368" i="11"/>
  <c r="AA368" i="11"/>
  <c r="Z368" i="11"/>
  <c r="Y368" i="11"/>
  <c r="W368" i="11"/>
  <c r="V368" i="11"/>
  <c r="U368" i="11"/>
  <c r="T368" i="11"/>
  <c r="S368" i="11"/>
  <c r="X368" i="11"/>
  <c r="M366" i="11"/>
  <c r="G366" i="11"/>
  <c r="F366" i="11"/>
  <c r="E366" i="11"/>
  <c r="D366" i="11"/>
  <c r="L366" i="11"/>
  <c r="K366" i="11"/>
  <c r="J366" i="11"/>
  <c r="I366" i="11"/>
  <c r="H366" i="11"/>
  <c r="B367" i="11"/>
  <c r="C368" i="11"/>
  <c r="L118" i="11"/>
  <c r="G119" i="11" s="1"/>
  <c r="AB122" i="11" l="1"/>
  <c r="X123" i="11"/>
  <c r="AB369" i="11"/>
  <c r="AA369" i="11"/>
  <c r="Z369" i="11"/>
  <c r="Y369" i="11"/>
  <c r="X369" i="11"/>
  <c r="W369" i="11"/>
  <c r="V369" i="11"/>
  <c r="U369" i="11"/>
  <c r="T369" i="11"/>
  <c r="S369" i="11"/>
  <c r="Q370" i="11"/>
  <c r="R371" i="11"/>
  <c r="C369" i="11"/>
  <c r="B368" i="11"/>
  <c r="M367" i="11"/>
  <c r="H367" i="11"/>
  <c r="G367" i="11"/>
  <c r="F367" i="11"/>
  <c r="E367" i="11"/>
  <c r="D367" i="11"/>
  <c r="J367" i="11"/>
  <c r="I367" i="11"/>
  <c r="L367" i="11"/>
  <c r="K367" i="11"/>
  <c r="I119" i="11"/>
  <c r="Q371" i="11" l="1"/>
  <c r="R372" i="11"/>
  <c r="AB370" i="11"/>
  <c r="AA370" i="11"/>
  <c r="S370" i="11"/>
  <c r="Z370" i="11"/>
  <c r="Y370" i="11"/>
  <c r="X370" i="11"/>
  <c r="W370" i="11"/>
  <c r="V370" i="11"/>
  <c r="U370" i="11"/>
  <c r="T370" i="11"/>
  <c r="W123" i="11"/>
  <c r="Y123" i="11" s="1"/>
  <c r="H119" i="11"/>
  <c r="J119" i="11" s="1"/>
  <c r="M368" i="11"/>
  <c r="I368" i="11"/>
  <c r="H368" i="11"/>
  <c r="G368" i="11"/>
  <c r="F368" i="11"/>
  <c r="E368" i="11"/>
  <c r="L368" i="11"/>
  <c r="K368" i="11"/>
  <c r="J368" i="11"/>
  <c r="D368" i="11"/>
  <c r="B369" i="11"/>
  <c r="C370" i="11"/>
  <c r="AB371" i="11" l="1"/>
  <c r="AA371" i="11"/>
  <c r="T371" i="11"/>
  <c r="S371" i="11"/>
  <c r="W371" i="11"/>
  <c r="V371" i="11"/>
  <c r="U371" i="11"/>
  <c r="Z371" i="11"/>
  <c r="Y371" i="11"/>
  <c r="X371" i="11"/>
  <c r="Z123" i="11"/>
  <c r="AB123" i="11" s="1"/>
  <c r="Q372" i="11"/>
  <c r="R373" i="11"/>
  <c r="C371" i="11"/>
  <c r="B370" i="11"/>
  <c r="K119" i="11"/>
  <c r="L119" i="11" s="1"/>
  <c r="G120" i="11" s="1"/>
  <c r="M369" i="11"/>
  <c r="J369" i="11"/>
  <c r="I369" i="11"/>
  <c r="H369" i="11"/>
  <c r="G369" i="11"/>
  <c r="F369" i="11"/>
  <c r="E369" i="11"/>
  <c r="D369" i="11"/>
  <c r="L369" i="11"/>
  <c r="K369" i="11"/>
  <c r="AA123" i="11" l="1"/>
  <c r="V124" i="11" s="1"/>
  <c r="Q373" i="11"/>
  <c r="R374" i="11"/>
  <c r="AB372" i="11"/>
  <c r="AA372" i="11"/>
  <c r="V372" i="11"/>
  <c r="U372" i="11"/>
  <c r="Z372" i="11"/>
  <c r="Y372" i="11"/>
  <c r="X372" i="11"/>
  <c r="W372" i="11"/>
  <c r="T372" i="11"/>
  <c r="S372" i="11"/>
  <c r="I120" i="11"/>
  <c r="M119" i="11"/>
  <c r="M370" i="11"/>
  <c r="K370" i="11"/>
  <c r="J370" i="11"/>
  <c r="I370" i="11"/>
  <c r="H370" i="11"/>
  <c r="G370" i="11"/>
  <c r="L370" i="11"/>
  <c r="F370" i="11"/>
  <c r="E370" i="11"/>
  <c r="D370" i="11"/>
  <c r="B371" i="11"/>
  <c r="C372" i="11"/>
  <c r="AB373" i="11" l="1"/>
  <c r="AA373" i="11"/>
  <c r="X373" i="11"/>
  <c r="W373" i="11"/>
  <c r="Z373" i="11"/>
  <c r="Y373" i="11"/>
  <c r="V373" i="11"/>
  <c r="U373" i="11"/>
  <c r="S373" i="11"/>
  <c r="T373" i="11"/>
  <c r="Q374" i="11"/>
  <c r="R375" i="11"/>
  <c r="X124" i="11"/>
  <c r="C373" i="11"/>
  <c r="B372" i="11"/>
  <c r="M371" i="11"/>
  <c r="L371" i="11"/>
  <c r="K371" i="11"/>
  <c r="J371" i="11"/>
  <c r="I371" i="11"/>
  <c r="H371" i="11"/>
  <c r="E371" i="11"/>
  <c r="D371" i="11"/>
  <c r="G371" i="11"/>
  <c r="F371" i="11"/>
  <c r="H120" i="11"/>
  <c r="J120" i="11" s="1"/>
  <c r="AB374" i="11" l="1"/>
  <c r="AA374" i="11"/>
  <c r="Z374" i="11"/>
  <c r="Y374" i="11"/>
  <c r="U374" i="11"/>
  <c r="T374" i="11"/>
  <c r="S374" i="11"/>
  <c r="X374" i="11"/>
  <c r="W374" i="11"/>
  <c r="V374" i="11"/>
  <c r="R376" i="11"/>
  <c r="Q375" i="11"/>
  <c r="W124" i="11"/>
  <c r="Y124" i="11" s="1"/>
  <c r="M372" i="11"/>
  <c r="L372" i="11"/>
  <c r="K372" i="11"/>
  <c r="J372" i="11"/>
  <c r="I372" i="11"/>
  <c r="H372" i="11"/>
  <c r="G372" i="11"/>
  <c r="F372" i="11"/>
  <c r="E372" i="11"/>
  <c r="D372" i="11"/>
  <c r="K120" i="11"/>
  <c r="M120" i="11" s="1"/>
  <c r="C374" i="11"/>
  <c r="B373" i="11"/>
  <c r="Q376" i="11" l="1"/>
  <c r="R377" i="11"/>
  <c r="AB375" i="11"/>
  <c r="AA375" i="11"/>
  <c r="Y375" i="11"/>
  <c r="X375" i="11"/>
  <c r="W375" i="11"/>
  <c r="V375" i="11"/>
  <c r="U375" i="11"/>
  <c r="T375" i="11"/>
  <c r="S375" i="11"/>
  <c r="Z375" i="11"/>
  <c r="Z124" i="11"/>
  <c r="AB124" i="11" s="1"/>
  <c r="L120" i="11"/>
  <c r="G121" i="11" s="1"/>
  <c r="M373" i="11"/>
  <c r="L373" i="11"/>
  <c r="K373" i="11"/>
  <c r="J373" i="11"/>
  <c r="E373" i="11"/>
  <c r="D373" i="11"/>
  <c r="H373" i="11"/>
  <c r="I373" i="11"/>
  <c r="G373" i="11"/>
  <c r="F373" i="11"/>
  <c r="C375" i="11"/>
  <c r="B374" i="11"/>
  <c r="Q377" i="11" l="1"/>
  <c r="R378" i="11"/>
  <c r="AA124" i="11"/>
  <c r="V125" i="11" s="1"/>
  <c r="AB376" i="11"/>
  <c r="AA376" i="11"/>
  <c r="Z376" i="11"/>
  <c r="Y376" i="11"/>
  <c r="X376" i="11"/>
  <c r="W376" i="11"/>
  <c r="V376" i="11"/>
  <c r="U376" i="11"/>
  <c r="T376" i="11"/>
  <c r="S376" i="11"/>
  <c r="C376" i="11"/>
  <c r="B375" i="11"/>
  <c r="M374" i="11"/>
  <c r="L374" i="11"/>
  <c r="K374" i="11"/>
  <c r="J374" i="11"/>
  <c r="I374" i="11"/>
  <c r="H374" i="11"/>
  <c r="G374" i="11"/>
  <c r="F374" i="11"/>
  <c r="E374" i="11"/>
  <c r="D374" i="11"/>
  <c r="I121" i="11"/>
  <c r="X125" i="11" l="1"/>
  <c r="Q378" i="11"/>
  <c r="R379" i="11"/>
  <c r="AB377" i="11"/>
  <c r="AA377" i="11"/>
  <c r="T377" i="11"/>
  <c r="S377" i="11"/>
  <c r="U377" i="11"/>
  <c r="Z377" i="11"/>
  <c r="Y377" i="11"/>
  <c r="X377" i="11"/>
  <c r="W377" i="11"/>
  <c r="V377" i="11"/>
  <c r="M375" i="11"/>
  <c r="D375" i="11"/>
  <c r="L375" i="11"/>
  <c r="E375" i="11"/>
  <c r="K375" i="11"/>
  <c r="J375" i="11"/>
  <c r="H375" i="11"/>
  <c r="I375" i="11"/>
  <c r="G375" i="11"/>
  <c r="F375" i="11"/>
  <c r="H121" i="11"/>
  <c r="J121" i="11" s="1"/>
  <c r="C377" i="11"/>
  <c r="B376" i="11"/>
  <c r="R380" i="11" l="1"/>
  <c r="Q380" i="11" s="1"/>
  <c r="Q379" i="11"/>
  <c r="AB378" i="11"/>
  <c r="AA378" i="11"/>
  <c r="V378" i="11"/>
  <c r="U378" i="11"/>
  <c r="Y378" i="11"/>
  <c r="X378" i="11"/>
  <c r="W378" i="11"/>
  <c r="T378" i="11"/>
  <c r="S378" i="11"/>
  <c r="Z378" i="11"/>
  <c r="W125" i="11"/>
  <c r="Y125" i="11" s="1"/>
  <c r="M376" i="11"/>
  <c r="E376" i="11"/>
  <c r="D376" i="11"/>
  <c r="K376" i="11"/>
  <c r="J376" i="11"/>
  <c r="I376" i="11"/>
  <c r="H376" i="11"/>
  <c r="G376" i="11"/>
  <c r="F376" i="11"/>
  <c r="L376" i="11"/>
  <c r="K121" i="11"/>
  <c r="M121" i="11" s="1"/>
  <c r="C378" i="11"/>
  <c r="B377" i="11"/>
  <c r="L121" i="11" l="1"/>
  <c r="G122" i="11" s="1"/>
  <c r="I122" i="11" s="1"/>
  <c r="Z125" i="11"/>
  <c r="AA125" i="11" s="1"/>
  <c r="V126" i="11" s="1"/>
  <c r="AB379" i="11"/>
  <c r="AA379" i="11"/>
  <c r="X379" i="11"/>
  <c r="W379" i="11"/>
  <c r="Z379" i="11"/>
  <c r="Y379" i="11"/>
  <c r="V379" i="11"/>
  <c r="U379" i="11"/>
  <c r="T379" i="11"/>
  <c r="S379" i="11"/>
  <c r="AB380" i="11"/>
  <c r="AA380" i="11"/>
  <c r="Z380" i="11"/>
  <c r="Y380" i="11"/>
  <c r="X380" i="11"/>
  <c r="W380" i="11"/>
  <c r="V380" i="11"/>
  <c r="U380" i="11"/>
  <c r="T380" i="11"/>
  <c r="S380" i="11"/>
  <c r="M377" i="11"/>
  <c r="F377" i="11"/>
  <c r="E377" i="11"/>
  <c r="D377" i="11"/>
  <c r="L377" i="11"/>
  <c r="K377" i="11"/>
  <c r="J377" i="11"/>
  <c r="I377" i="11"/>
  <c r="H377" i="11"/>
  <c r="G377" i="11"/>
  <c r="C379" i="11"/>
  <c r="B378" i="11"/>
  <c r="AG26" i="12" l="1"/>
  <c r="AG26" i="26"/>
  <c r="AB125" i="11"/>
  <c r="B379" i="11"/>
  <c r="K379" i="11" s="1"/>
  <c r="X126" i="11"/>
  <c r="H122" i="11"/>
  <c r="J122" i="11" s="1"/>
  <c r="M378" i="11"/>
  <c r="G378" i="11"/>
  <c r="F378" i="11"/>
  <c r="E378" i="11"/>
  <c r="D378" i="11"/>
  <c r="L378" i="11"/>
  <c r="K378" i="11"/>
  <c r="J378" i="11"/>
  <c r="I378" i="11"/>
  <c r="H378" i="11"/>
  <c r="M379" i="11" l="1"/>
  <c r="E379" i="11"/>
  <c r="D379" i="11"/>
  <c r="G379" i="11"/>
  <c r="H379" i="11"/>
  <c r="I379" i="11"/>
  <c r="J379" i="11"/>
  <c r="L379" i="11"/>
  <c r="F379" i="11"/>
  <c r="W126" i="11"/>
  <c r="Y126" i="11" s="1"/>
  <c r="K122" i="11"/>
  <c r="M122" i="11" s="1"/>
  <c r="L122" i="11" l="1"/>
  <c r="G123" i="11" s="1"/>
  <c r="I123" i="11" s="1"/>
  <c r="Z126" i="11"/>
  <c r="AA126" i="11" s="1"/>
  <c r="V127" i="11" s="1"/>
  <c r="AB126" i="11" l="1"/>
  <c r="X127" i="11"/>
  <c r="H123" i="11"/>
  <c r="J123" i="11" s="1"/>
  <c r="W127" i="11" l="1"/>
  <c r="Y127" i="11" s="1"/>
  <c r="K123" i="11"/>
  <c r="M123" i="11" s="1"/>
  <c r="L123" i="11" l="1"/>
  <c r="G124" i="11" s="1"/>
  <c r="I124" i="11" s="1"/>
  <c r="Z127" i="11"/>
  <c r="AB127" i="11" s="1"/>
  <c r="AA127" i="11" l="1"/>
  <c r="V128" i="11" s="1"/>
  <c r="H124" i="11"/>
  <c r="J124" i="11" s="1"/>
  <c r="X128" i="11" l="1"/>
  <c r="K124" i="11"/>
  <c r="M124" i="11" s="1"/>
  <c r="W128" i="11" l="1"/>
  <c r="Y128" i="11" s="1"/>
  <c r="L124" i="11"/>
  <c r="G125" i="11" s="1"/>
  <c r="Z128" i="11" l="1"/>
  <c r="AB128" i="11" s="1"/>
  <c r="I125" i="11"/>
  <c r="AA128" i="11" l="1"/>
  <c r="V129" i="11" s="1"/>
  <c r="X129" i="11" s="1"/>
  <c r="H125" i="11"/>
  <c r="J125" i="11" s="1"/>
  <c r="W129" i="11" l="1"/>
  <c r="Y129" i="11" s="1"/>
  <c r="K125" i="11"/>
  <c r="M125" i="11" s="1"/>
  <c r="Z129" i="11" l="1"/>
  <c r="AB129" i="11" s="1"/>
  <c r="L125" i="11"/>
  <c r="G126" i="11" s="1"/>
  <c r="AA129" i="11" l="1"/>
  <c r="V130" i="11" s="1"/>
  <c r="I126" i="11"/>
  <c r="X130" i="11" l="1"/>
  <c r="H126" i="11"/>
  <c r="J126" i="11" s="1"/>
  <c r="W130" i="11" l="1"/>
  <c r="Y130" i="11" s="1"/>
  <c r="K126" i="11"/>
  <c r="M126" i="11" s="1"/>
  <c r="L126" i="11" l="1"/>
  <c r="G127" i="11" s="1"/>
  <c r="Z130" i="11"/>
  <c r="AB130" i="11" s="1"/>
  <c r="I127" i="11" l="1"/>
  <c r="H127" i="11" s="1"/>
  <c r="J127" i="11" s="1"/>
  <c r="AA130" i="11"/>
  <c r="V131" i="11" s="1"/>
  <c r="X131" i="11" l="1"/>
  <c r="K127" i="11"/>
  <c r="M127" i="11" s="1"/>
  <c r="L127" i="11" l="1"/>
  <c r="G128" i="11" s="1"/>
  <c r="I128" i="11" s="1"/>
  <c r="W131" i="11"/>
  <c r="Y131" i="11" s="1"/>
  <c r="Z131" i="11" l="1"/>
  <c r="AB131" i="11" s="1"/>
  <c r="H128" i="11"/>
  <c r="J128" i="11" s="1"/>
  <c r="AA131" i="11" l="1"/>
  <c r="V132" i="11" s="1"/>
  <c r="X132" i="11" s="1"/>
  <c r="K128" i="11"/>
  <c r="M128" i="11" s="1"/>
  <c r="W132" i="11" l="1"/>
  <c r="Y132" i="11" s="1"/>
  <c r="L128" i="11"/>
  <c r="G129" i="11" s="1"/>
  <c r="Z132" i="11" l="1"/>
  <c r="AB132" i="11" s="1"/>
  <c r="I129" i="11"/>
  <c r="AA132" i="11" l="1"/>
  <c r="V133" i="11" s="1"/>
  <c r="H129" i="11"/>
  <c r="J129" i="11" s="1"/>
  <c r="X133" i="11" l="1"/>
  <c r="K129" i="11"/>
  <c r="M129" i="11" s="1"/>
  <c r="L129" i="11" l="1"/>
  <c r="G130" i="11" s="1"/>
  <c r="I130" i="11" s="1"/>
  <c r="W133" i="11"/>
  <c r="Y133" i="11" s="1"/>
  <c r="Z133" i="11" l="1"/>
  <c r="AB133" i="11" s="1"/>
  <c r="H130" i="11"/>
  <c r="J130" i="11" s="1"/>
  <c r="AA133" i="11" l="1"/>
  <c r="V134" i="11" s="1"/>
  <c r="K130" i="11"/>
  <c r="M130" i="11" s="1"/>
  <c r="X134" i="11" l="1"/>
  <c r="L130" i="11"/>
  <c r="G131" i="11" s="1"/>
  <c r="W134" i="11" l="1"/>
  <c r="Y134" i="11" s="1"/>
  <c r="I131" i="11"/>
  <c r="Z134" i="11" l="1"/>
  <c r="AB134" i="11" s="1"/>
  <c r="H131" i="11"/>
  <c r="J131" i="11" s="1"/>
  <c r="AA134" i="11" l="1"/>
  <c r="V135" i="11" s="1"/>
  <c r="K131" i="11"/>
  <c r="L131" i="11" s="1"/>
  <c r="G132" i="11" s="1"/>
  <c r="M131" i="11" l="1"/>
  <c r="X135" i="11"/>
  <c r="I132" i="11"/>
  <c r="W135" i="11" l="1"/>
  <c r="Y135" i="11" s="1"/>
  <c r="H132" i="11"/>
  <c r="J132" i="11" s="1"/>
  <c r="Z135" i="11" l="1"/>
  <c r="AA135" i="11" s="1"/>
  <c r="V136" i="11" s="1"/>
  <c r="K132" i="11"/>
  <c r="L132" i="11" s="1"/>
  <c r="G133" i="11" s="1"/>
  <c r="M132" i="11" l="1"/>
  <c r="AB135" i="11"/>
  <c r="X136" i="11"/>
  <c r="I133" i="11"/>
  <c r="W136" i="11" l="1"/>
  <c r="Y136" i="11" s="1"/>
  <c r="H133" i="11"/>
  <c r="J133" i="11" s="1"/>
  <c r="Z136" i="11" l="1"/>
  <c r="AB136" i="11" s="1"/>
  <c r="K133" i="11"/>
  <c r="L133" i="11" s="1"/>
  <c r="G134" i="11" s="1"/>
  <c r="M133" i="11" l="1"/>
  <c r="AA136" i="11"/>
  <c r="V137" i="11" s="1"/>
  <c r="I134" i="11"/>
  <c r="X137" i="11" l="1"/>
  <c r="H134" i="11"/>
  <c r="J134" i="11" s="1"/>
  <c r="W137" i="11" l="1"/>
  <c r="Y137" i="11" s="1"/>
  <c r="K134" i="11"/>
  <c r="M134" i="11" s="1"/>
  <c r="Z137" i="11" l="1"/>
  <c r="AA137" i="11" s="1"/>
  <c r="V138" i="11" s="1"/>
  <c r="L134" i="11"/>
  <c r="G135" i="11" s="1"/>
  <c r="AB137" i="11" l="1"/>
  <c r="X138" i="11"/>
  <c r="I135" i="11"/>
  <c r="W138" i="11" l="1"/>
  <c r="Y138" i="11" s="1"/>
  <c r="H135" i="11"/>
  <c r="J135" i="11" s="1"/>
  <c r="Z138" i="11" l="1"/>
  <c r="AA138" i="11" s="1"/>
  <c r="V139" i="11" s="1"/>
  <c r="K135" i="11"/>
  <c r="M135" i="11" s="1"/>
  <c r="AB138" i="11" l="1"/>
  <c r="X139" i="11"/>
  <c r="L135" i="11"/>
  <c r="G136" i="11" s="1"/>
  <c r="W139" i="11" l="1"/>
  <c r="Y139" i="11" s="1"/>
  <c r="I136" i="11"/>
  <c r="Z139" i="11" l="1"/>
  <c r="AA139" i="11" s="1"/>
  <c r="V140" i="11" s="1"/>
  <c r="H136" i="11"/>
  <c r="J136" i="11" s="1"/>
  <c r="AB139" i="11" l="1"/>
  <c r="X140" i="11"/>
  <c r="AB8" i="11" s="1"/>
  <c r="K136" i="11"/>
  <c r="M136" i="11" s="1"/>
  <c r="W140" i="11" l="1"/>
  <c r="Y140" i="11" s="1"/>
  <c r="L136" i="11"/>
  <c r="G137" i="11" s="1"/>
  <c r="Z140" i="11" l="1"/>
  <c r="AA140" i="11" s="1"/>
  <c r="I137" i="11"/>
  <c r="AB140" i="11" l="1"/>
  <c r="AB9" i="11" s="1"/>
  <c r="H137" i="11"/>
  <c r="J137" i="11" s="1"/>
  <c r="K137" i="11" l="1"/>
  <c r="M137" i="11" s="1"/>
  <c r="L137" i="11" l="1"/>
  <c r="G138" i="11" s="1"/>
  <c r="I138" i="11" l="1"/>
  <c r="H138" i="11" l="1"/>
  <c r="J138" i="11" s="1"/>
  <c r="K138" i="11" l="1"/>
  <c r="M138" i="11" s="1"/>
  <c r="L138" i="11" l="1"/>
  <c r="G139" i="11" s="1"/>
  <c r="I139" i="11" l="1"/>
  <c r="H139" i="11" l="1"/>
  <c r="J139" i="11" s="1"/>
  <c r="M7" i="11"/>
  <c r="K139" i="11" l="1"/>
  <c r="L139" i="11" s="1"/>
  <c r="M139" i="11" l="1"/>
  <c r="M8" i="11" s="1"/>
  <c r="H44" i="4" l="1"/>
  <c r="E8" i="1" l="1"/>
  <c r="C7" i="13" s="1"/>
  <c r="I44" i="4"/>
  <c r="F44" i="4"/>
  <c r="G44" i="4" s="1"/>
  <c r="E26" i="1" l="1"/>
  <c r="C17" i="13" s="1"/>
  <c r="D44" i="4"/>
  <c r="E44" i="4" s="1"/>
  <c r="J33" i="7"/>
  <c r="E26" i="9" s="1"/>
  <c r="F26" i="9" s="1"/>
  <c r="J86" i="7" l="1"/>
  <c r="E30" i="9"/>
  <c r="Y7" i="26" l="1"/>
  <c r="Y7" i="12"/>
  <c r="Y20" i="26"/>
  <c r="F30" i="9"/>
  <c r="E14" i="9"/>
  <c r="E31" i="9"/>
  <c r="E42" i="9" l="1"/>
  <c r="F31" i="9"/>
  <c r="E50" i="9" l="1"/>
  <c r="F42" i="9"/>
  <c r="F50" i="9" l="1"/>
  <c r="E55" i="9"/>
  <c r="M11" i="11" l="1"/>
  <c r="F55" i="9"/>
  <c r="D9" i="10" l="1"/>
  <c r="D11" i="10"/>
  <c r="D32" i="1"/>
  <c r="C32" i="13" s="1"/>
  <c r="D34" i="1" l="1"/>
  <c r="C34" i="13" s="1"/>
  <c r="D6" i="25"/>
  <c r="C28" i="16"/>
  <c r="C14" i="16"/>
  <c r="D8" i="25"/>
  <c r="D33" i="1"/>
  <c r="C33" i="13" s="1"/>
  <c r="D36" i="1" l="1"/>
  <c r="E30" i="1" s="1"/>
  <c r="C36" i="13"/>
  <c r="D9" i="25"/>
  <c r="D34" i="13" l="1"/>
  <c r="D32" i="13"/>
  <c r="D30" i="13"/>
  <c r="D31" i="13"/>
  <c r="D33" i="13"/>
  <c r="D35" i="13"/>
  <c r="E33" i="1"/>
  <c r="E31" i="1"/>
  <c r="E32" i="1"/>
  <c r="E34" i="1"/>
  <c r="E35" i="1"/>
  <c r="E36" i="1" l="1"/>
  <c r="D36" i="13"/>
  <c r="C14" i="10" l="1"/>
  <c r="F36" i="10" l="1"/>
  <c r="F46" i="10"/>
  <c r="F50" i="10" s="1"/>
  <c r="F26" i="10"/>
  <c r="F29" i="10" s="1"/>
  <c r="F33" i="10"/>
  <c r="F35" i="10" s="1"/>
  <c r="F38" i="10" l="1"/>
  <c r="AG22" i="11" l="1"/>
  <c r="T34" i="14" l="1" a="1"/>
  <c r="T34" i="14" s="1"/>
  <c r="AG49" i="11" s="1"/>
  <c r="T32" i="14" a="1"/>
  <c r="T32" i="14" s="1"/>
  <c r="AG47" i="11" s="1"/>
  <c r="T41" i="14" a="1"/>
  <c r="T41" i="14" s="1"/>
  <c r="AG56" i="11" s="1"/>
  <c r="T37" i="14" a="1"/>
  <c r="T37" i="14" s="1"/>
  <c r="AG52" i="11" s="1"/>
  <c r="T40" i="14" a="1"/>
  <c r="T40" i="14" s="1"/>
  <c r="AG55" i="11" s="1"/>
  <c r="T42" i="14" a="1"/>
  <c r="T42" i="14" s="1"/>
  <c r="AG57" i="11" s="1"/>
  <c r="T36" i="14" a="1"/>
  <c r="T36" i="14" s="1"/>
  <c r="AG51" i="11" s="1"/>
  <c r="AH22" i="11"/>
  <c r="G69" i="9" s="1" a="1"/>
  <c r="G69" i="9" s="1"/>
  <c r="T38" i="14" a="1"/>
  <c r="T38" i="14" s="1"/>
  <c r="AG53" i="11" s="1"/>
  <c r="T39" i="14" a="1"/>
  <c r="T39" i="14" s="1"/>
  <c r="AG54" i="11" s="1"/>
  <c r="T35" i="14" a="1"/>
  <c r="T35" i="14" s="1"/>
  <c r="AG50" i="11" s="1"/>
  <c r="V6" i="14"/>
  <c r="Z6" i="14" s="1"/>
  <c r="T31" i="14" a="1"/>
  <c r="T31" i="14" s="1"/>
  <c r="T33" i="14" a="1"/>
  <c r="T33" i="14" s="1"/>
  <c r="AG48" i="11" s="1"/>
  <c r="AG46" i="11" l="1"/>
  <c r="V31" i="14"/>
  <c r="AI22" i="11"/>
  <c r="W31" i="14" l="1"/>
  <c r="X31" i="14"/>
  <c r="AJ46" i="11" s="1"/>
  <c r="AH46" i="11"/>
  <c r="AI46" i="11" l="1"/>
  <c r="Y31" i="14"/>
  <c r="Z31" i="14" s="1"/>
  <c r="AK46" i="11" l="1"/>
  <c r="AL46" i="11" l="1"/>
  <c r="U32" i="14"/>
  <c r="AF47" i="11" l="1"/>
  <c r="V32" i="14"/>
  <c r="W32" i="14" l="1"/>
  <c r="X32" i="14"/>
  <c r="AJ47" i="11" s="1"/>
  <c r="AH47" i="11"/>
  <c r="AI47" i="11" l="1"/>
  <c r="Y32" i="14"/>
  <c r="Z32" i="14" s="1"/>
  <c r="AK47" i="11" l="1"/>
  <c r="AL47" i="11" l="1"/>
  <c r="U33" i="14"/>
  <c r="AF48" i="11" l="1"/>
  <c r="V33" i="14"/>
  <c r="W33" i="14" l="1"/>
  <c r="X33" i="14"/>
  <c r="AJ48" i="11" s="1"/>
  <c r="AH48" i="11"/>
  <c r="Y33" i="14" l="1"/>
  <c r="Z33" i="14" s="1"/>
  <c r="AI48" i="11"/>
  <c r="AK48" i="11" l="1"/>
  <c r="AL48" i="11" l="1"/>
  <c r="U34" i="14"/>
  <c r="AF49" i="11" l="1"/>
  <c r="V34" i="14"/>
  <c r="W34" i="14" l="1"/>
  <c r="X34" i="14"/>
  <c r="AJ49" i="11" s="1"/>
  <c r="AH49" i="11"/>
  <c r="Y34" i="14" l="1"/>
  <c r="Z34" i="14" s="1"/>
  <c r="AI49" i="11"/>
  <c r="AK49" i="11" l="1"/>
  <c r="AL49" i="11" l="1"/>
  <c r="U35" i="14"/>
  <c r="AF50" i="11" l="1"/>
  <c r="V35" i="14"/>
  <c r="W35" i="14" l="1"/>
  <c r="X35" i="14"/>
  <c r="AJ50" i="11" s="1"/>
  <c r="AH50" i="11"/>
  <c r="Y35" i="14" l="1"/>
  <c r="Z35" i="14" s="1"/>
  <c r="AI50" i="11"/>
  <c r="AK50" i="11" l="1"/>
  <c r="AL50" i="11" l="1"/>
  <c r="U36" i="14"/>
  <c r="AF51" i="11" l="1"/>
  <c r="V36" i="14"/>
  <c r="W36" i="14" l="1"/>
  <c r="X36" i="14"/>
  <c r="AJ51" i="11" s="1"/>
  <c r="AH51" i="11"/>
  <c r="AI51" i="11" l="1"/>
  <c r="Y36" i="14"/>
  <c r="Z36" i="14" s="1"/>
  <c r="AK51" i="11" l="1"/>
  <c r="AL51" i="11" l="1"/>
  <c r="U37" i="14"/>
  <c r="AF52" i="11" l="1"/>
  <c r="V37" i="14"/>
  <c r="W37" i="14" l="1"/>
  <c r="X37" i="14"/>
  <c r="AJ52" i="11" s="1"/>
  <c r="AH52" i="11"/>
  <c r="Y37" i="14" l="1"/>
  <c r="Z37" i="14" s="1"/>
  <c r="AI52" i="11"/>
  <c r="AK52" i="11" l="1"/>
  <c r="AL52" i="11" l="1"/>
  <c r="U38" i="14"/>
  <c r="AF53" i="11" l="1"/>
  <c r="V38" i="14"/>
  <c r="W38" i="14" l="1"/>
  <c r="X38" i="14"/>
  <c r="AH53" i="11"/>
  <c r="AJ53" i="11"/>
  <c r="Y38" i="14" l="1"/>
  <c r="Z38" i="14" s="1"/>
  <c r="AI53" i="11"/>
  <c r="AK53" i="11" l="1"/>
  <c r="AL53" i="11" l="1"/>
  <c r="U39" i="14"/>
  <c r="AF54" i="11" l="1"/>
  <c r="V39" i="14"/>
  <c r="W39" i="14" l="1"/>
  <c r="X39" i="14"/>
  <c r="AJ54" i="11" s="1"/>
  <c r="AH54" i="11"/>
  <c r="AI54" i="11" l="1"/>
  <c r="Y39" i="14"/>
  <c r="Z39" i="14" s="1"/>
  <c r="AK54" i="11" l="1"/>
  <c r="AL54" i="11" l="1"/>
  <c r="U40" i="14"/>
  <c r="AF55" i="11" l="1"/>
  <c r="V40" i="14"/>
  <c r="W40" i="14" l="1"/>
  <c r="X40" i="14"/>
  <c r="AJ55" i="11" s="1"/>
  <c r="AH55" i="11"/>
  <c r="AI55" i="11" l="1"/>
  <c r="Y40" i="14"/>
  <c r="Z40" i="14" s="1"/>
  <c r="AK55" i="11" l="1"/>
  <c r="AL55" i="11" l="1"/>
  <c r="U41" i="14"/>
  <c r="AF56" i="11" l="1"/>
  <c r="V41" i="14"/>
  <c r="W41" i="14" l="1"/>
  <c r="X41" i="14"/>
  <c r="AJ56" i="11" s="1"/>
  <c r="AH56" i="11"/>
  <c r="AI56" i="11" l="1"/>
  <c r="Y41" i="14"/>
  <c r="Z41" i="14" s="1"/>
  <c r="AK56" i="11" l="1"/>
  <c r="AL56" i="11" l="1"/>
  <c r="U42" i="14"/>
  <c r="AF57" i="11" l="1"/>
  <c r="V42" i="14"/>
  <c r="W42" i="14" l="1"/>
  <c r="X42" i="14"/>
  <c r="AJ57" i="11" s="1"/>
  <c r="AH57" i="11"/>
  <c r="AI57" i="11" l="1"/>
  <c r="Y42" i="14"/>
  <c r="Z42" i="14" s="1"/>
  <c r="AK57" i="11" l="1"/>
  <c r="AL57" i="11" l="1"/>
  <c r="X6" i="14" a="1"/>
  <c r="X6" i="14" s="1"/>
  <c r="U43" i="14"/>
  <c r="AN22" i="11" l="1"/>
  <c r="Y6" i="14"/>
  <c r="AO22" i="11" s="1"/>
  <c r="AF58" i="11"/>
  <c r="AG27" i="12" l="1"/>
  <c r="AG27" i="26"/>
  <c r="AG23" i="11"/>
  <c r="T54" i="14" a="1"/>
  <c r="T54" i="14" s="1"/>
  <c r="AG69" i="11" s="1"/>
  <c r="T43" i="14" a="1"/>
  <c r="T43" i="14" s="1"/>
  <c r="AG58" i="11" s="1"/>
  <c r="V43" i="14" l="1"/>
  <c r="V7" i="14"/>
  <c r="Z7" i="14" s="1"/>
  <c r="T53" i="14" a="1"/>
  <c r="T53" i="14" s="1"/>
  <c r="AG68" i="11" s="1"/>
  <c r="T47" i="14" a="1"/>
  <c r="T47" i="14" s="1"/>
  <c r="AG62" i="11" s="1"/>
  <c r="T46" i="14" a="1"/>
  <c r="T46" i="14" s="1"/>
  <c r="AG61" i="11" s="1"/>
  <c r="T52" i="14" a="1"/>
  <c r="T52" i="14" s="1"/>
  <c r="AG67" i="11" s="1"/>
  <c r="T48" i="14" a="1"/>
  <c r="T48" i="14" s="1"/>
  <c r="AG63" i="11" s="1"/>
  <c r="T49" i="14" a="1"/>
  <c r="T49" i="14" s="1"/>
  <c r="AG64" i="11" s="1"/>
  <c r="T50" i="14" a="1"/>
  <c r="T50" i="14" s="1"/>
  <c r="AG65" i="11" s="1"/>
  <c r="T45" i="14" a="1"/>
  <c r="T45" i="14" s="1"/>
  <c r="AG60" i="11" s="1"/>
  <c r="T44" i="14" a="1"/>
  <c r="T44" i="14" s="1"/>
  <c r="AG59" i="11" s="1"/>
  <c r="AH23" i="11"/>
  <c r="I69" i="9" s="1" a="1"/>
  <c r="I69" i="9" s="1"/>
  <c r="T51" i="14" a="1"/>
  <c r="T51" i="14" s="1"/>
  <c r="AG66" i="11" s="1"/>
  <c r="W43" i="14" l="1"/>
  <c r="AI58" i="11" s="1"/>
  <c r="X43" i="14"/>
  <c r="AJ58" i="11" s="1"/>
  <c r="AH58" i="11"/>
  <c r="AI23" i="11"/>
  <c r="Y43" i="14" l="1"/>
  <c r="AK58" i="11" l="1"/>
  <c r="Z43" i="14"/>
  <c r="AL58" i="11" s="1"/>
  <c r="U44" i="14" l="1"/>
  <c r="AF59" i="11" l="1"/>
  <c r="V44" i="14"/>
  <c r="W44" i="14" l="1"/>
  <c r="X44" i="14"/>
  <c r="AJ59" i="11" s="1"/>
  <c r="AH59" i="11"/>
  <c r="Y44" i="14" l="1"/>
  <c r="Z44" i="14" s="1"/>
  <c r="AI59" i="11"/>
  <c r="AK59" i="11" l="1"/>
  <c r="AL59" i="11" l="1"/>
  <c r="U45" i="14"/>
  <c r="V45" i="14" l="1"/>
  <c r="AF60" i="11"/>
  <c r="W45" i="14" l="1"/>
  <c r="X45" i="14"/>
  <c r="AJ60" i="11" s="1"/>
  <c r="AH60" i="11"/>
  <c r="Y45" i="14" l="1"/>
  <c r="Z45" i="14" s="1"/>
  <c r="AI60" i="11"/>
  <c r="AK60" i="11" l="1"/>
  <c r="AL60" i="11" l="1"/>
  <c r="U46" i="14"/>
  <c r="AF61" i="11" l="1"/>
  <c r="V46" i="14"/>
  <c r="W46" i="14" l="1"/>
  <c r="X46" i="14"/>
  <c r="AJ61" i="11" s="1"/>
  <c r="AH61" i="11"/>
  <c r="AI61" i="11" l="1"/>
  <c r="Y46" i="14"/>
  <c r="Z46" i="14" s="1"/>
  <c r="AK61" i="11" l="1"/>
  <c r="AL61" i="11" l="1"/>
  <c r="U47" i="14"/>
  <c r="AF62" i="11" l="1"/>
  <c r="V47" i="14"/>
  <c r="W47" i="14" l="1"/>
  <c r="X47" i="14"/>
  <c r="AJ62" i="11" s="1"/>
  <c r="AH62" i="11"/>
  <c r="AI62" i="11" l="1"/>
  <c r="Y47" i="14"/>
  <c r="Z47" i="14" s="1"/>
  <c r="AK62" i="11" l="1"/>
  <c r="AL62" i="11" l="1"/>
  <c r="U48" i="14"/>
  <c r="AF63" i="11" l="1"/>
  <c r="V48" i="14"/>
  <c r="W48" i="14" l="1"/>
  <c r="X48" i="14"/>
  <c r="AJ63" i="11" s="1"/>
  <c r="AH63" i="11"/>
  <c r="AI63" i="11" l="1"/>
  <c r="Y48" i="14"/>
  <c r="Z48" i="14" s="1"/>
  <c r="AK63" i="11" l="1"/>
  <c r="AL63" i="11" l="1"/>
  <c r="U49" i="14"/>
  <c r="AF64" i="11" l="1"/>
  <c r="V49" i="14"/>
  <c r="W49" i="14" l="1"/>
  <c r="X49" i="14"/>
  <c r="AJ64" i="11" s="1"/>
  <c r="AH64" i="11"/>
  <c r="Y49" i="14" l="1"/>
  <c r="Z49" i="14" s="1"/>
  <c r="AI64" i="11"/>
  <c r="AK64" i="11" l="1"/>
  <c r="AL64" i="11" l="1"/>
  <c r="U50" i="14"/>
  <c r="AF65" i="11" l="1"/>
  <c r="V50" i="14"/>
  <c r="W50" i="14" l="1"/>
  <c r="X50" i="14"/>
  <c r="AJ65" i="11" s="1"/>
  <c r="AH65" i="11"/>
  <c r="AI65" i="11" l="1"/>
  <c r="Y50" i="14"/>
  <c r="Z50" i="14" s="1"/>
  <c r="AK65" i="11" l="1"/>
  <c r="AL65" i="11" l="1"/>
  <c r="U51" i="14"/>
  <c r="AF66" i="11" l="1"/>
  <c r="V51" i="14"/>
  <c r="W51" i="14" l="1"/>
  <c r="X51" i="14"/>
  <c r="AJ66" i="11" s="1"/>
  <c r="AH66" i="11"/>
  <c r="AI66" i="11" l="1"/>
  <c r="Y51" i="14"/>
  <c r="Z51" i="14" s="1"/>
  <c r="AK66" i="11" l="1"/>
  <c r="U52" i="14" l="1"/>
  <c r="AL66" i="11"/>
  <c r="AF67" i="11" l="1"/>
  <c r="V52" i="14"/>
  <c r="W52" i="14" l="1"/>
  <c r="X52" i="14"/>
  <c r="AJ67" i="11" s="1"/>
  <c r="AH67" i="11"/>
  <c r="AI67" i="11" l="1"/>
  <c r="Y52" i="14"/>
  <c r="Z52" i="14" s="1"/>
  <c r="AK67" i="11" l="1"/>
  <c r="U53" i="14" l="1"/>
  <c r="AL67" i="11"/>
  <c r="AF68" i="11" l="1"/>
  <c r="V53" i="14"/>
  <c r="W53" i="14" l="1"/>
  <c r="X53" i="14"/>
  <c r="AJ68" i="11" s="1"/>
  <c r="AH68" i="11"/>
  <c r="AI68" i="11" l="1"/>
  <c r="Y53" i="14"/>
  <c r="Z53" i="14" s="1"/>
  <c r="AK68" i="11" l="1"/>
  <c r="U54" i="14" l="1"/>
  <c r="AL68" i="11"/>
  <c r="AF69" i="11" l="1"/>
  <c r="V54" i="14"/>
  <c r="W54" i="14" l="1"/>
  <c r="X54" i="14"/>
  <c r="AJ69" i="11" s="1"/>
  <c r="AH69" i="11"/>
  <c r="AI69" i="11" l="1"/>
  <c r="Y54" i="14"/>
  <c r="Z54" i="14" s="1"/>
  <c r="AK69" i="11" l="1"/>
  <c r="X7" i="14" l="1" a="1"/>
  <c r="X7" i="14" s="1"/>
  <c r="AL69" i="11"/>
  <c r="U55" i="14"/>
  <c r="AF70" i="11" s="1"/>
  <c r="T58" i="14" a="1"/>
  <c r="T58" i="14" s="1"/>
  <c r="AG73" i="11" s="1"/>
  <c r="AG24" i="11"/>
  <c r="T55" i="14" a="1"/>
  <c r="T55" i="14" s="1"/>
  <c r="AG70" i="11" s="1"/>
  <c r="AN23" i="11" l="1"/>
  <c r="Y7" i="14"/>
  <c r="AO23" i="11" s="1"/>
  <c r="V55" i="14"/>
  <c r="T62" i="14" a="1"/>
  <c r="T62" i="14" s="1"/>
  <c r="AG77" i="11" s="1"/>
  <c r="T57" i="14" a="1"/>
  <c r="T57" i="14" s="1"/>
  <c r="AG72" i="11" s="1"/>
  <c r="T63" i="14" a="1"/>
  <c r="T63" i="14" s="1"/>
  <c r="AG78" i="11" s="1"/>
  <c r="T64" i="14" a="1"/>
  <c r="T64" i="14" s="1"/>
  <c r="AG79" i="11" s="1"/>
  <c r="T59" i="14" a="1"/>
  <c r="T59" i="14" s="1"/>
  <c r="AG74" i="11" s="1"/>
  <c r="T56" i="14" a="1"/>
  <c r="T56" i="14" s="1"/>
  <c r="AG71" i="11" s="1"/>
  <c r="T61" i="14" a="1"/>
  <c r="T61" i="14" s="1"/>
  <c r="AG76" i="11" s="1"/>
  <c r="T60" i="14" a="1"/>
  <c r="T60" i="14" s="1"/>
  <c r="AG75" i="11" s="1"/>
  <c r="T65" i="14" a="1"/>
  <c r="T65" i="14" s="1"/>
  <c r="AG80" i="11" s="1"/>
  <c r="T66" i="14" a="1"/>
  <c r="T66" i="14" s="1"/>
  <c r="AG81" i="11" s="1"/>
  <c r="V8" i="14"/>
  <c r="Z8" i="14" s="1"/>
  <c r="AH24" i="11"/>
  <c r="K69" i="9" s="1" a="1"/>
  <c r="K69" i="9" s="1"/>
  <c r="W55" i="14" l="1"/>
  <c r="X55" i="14"/>
  <c r="AJ70" i="11" s="1"/>
  <c r="AG28" i="12"/>
  <c r="AG28" i="26"/>
  <c r="AI24" i="11"/>
  <c r="AH70" i="11"/>
  <c r="Y55" i="14" l="1"/>
  <c r="Z55" i="14" s="1"/>
  <c r="AI70" i="11"/>
  <c r="AK70" i="11" l="1"/>
  <c r="AL70" i="11" l="1"/>
  <c r="U56" i="14"/>
  <c r="AF71" i="11" l="1"/>
  <c r="V56" i="14"/>
  <c r="W56" i="14" l="1"/>
  <c r="X56" i="14"/>
  <c r="AJ71" i="11" s="1"/>
  <c r="AH71" i="11"/>
  <c r="Y56" i="14" l="1"/>
  <c r="Z56" i="14" s="1"/>
  <c r="AI71" i="11"/>
  <c r="AK71" i="11" l="1"/>
  <c r="AL71" i="11" l="1"/>
  <c r="U57" i="14"/>
  <c r="AF72" i="11" l="1"/>
  <c r="V57" i="14"/>
  <c r="W57" i="14" l="1"/>
  <c r="X57" i="14"/>
  <c r="AJ72" i="11" s="1"/>
  <c r="AH72" i="11"/>
  <c r="AI72" i="11" l="1"/>
  <c r="Y57" i="14"/>
  <c r="Z57" i="14" s="1"/>
  <c r="AK72" i="11" l="1"/>
  <c r="AL72" i="11" l="1"/>
  <c r="U58" i="14"/>
  <c r="AF73" i="11" l="1"/>
  <c r="V58" i="14"/>
  <c r="W58" i="14" l="1"/>
  <c r="X58" i="14"/>
  <c r="AJ73" i="11" s="1"/>
  <c r="AH73" i="11"/>
  <c r="AI73" i="11" l="1"/>
  <c r="Y58" i="14"/>
  <c r="Z58" i="14" s="1"/>
  <c r="AK73" i="11" l="1"/>
  <c r="AL73" i="11" l="1"/>
  <c r="U59" i="14"/>
  <c r="AF74" i="11" l="1"/>
  <c r="V59" i="14"/>
  <c r="W59" i="14" l="1"/>
  <c r="X59" i="14"/>
  <c r="AJ74" i="11" s="1"/>
  <c r="AH74" i="11"/>
  <c r="Y59" i="14" l="1"/>
  <c r="Z59" i="14" s="1"/>
  <c r="AI74" i="11"/>
  <c r="AK74" i="11" l="1"/>
  <c r="AL74" i="11" l="1"/>
  <c r="U60" i="14"/>
  <c r="AF75" i="11" l="1"/>
  <c r="V60" i="14"/>
  <c r="W60" i="14" l="1"/>
  <c r="X60" i="14"/>
  <c r="AJ75" i="11" s="1"/>
  <c r="AH75" i="11"/>
  <c r="Y60" i="14" l="1"/>
  <c r="Z60" i="14" s="1"/>
  <c r="AI75" i="11"/>
  <c r="AK75" i="11" l="1"/>
  <c r="AL75" i="11" l="1"/>
  <c r="U61" i="14"/>
  <c r="AF76" i="11" l="1"/>
  <c r="V61" i="14"/>
  <c r="W61" i="14" l="1"/>
  <c r="X61" i="14"/>
  <c r="AJ76" i="11" s="1"/>
  <c r="AH76" i="11"/>
  <c r="Y61" i="14" l="1"/>
  <c r="Z61" i="14" s="1"/>
  <c r="AI76" i="11"/>
  <c r="AK76" i="11" l="1"/>
  <c r="AL76" i="11" l="1"/>
  <c r="U62" i="14"/>
  <c r="AF77" i="11" l="1"/>
  <c r="V62" i="14"/>
  <c r="W62" i="14" l="1"/>
  <c r="X62" i="14"/>
  <c r="AJ77" i="11" s="1"/>
  <c r="AH77" i="11"/>
  <c r="Y62" i="14" l="1"/>
  <c r="Z62" i="14" s="1"/>
  <c r="AI77" i="11"/>
  <c r="AK77" i="11" l="1"/>
  <c r="AL77" i="11" l="1"/>
  <c r="U63" i="14"/>
  <c r="AF78" i="11" l="1"/>
  <c r="V63" i="14"/>
  <c r="W63" i="14" l="1"/>
  <c r="X63" i="14"/>
  <c r="AJ78" i="11" s="1"/>
  <c r="AH78" i="11"/>
  <c r="AI78" i="11" l="1"/>
  <c r="Y63" i="14"/>
  <c r="Z63" i="14" s="1"/>
  <c r="AK78" i="11" l="1"/>
  <c r="AL78" i="11" l="1"/>
  <c r="U64" i="14"/>
  <c r="AF79" i="11" l="1"/>
  <c r="V64" i="14"/>
  <c r="W64" i="14" l="1"/>
  <c r="X64" i="14"/>
  <c r="AJ79" i="11" s="1"/>
  <c r="AH79" i="11"/>
  <c r="Y64" i="14" l="1"/>
  <c r="Z64" i="14" s="1"/>
  <c r="AI79" i="11"/>
  <c r="AK79" i="11" l="1"/>
  <c r="AL79" i="11" l="1"/>
  <c r="U65" i="14"/>
  <c r="V65" i="14" l="1"/>
  <c r="AF80" i="11"/>
  <c r="W65" i="14" l="1"/>
  <c r="X65" i="14"/>
  <c r="AJ80" i="11" s="1"/>
  <c r="AH80" i="11"/>
  <c r="Y65" i="14" l="1"/>
  <c r="Z65" i="14" s="1"/>
  <c r="AI80" i="11"/>
  <c r="AK80" i="11" l="1"/>
  <c r="AL80" i="11" l="1"/>
  <c r="U66" i="14"/>
  <c r="AF81" i="11" l="1"/>
  <c r="V66" i="14"/>
  <c r="W66" i="14" l="1"/>
  <c r="X66" i="14"/>
  <c r="AJ81" i="11" s="1"/>
  <c r="AH81" i="11"/>
  <c r="AI81" i="11" l="1"/>
  <c r="Y66" i="14"/>
  <c r="Z66" i="14" s="1"/>
  <c r="AK81" i="11" l="1"/>
  <c r="AL81" i="11" l="1"/>
  <c r="X8" i="14" a="1"/>
  <c r="X8" i="14" s="1"/>
  <c r="U67" i="14"/>
  <c r="AF82" i="11" l="1"/>
  <c r="AN24" i="11"/>
  <c r="Y8" i="14"/>
  <c r="AO24" i="11" s="1"/>
  <c r="AG29" i="12" l="1"/>
  <c r="AG29" i="26"/>
  <c r="AG25" i="11"/>
  <c r="V9" i="14" l="1"/>
  <c r="Z9" i="14" s="1"/>
  <c r="T71" i="14" a="1"/>
  <c r="T71" i="14" s="1"/>
  <c r="AG86" i="11" s="1"/>
  <c r="T69" i="14" a="1"/>
  <c r="T69" i="14" s="1"/>
  <c r="AG84" i="11" s="1"/>
  <c r="T68" i="14" a="1"/>
  <c r="T68" i="14" s="1"/>
  <c r="AG83" i="11" s="1"/>
  <c r="T72" i="14" a="1"/>
  <c r="T72" i="14" s="1"/>
  <c r="AG87" i="11" s="1"/>
  <c r="T76" i="14" a="1"/>
  <c r="T76" i="14" s="1"/>
  <c r="AG91" i="11" s="1"/>
  <c r="T74" i="14" a="1"/>
  <c r="T74" i="14" s="1"/>
  <c r="AG89" i="11" s="1"/>
  <c r="T70" i="14" a="1"/>
  <c r="T70" i="14" s="1"/>
  <c r="AG85" i="11" s="1"/>
  <c r="AH25" i="11"/>
  <c r="M69" i="9" s="1" a="1"/>
  <c r="M69" i="9" s="1"/>
  <c r="T73" i="14" a="1"/>
  <c r="T73" i="14" s="1"/>
  <c r="AG88" i="11" s="1"/>
  <c r="T75" i="14" a="1"/>
  <c r="T75" i="14" s="1"/>
  <c r="AG90" i="11" s="1"/>
  <c r="T78" i="14" a="1"/>
  <c r="T78" i="14" s="1"/>
  <c r="AG93" i="11" s="1"/>
  <c r="T67" i="14" a="1"/>
  <c r="T67" i="14" s="1"/>
  <c r="T77" i="14" a="1"/>
  <c r="T77" i="14" s="1"/>
  <c r="AG92" i="11" s="1"/>
  <c r="AG82" i="11" l="1"/>
  <c r="V67" i="14"/>
  <c r="AI25" i="11"/>
  <c r="W67" i="14" l="1"/>
  <c r="X67" i="14"/>
  <c r="AJ82" i="11" s="1"/>
  <c r="AH82" i="11"/>
  <c r="Y67" i="14" l="1"/>
  <c r="Z67" i="14" s="1"/>
  <c r="AI82" i="11"/>
  <c r="AK82" i="11" l="1"/>
  <c r="AL82" i="11" l="1"/>
  <c r="U68" i="14"/>
  <c r="AF83" i="11" l="1"/>
  <c r="V68" i="14"/>
  <c r="W68" i="14" l="1"/>
  <c r="X68" i="14"/>
  <c r="AJ83" i="11" s="1"/>
  <c r="AH83" i="11"/>
  <c r="AI83" i="11" l="1"/>
  <c r="Y68" i="14"/>
  <c r="Z68" i="14" s="1"/>
  <c r="AK83" i="11" l="1"/>
  <c r="AL83" i="11" l="1"/>
  <c r="U69" i="14"/>
  <c r="AF84" i="11" l="1"/>
  <c r="V69" i="14"/>
  <c r="W69" i="14" l="1"/>
  <c r="X69" i="14"/>
  <c r="AJ84" i="11" s="1"/>
  <c r="AH84" i="11"/>
  <c r="Y69" i="14" l="1"/>
  <c r="Z69" i="14" s="1"/>
  <c r="AI84" i="11"/>
  <c r="AK84" i="11" l="1"/>
  <c r="AL84" i="11" l="1"/>
  <c r="U70" i="14"/>
  <c r="AF85" i="11" l="1"/>
  <c r="V70" i="14"/>
  <c r="W70" i="14" l="1"/>
  <c r="X70" i="14"/>
  <c r="AJ85" i="11" s="1"/>
  <c r="AH85" i="11"/>
  <c r="Y70" i="14" l="1"/>
  <c r="Z70" i="14" s="1"/>
  <c r="AI85" i="11"/>
  <c r="AK85" i="11" l="1"/>
  <c r="AL85" i="11" l="1"/>
  <c r="U71" i="14"/>
  <c r="AF86" i="11" l="1"/>
  <c r="V71" i="14"/>
  <c r="W71" i="14" l="1"/>
  <c r="X71" i="14"/>
  <c r="AJ86" i="11" s="1"/>
  <c r="AH86" i="11"/>
  <c r="Y71" i="14" l="1"/>
  <c r="Z71" i="14" s="1"/>
  <c r="AI86" i="11"/>
  <c r="AK86" i="11" l="1"/>
  <c r="AL86" i="11" l="1"/>
  <c r="U72" i="14"/>
  <c r="AF87" i="11" l="1"/>
  <c r="V72" i="14"/>
  <c r="W72" i="14" l="1"/>
  <c r="X72" i="14"/>
  <c r="AJ87" i="11" s="1"/>
  <c r="AH87" i="11"/>
  <c r="AI87" i="11" l="1"/>
  <c r="Y72" i="14"/>
  <c r="Z72" i="14" s="1"/>
  <c r="AK87" i="11" l="1"/>
  <c r="AL87" i="11" l="1"/>
  <c r="U73" i="14"/>
  <c r="AF88" i="11" l="1"/>
  <c r="V73" i="14"/>
  <c r="W73" i="14" l="1"/>
  <c r="X73" i="14"/>
  <c r="AJ88" i="11" s="1"/>
  <c r="AH88" i="11"/>
  <c r="AI88" i="11" l="1"/>
  <c r="Y73" i="14"/>
  <c r="Z73" i="14" s="1"/>
  <c r="AK88" i="11" l="1"/>
  <c r="AL88" i="11" l="1"/>
  <c r="U74" i="14"/>
  <c r="AF89" i="11" l="1"/>
  <c r="V74" i="14"/>
  <c r="W74" i="14" l="1"/>
  <c r="X74" i="14"/>
  <c r="AJ89" i="11" s="1"/>
  <c r="AH89" i="11"/>
  <c r="Y74" i="14" l="1"/>
  <c r="Z74" i="14" s="1"/>
  <c r="AI89" i="11"/>
  <c r="AK89" i="11" l="1"/>
  <c r="AL89" i="11" l="1"/>
  <c r="U75" i="14"/>
  <c r="AF90" i="11" l="1"/>
  <c r="V75" i="14"/>
  <c r="W75" i="14" l="1"/>
  <c r="X75" i="14"/>
  <c r="AJ90" i="11" s="1"/>
  <c r="AH90" i="11"/>
  <c r="AI90" i="11" l="1"/>
  <c r="Y75" i="14"/>
  <c r="Z75" i="14" s="1"/>
  <c r="AK90" i="11" l="1"/>
  <c r="AL90" i="11" l="1"/>
  <c r="U76" i="14"/>
  <c r="AF91" i="11" l="1"/>
  <c r="V76" i="14"/>
  <c r="W76" i="14" l="1"/>
  <c r="X76" i="14"/>
  <c r="AJ91" i="11" s="1"/>
  <c r="AH91" i="11"/>
  <c r="AI91" i="11" l="1"/>
  <c r="Y76" i="14"/>
  <c r="Z76" i="14" s="1"/>
  <c r="AK91" i="11" l="1"/>
  <c r="AL91" i="11" l="1"/>
  <c r="U77" i="14"/>
  <c r="AF92" i="11" l="1"/>
  <c r="V77" i="14"/>
  <c r="W77" i="14" l="1"/>
  <c r="X77" i="14"/>
  <c r="AJ92" i="11" s="1"/>
  <c r="AH92" i="11"/>
  <c r="Y77" i="14" l="1"/>
  <c r="Z77" i="14" s="1"/>
  <c r="AI92" i="11"/>
  <c r="AK92" i="11" l="1"/>
  <c r="AL92" i="11" l="1"/>
  <c r="U78" i="14"/>
  <c r="AF93" i="11" l="1"/>
  <c r="V78" i="14"/>
  <c r="W78" i="14" l="1"/>
  <c r="X78" i="14"/>
  <c r="AJ93" i="11" s="1"/>
  <c r="AH93" i="11"/>
  <c r="Y78" i="14" l="1"/>
  <c r="Z78" i="14" s="1"/>
  <c r="AI93" i="11"/>
  <c r="AK93" i="11" l="1"/>
  <c r="X9" i="14" l="1" a="1"/>
  <c r="X9" i="14" s="1"/>
  <c r="AL93" i="11"/>
  <c r="U79" i="14"/>
  <c r="AF94" i="11" l="1"/>
  <c r="Y9" i="14"/>
  <c r="AO25" i="11" s="1"/>
  <c r="AN25" i="11"/>
  <c r="AG30" i="12" l="1"/>
  <c r="AG30" i="26"/>
  <c r="AG26" i="11"/>
  <c r="V10" i="14"/>
  <c r="Z10" i="14" s="1"/>
  <c r="T79" i="14" a="1"/>
  <c r="T79" i="14" s="1"/>
  <c r="AI26" i="11" l="1"/>
  <c r="AG94" i="11"/>
  <c r="V79" i="14"/>
  <c r="T89" i="14" a="1"/>
  <c r="T89" i="14" s="1"/>
  <c r="AG104" i="11" s="1"/>
  <c r="T83" i="14" a="1"/>
  <c r="T83" i="14" s="1"/>
  <c r="AG98" i="11" s="1"/>
  <c r="T88" i="14" a="1"/>
  <c r="T88" i="14" s="1"/>
  <c r="AG103" i="11" s="1"/>
  <c r="T86" i="14" a="1"/>
  <c r="T86" i="14" s="1"/>
  <c r="AG101" i="11" s="1"/>
  <c r="T80" i="14" a="1"/>
  <c r="T80" i="14" s="1"/>
  <c r="AG95" i="11" s="1"/>
  <c r="T82" i="14" a="1"/>
  <c r="T82" i="14" s="1"/>
  <c r="AG97" i="11" s="1"/>
  <c r="T90" i="14" a="1"/>
  <c r="T90" i="14" s="1"/>
  <c r="AG105" i="11" s="1"/>
  <c r="T87" i="14" a="1"/>
  <c r="T87" i="14" s="1"/>
  <c r="AG102" i="11" s="1"/>
  <c r="T81" i="14" a="1"/>
  <c r="T81" i="14" s="1"/>
  <c r="AG96" i="11" s="1"/>
  <c r="T85" i="14" a="1"/>
  <c r="T85" i="14" s="1"/>
  <c r="AG100" i="11" s="1"/>
  <c r="AH26" i="11"/>
  <c r="O69" i="9" s="1" a="1"/>
  <c r="O69" i="9" s="1"/>
  <c r="T84" i="14" a="1"/>
  <c r="T84" i="14" s="1"/>
  <c r="AG99" i="11" s="1"/>
  <c r="W79" i="14" l="1"/>
  <c r="X79" i="14"/>
  <c r="AJ94" i="11" s="1"/>
  <c r="AH94" i="11"/>
  <c r="AI94" i="11" l="1"/>
  <c r="Y79" i="14"/>
  <c r="Z79" i="14" s="1"/>
  <c r="AK94" i="11" l="1"/>
  <c r="AL94" i="11" l="1"/>
  <c r="U80" i="14"/>
  <c r="V80" i="14" l="1"/>
  <c r="AF95" i="11"/>
  <c r="W80" i="14" l="1"/>
  <c r="X80" i="14"/>
  <c r="AJ95" i="11" s="1"/>
  <c r="AH95" i="11"/>
  <c r="AI95" i="11" l="1"/>
  <c r="Y80" i="14"/>
  <c r="Z80" i="14" s="1"/>
  <c r="AK95" i="11" l="1"/>
  <c r="AL95" i="11" l="1"/>
  <c r="U81" i="14"/>
  <c r="AF96" i="11" l="1"/>
  <c r="V81" i="14"/>
  <c r="W81" i="14" l="1"/>
  <c r="X81" i="14"/>
  <c r="AJ96" i="11" s="1"/>
  <c r="AH96" i="11"/>
  <c r="AI96" i="11" l="1"/>
  <c r="Y81" i="14"/>
  <c r="Z81" i="14" s="1"/>
  <c r="AK96" i="11" l="1"/>
  <c r="AL96" i="11" l="1"/>
  <c r="U82" i="14"/>
  <c r="AF97" i="11" l="1"/>
  <c r="V82" i="14"/>
  <c r="W82" i="14" l="1"/>
  <c r="X82" i="14"/>
  <c r="AJ97" i="11" s="1"/>
  <c r="AH97" i="11"/>
  <c r="Y82" i="14" l="1"/>
  <c r="Z82" i="14" s="1"/>
  <c r="AI97" i="11"/>
  <c r="AK97" i="11" l="1"/>
  <c r="AL97" i="11" l="1"/>
  <c r="U83" i="14"/>
  <c r="AF98" i="11" l="1"/>
  <c r="V83" i="14"/>
  <c r="W83" i="14" l="1"/>
  <c r="X83" i="14"/>
  <c r="AJ98" i="11" s="1"/>
  <c r="AH98" i="11"/>
  <c r="Y83" i="14" l="1"/>
  <c r="Z83" i="14" s="1"/>
  <c r="AI98" i="11"/>
  <c r="AK98" i="11" l="1"/>
  <c r="AL98" i="11" l="1"/>
  <c r="U84" i="14"/>
  <c r="AF99" i="11" l="1"/>
  <c r="V84" i="14"/>
  <c r="W84" i="14" l="1"/>
  <c r="X84" i="14"/>
  <c r="AJ99" i="11" s="1"/>
  <c r="AH99" i="11"/>
  <c r="Y84" i="14" l="1"/>
  <c r="Z84" i="14" s="1"/>
  <c r="AI99" i="11"/>
  <c r="AK99" i="11" l="1"/>
  <c r="AL99" i="11" l="1"/>
  <c r="U85" i="14"/>
  <c r="AF100" i="11" l="1"/>
  <c r="V85" i="14"/>
  <c r="W85" i="14" l="1"/>
  <c r="X85" i="14"/>
  <c r="AH100" i="11"/>
  <c r="AJ100" i="11"/>
  <c r="Y85" i="14" l="1"/>
  <c r="Z85" i="14" s="1"/>
  <c r="AI100" i="11"/>
  <c r="AK100" i="11" l="1"/>
  <c r="AL100" i="11" l="1"/>
  <c r="U86" i="14"/>
  <c r="AF101" i="11" l="1"/>
  <c r="V86" i="14"/>
  <c r="W86" i="14" l="1"/>
  <c r="X86" i="14"/>
  <c r="AJ101" i="11" s="1"/>
  <c r="AH101" i="11"/>
  <c r="Y86" i="14" l="1"/>
  <c r="Z86" i="14" s="1"/>
  <c r="AI101" i="11"/>
  <c r="AK101" i="11" l="1"/>
  <c r="AL101" i="11" l="1"/>
  <c r="U87" i="14"/>
  <c r="AF102" i="11" l="1"/>
  <c r="V87" i="14"/>
  <c r="W87" i="14" l="1"/>
  <c r="X87" i="14"/>
  <c r="AJ102" i="11" s="1"/>
  <c r="AH102" i="11"/>
  <c r="AI102" i="11" l="1"/>
  <c r="Y87" i="14"/>
  <c r="Z87" i="14" s="1"/>
  <c r="AK102" i="11" l="1"/>
  <c r="AL102" i="11" l="1"/>
  <c r="U88" i="14"/>
  <c r="AF103" i="11" l="1"/>
  <c r="V88" i="14"/>
  <c r="W88" i="14" l="1"/>
  <c r="X88" i="14"/>
  <c r="AJ103" i="11" s="1"/>
  <c r="AH103" i="11"/>
  <c r="Y88" i="14" l="1"/>
  <c r="Z88" i="14" s="1"/>
  <c r="AI103" i="11"/>
  <c r="AK103" i="11" l="1"/>
  <c r="AL103" i="11" l="1"/>
  <c r="U89" i="14"/>
  <c r="AF104" i="11" l="1"/>
  <c r="V89" i="14"/>
  <c r="W89" i="14" l="1"/>
  <c r="X89" i="14"/>
  <c r="AJ104" i="11" s="1"/>
  <c r="AH104" i="11"/>
  <c r="Y89" i="14" l="1"/>
  <c r="Z89" i="14" s="1"/>
  <c r="AI104" i="11"/>
  <c r="AK104" i="11" l="1"/>
  <c r="AL104" i="11" l="1"/>
  <c r="U90" i="14"/>
  <c r="AF105" i="11" l="1"/>
  <c r="V90" i="14"/>
  <c r="W90" i="14" l="1"/>
  <c r="X90" i="14"/>
  <c r="AJ105" i="11" s="1"/>
  <c r="AH105" i="11"/>
  <c r="AI105" i="11" l="1"/>
  <c r="Y90" i="14"/>
  <c r="Z90" i="14" s="1"/>
  <c r="AK105" i="11" l="1"/>
  <c r="X10" i="14" l="1" a="1"/>
  <c r="X10" i="14" s="1"/>
  <c r="AL105" i="11"/>
  <c r="U91" i="14"/>
  <c r="AF106" i="11" l="1"/>
  <c r="Y10" i="14"/>
  <c r="AO26" i="11" s="1"/>
  <c r="AN26" i="11"/>
  <c r="AG31" i="26" l="1"/>
  <c r="AG31" i="12"/>
  <c r="AG27" i="11"/>
  <c r="T91" i="14" a="1"/>
  <c r="T91" i="14" s="1"/>
  <c r="AG106" i="11" l="1"/>
  <c r="V91" i="14"/>
  <c r="V11" i="14"/>
  <c r="Z11" i="14" s="1"/>
  <c r="T101" i="14" a="1"/>
  <c r="T101" i="14" s="1"/>
  <c r="AG116" i="11" s="1"/>
  <c r="T97" i="14" a="1"/>
  <c r="T97" i="14" s="1"/>
  <c r="AG112" i="11" s="1"/>
  <c r="T100" i="14" a="1"/>
  <c r="T100" i="14" s="1"/>
  <c r="AG115" i="11" s="1"/>
  <c r="T95" i="14" a="1"/>
  <c r="T95" i="14" s="1"/>
  <c r="AG110" i="11" s="1"/>
  <c r="T99" i="14" a="1"/>
  <c r="T99" i="14" s="1"/>
  <c r="AG114" i="11" s="1"/>
  <c r="T94" i="14" a="1"/>
  <c r="T94" i="14" s="1"/>
  <c r="AG109" i="11" s="1"/>
  <c r="T92" i="14" a="1"/>
  <c r="T92" i="14" s="1"/>
  <c r="AG107" i="11" s="1"/>
  <c r="T98" i="14" a="1"/>
  <c r="T98" i="14" s="1"/>
  <c r="AG113" i="11" s="1"/>
  <c r="T93" i="14" a="1"/>
  <c r="T93" i="14" s="1"/>
  <c r="AG108" i="11" s="1"/>
  <c r="AH27" i="11"/>
  <c r="Q69" i="9" s="1" a="1"/>
  <c r="Q69" i="9" s="1"/>
  <c r="T102" i="14" a="1"/>
  <c r="T102" i="14" s="1"/>
  <c r="AG117" i="11" s="1"/>
  <c r="T96" i="14" a="1"/>
  <c r="T96" i="14" s="1"/>
  <c r="AG111" i="11" s="1"/>
  <c r="W91" i="14" l="1"/>
  <c r="X91" i="14"/>
  <c r="AJ106" i="11" s="1"/>
  <c r="AI27" i="11"/>
  <c r="AH106" i="11"/>
  <c r="AI106" i="11" l="1"/>
  <c r="Y91" i="14"/>
  <c r="Z91" i="14" s="1"/>
  <c r="AK106" i="11" l="1"/>
  <c r="AL106" i="11" l="1"/>
  <c r="U92" i="14"/>
  <c r="AF107" i="11" l="1"/>
  <c r="V92" i="14"/>
  <c r="W92" i="14" l="1"/>
  <c r="X92" i="14"/>
  <c r="AJ107" i="11" s="1"/>
  <c r="AH107" i="11"/>
  <c r="AI107" i="11" l="1"/>
  <c r="Y92" i="14"/>
  <c r="Z92" i="14" s="1"/>
  <c r="AK107" i="11" l="1"/>
  <c r="AL107" i="11" l="1"/>
  <c r="U93" i="14"/>
  <c r="AF108" i="11" l="1"/>
  <c r="V93" i="14"/>
  <c r="W93" i="14" l="1"/>
  <c r="X93" i="14"/>
  <c r="AJ108" i="11" s="1"/>
  <c r="AH108" i="11"/>
  <c r="AI108" i="11" l="1"/>
  <c r="Y93" i="14"/>
  <c r="Z93" i="14" s="1"/>
  <c r="AK108" i="11" l="1"/>
  <c r="AL108" i="11" l="1"/>
  <c r="U94" i="14"/>
  <c r="AF109" i="11" l="1"/>
  <c r="V94" i="14"/>
  <c r="W94" i="14" l="1"/>
  <c r="X94" i="14"/>
  <c r="AJ109" i="11" s="1"/>
  <c r="AH109" i="11"/>
  <c r="Y94" i="14" l="1"/>
  <c r="Z94" i="14" s="1"/>
  <c r="AI109" i="11"/>
  <c r="AK109" i="11" l="1"/>
  <c r="AL109" i="11" l="1"/>
  <c r="U95" i="14"/>
  <c r="AF110" i="11" l="1"/>
  <c r="V95" i="14"/>
  <c r="W95" i="14" l="1"/>
  <c r="X95" i="14"/>
  <c r="AJ110" i="11" s="1"/>
  <c r="AH110" i="11"/>
  <c r="Y95" i="14" l="1"/>
  <c r="Z95" i="14" s="1"/>
  <c r="AI110" i="11"/>
  <c r="AK110" i="11" l="1"/>
  <c r="AL110" i="11" l="1"/>
  <c r="U96" i="14"/>
  <c r="AF111" i="11" l="1"/>
  <c r="V96" i="14"/>
  <c r="W96" i="14" l="1"/>
  <c r="X96" i="14"/>
  <c r="AJ111" i="11" s="1"/>
  <c r="AH111" i="11"/>
  <c r="Y96" i="14" l="1"/>
  <c r="Z96" i="14" s="1"/>
  <c r="AI111" i="11"/>
  <c r="AK111" i="11" l="1"/>
  <c r="AL111" i="11" l="1"/>
  <c r="U97" i="14"/>
  <c r="AF112" i="11" l="1"/>
  <c r="V97" i="14"/>
  <c r="W97" i="14" l="1"/>
  <c r="X97" i="14"/>
  <c r="AJ112" i="11" s="1"/>
  <c r="AH112" i="11"/>
  <c r="Y97" i="14" l="1"/>
  <c r="Z97" i="14" s="1"/>
  <c r="AI112" i="11"/>
  <c r="AK112" i="11" l="1"/>
  <c r="AL112" i="11" l="1"/>
  <c r="U98" i="14"/>
  <c r="AF113" i="11" l="1"/>
  <c r="V98" i="14"/>
  <c r="W98" i="14" l="1"/>
  <c r="X98" i="14"/>
  <c r="AJ113" i="11" s="1"/>
  <c r="AH113" i="11"/>
  <c r="AI113" i="11" l="1"/>
  <c r="Y98" i="14"/>
  <c r="Z98" i="14" s="1"/>
  <c r="AK113" i="11" l="1"/>
  <c r="AL113" i="11" l="1"/>
  <c r="U99" i="14"/>
  <c r="AF114" i="11" l="1"/>
  <c r="V99" i="14"/>
  <c r="W99" i="14" l="1"/>
  <c r="X99" i="14"/>
  <c r="AJ114" i="11" s="1"/>
  <c r="AH114" i="11"/>
  <c r="Y99" i="14" l="1"/>
  <c r="Z99" i="14" s="1"/>
  <c r="AI114" i="11"/>
  <c r="AK114" i="11" l="1"/>
  <c r="AL114" i="11" l="1"/>
  <c r="U100" i="14"/>
  <c r="AF115" i="11" l="1"/>
  <c r="V100" i="14"/>
  <c r="W100" i="14" l="1"/>
  <c r="X100" i="14"/>
  <c r="AJ115" i="11" s="1"/>
  <c r="AH115" i="11"/>
  <c r="AI115" i="11" l="1"/>
  <c r="Y100" i="14"/>
  <c r="Z100" i="14" s="1"/>
  <c r="AK115" i="11" l="1"/>
  <c r="AL115" i="11" l="1"/>
  <c r="U101" i="14"/>
  <c r="AF116" i="11" l="1"/>
  <c r="V101" i="14"/>
  <c r="W101" i="14" l="1"/>
  <c r="X101" i="14"/>
  <c r="AJ116" i="11" s="1"/>
  <c r="AH116" i="11"/>
  <c r="AI116" i="11" l="1"/>
  <c r="Y101" i="14"/>
  <c r="Z101" i="14" s="1"/>
  <c r="AK116" i="11" l="1"/>
  <c r="AL116" i="11" l="1"/>
  <c r="U102" i="14"/>
  <c r="AF117" i="11" l="1"/>
  <c r="V102" i="14"/>
  <c r="W102" i="14" l="1"/>
  <c r="X102" i="14"/>
  <c r="AJ117" i="11"/>
  <c r="AH117" i="11"/>
  <c r="Y102" i="14" l="1"/>
  <c r="Z102" i="14" s="1"/>
  <c r="AI117" i="11"/>
  <c r="AK117" i="11" l="1"/>
  <c r="AL117" i="11" l="1"/>
  <c r="X11" i="14" a="1"/>
  <c r="X11" i="14" s="1"/>
  <c r="U103" i="14"/>
  <c r="AN27" i="11" l="1"/>
  <c r="Y11" i="14"/>
  <c r="AO27" i="11" s="1"/>
  <c r="AF118" i="11"/>
  <c r="AG32" i="12" l="1"/>
  <c r="AG32" i="26"/>
  <c r="T112" i="14" a="1"/>
  <c r="T112" i="14" s="1"/>
  <c r="AG127" i="11" s="1"/>
  <c r="AG28" i="11"/>
  <c r="T106" i="14" a="1"/>
  <c r="T106" i="14" s="1"/>
  <c r="AG121" i="11" s="1"/>
  <c r="AH28" i="11"/>
  <c r="S69" i="9" s="1" a="1"/>
  <c r="S69" i="9" s="1"/>
  <c r="T103" i="14" a="1"/>
  <c r="T103" i="14" s="1"/>
  <c r="AG118" i="11" l="1"/>
  <c r="V103" i="14"/>
  <c r="T111" i="14" a="1"/>
  <c r="T111" i="14" s="1"/>
  <c r="AG126" i="11" s="1"/>
  <c r="T110" i="14" a="1"/>
  <c r="T110" i="14" s="1"/>
  <c r="AG125" i="11" s="1"/>
  <c r="T113" i="14" a="1"/>
  <c r="T113" i="14" s="1"/>
  <c r="AG128" i="11" s="1"/>
  <c r="T104" i="14" a="1"/>
  <c r="T104" i="14" s="1"/>
  <c r="AG119" i="11" s="1"/>
  <c r="T109" i="14" a="1"/>
  <c r="T109" i="14" s="1"/>
  <c r="AG124" i="11" s="1"/>
  <c r="T108" i="14" a="1"/>
  <c r="T108" i="14" s="1"/>
  <c r="AG123" i="11" s="1"/>
  <c r="T105" i="14" a="1"/>
  <c r="T105" i="14" s="1"/>
  <c r="AG120" i="11" s="1"/>
  <c r="T107" i="14" a="1"/>
  <c r="T107" i="14" s="1"/>
  <c r="AG122" i="11" s="1"/>
  <c r="V12" i="14"/>
  <c r="Z12" i="14" s="1"/>
  <c r="T114" i="14" a="1"/>
  <c r="T114" i="14" s="1"/>
  <c r="AG129" i="11" s="1"/>
  <c r="W103" i="14" l="1"/>
  <c r="X103" i="14"/>
  <c r="AJ118" i="11" s="1"/>
  <c r="AI28" i="11"/>
  <c r="AH118" i="11"/>
  <c r="AI118" i="11" l="1"/>
  <c r="Y103" i="14"/>
  <c r="Z103" i="14" s="1"/>
  <c r="AK118" i="11" l="1"/>
  <c r="AL118" i="11" l="1"/>
  <c r="U104" i="14"/>
  <c r="AF119" i="11" l="1"/>
  <c r="V104" i="14"/>
  <c r="W104" i="14" l="1"/>
  <c r="X104" i="14"/>
  <c r="AJ119" i="11" s="1"/>
  <c r="AH119" i="11"/>
  <c r="AI119" i="11" l="1"/>
  <c r="Y104" i="14"/>
  <c r="Z104" i="14" s="1"/>
  <c r="AK119" i="11" l="1"/>
  <c r="AL119" i="11" l="1"/>
  <c r="U105" i="14"/>
  <c r="AF120" i="11" l="1"/>
  <c r="V105" i="14"/>
  <c r="W105" i="14" l="1"/>
  <c r="X105" i="14"/>
  <c r="AJ120" i="11" s="1"/>
  <c r="AH120" i="11"/>
  <c r="AI120" i="11" l="1"/>
  <c r="Y105" i="14"/>
  <c r="Z105" i="14" s="1"/>
  <c r="AK120" i="11" l="1"/>
  <c r="AL120" i="11" l="1"/>
  <c r="U106" i="14"/>
  <c r="AF121" i="11" l="1"/>
  <c r="V106" i="14"/>
  <c r="W106" i="14" l="1"/>
  <c r="X106" i="14"/>
  <c r="AJ121" i="11" s="1"/>
  <c r="AH121" i="11"/>
  <c r="Y106" i="14" l="1"/>
  <c r="Z106" i="14" s="1"/>
  <c r="AI121" i="11"/>
  <c r="AK121" i="11" l="1"/>
  <c r="AL121" i="11" l="1"/>
  <c r="U107" i="14"/>
  <c r="AF122" i="11" l="1"/>
  <c r="V107" i="14"/>
  <c r="W107" i="14" l="1"/>
  <c r="X107" i="14"/>
  <c r="AJ122" i="11" s="1"/>
  <c r="AH122" i="11"/>
  <c r="Y107" i="14" l="1"/>
  <c r="Z107" i="14" s="1"/>
  <c r="AI122" i="11"/>
  <c r="AK122" i="11" l="1"/>
  <c r="AL122" i="11" l="1"/>
  <c r="U108" i="14"/>
  <c r="AF123" i="11" l="1"/>
  <c r="V108" i="14"/>
  <c r="W108" i="14" l="1"/>
  <c r="X108" i="14"/>
  <c r="AJ123" i="11" s="1"/>
  <c r="AH123" i="11"/>
  <c r="AI123" i="11" l="1"/>
  <c r="Y108" i="14"/>
  <c r="Z108" i="14" s="1"/>
  <c r="AK123" i="11" l="1"/>
  <c r="AL123" i="11" l="1"/>
  <c r="U109" i="14"/>
  <c r="AF124" i="11" l="1"/>
  <c r="V109" i="14"/>
  <c r="W109" i="14" l="1"/>
  <c r="X109" i="14"/>
  <c r="AJ124" i="11" s="1"/>
  <c r="AH124" i="11"/>
  <c r="Y109" i="14" l="1"/>
  <c r="Z109" i="14" s="1"/>
  <c r="AI124" i="11"/>
  <c r="AK124" i="11" l="1"/>
  <c r="AL124" i="11" l="1"/>
  <c r="U110" i="14"/>
  <c r="AF125" i="11" l="1"/>
  <c r="V110" i="14"/>
  <c r="W110" i="14" l="1"/>
  <c r="X110" i="14"/>
  <c r="AH125" i="11"/>
  <c r="AJ125" i="11"/>
  <c r="Y110" i="14" l="1"/>
  <c r="Z110" i="14" s="1"/>
  <c r="AI125" i="11"/>
  <c r="AK125" i="11" l="1"/>
  <c r="AL125" i="11" l="1"/>
  <c r="U111" i="14"/>
  <c r="AF126" i="11" l="1"/>
  <c r="V111" i="14"/>
  <c r="W111" i="14" l="1"/>
  <c r="X111" i="14"/>
  <c r="AJ126" i="11" s="1"/>
  <c r="AH126" i="11"/>
  <c r="Y111" i="14" l="1"/>
  <c r="Z111" i="14" s="1"/>
  <c r="AI126" i="11"/>
  <c r="AK126" i="11" l="1"/>
  <c r="AL126" i="11" l="1"/>
  <c r="U112" i="14"/>
  <c r="AF127" i="11" l="1"/>
  <c r="V112" i="14"/>
  <c r="W112" i="14" l="1"/>
  <c r="X112" i="14"/>
  <c r="AJ127" i="11" s="1"/>
  <c r="AH127" i="11"/>
  <c r="AI127" i="11" l="1"/>
  <c r="Y112" i="14"/>
  <c r="Z112" i="14" s="1"/>
  <c r="AK127" i="11" l="1"/>
  <c r="AL127" i="11" l="1"/>
  <c r="U113" i="14"/>
  <c r="AF128" i="11" l="1"/>
  <c r="V113" i="14"/>
  <c r="W113" i="14" l="1"/>
  <c r="X113" i="14"/>
  <c r="AJ128" i="11" s="1"/>
  <c r="AH128" i="11"/>
  <c r="Y113" i="14" l="1"/>
  <c r="Z113" i="14" s="1"/>
  <c r="AI128" i="11"/>
  <c r="AK128" i="11" l="1"/>
  <c r="AL128" i="11" l="1"/>
  <c r="U114" i="14"/>
  <c r="AF129" i="11" l="1"/>
  <c r="V114" i="14"/>
  <c r="W114" i="14" l="1"/>
  <c r="X114" i="14"/>
  <c r="AJ129" i="11" s="1"/>
  <c r="AH129" i="11"/>
  <c r="Y114" i="14" l="1"/>
  <c r="Z114" i="14" s="1"/>
  <c r="AI129" i="11"/>
  <c r="AK129" i="11" l="1"/>
  <c r="AL129" i="11" l="1"/>
  <c r="X12" i="14" a="1"/>
  <c r="X12" i="14" s="1"/>
  <c r="U115" i="14"/>
  <c r="AN28" i="11" l="1"/>
  <c r="Y12" i="14"/>
  <c r="AO28" i="11" s="1"/>
  <c r="AF130" i="11"/>
  <c r="AG33" i="12" l="1"/>
  <c r="AG33" i="26"/>
  <c r="AG29" i="11"/>
  <c r="T115" i="14" a="1"/>
  <c r="T115" i="14" s="1"/>
  <c r="AG130" i="11" l="1"/>
  <c r="V115" i="14"/>
  <c r="V13" i="14"/>
  <c r="Z13" i="14" s="1"/>
  <c r="T125" i="14" a="1"/>
  <c r="T125" i="14" s="1"/>
  <c r="AG140" i="11" s="1"/>
  <c r="T124" i="14" a="1"/>
  <c r="T124" i="14" s="1"/>
  <c r="AG139" i="11" s="1"/>
  <c r="T118" i="14" a="1"/>
  <c r="T118" i="14" s="1"/>
  <c r="AG133" i="11" s="1"/>
  <c r="T123" i="14" a="1"/>
  <c r="T123" i="14" s="1"/>
  <c r="AG138" i="11" s="1"/>
  <c r="T116" i="14" a="1"/>
  <c r="T116" i="14" s="1"/>
  <c r="AG131" i="11" s="1"/>
  <c r="T121" i="14" a="1"/>
  <c r="T121" i="14" s="1"/>
  <c r="AG136" i="11" s="1"/>
  <c r="T117" i="14" a="1"/>
  <c r="T117" i="14" s="1"/>
  <c r="AG132" i="11" s="1"/>
  <c r="AH29" i="11"/>
  <c r="U69" i="9" s="1" a="1"/>
  <c r="U69" i="9" s="1"/>
  <c r="T120" i="14" a="1"/>
  <c r="T120" i="14" s="1"/>
  <c r="AG135" i="11" s="1"/>
  <c r="T126" i="14" a="1"/>
  <c r="T126" i="14" s="1"/>
  <c r="AG141" i="11" s="1"/>
  <c r="T122" i="14" a="1"/>
  <c r="T122" i="14" s="1"/>
  <c r="AG137" i="11" s="1"/>
  <c r="T119" i="14" a="1"/>
  <c r="T119" i="14" s="1"/>
  <c r="AG134" i="11" s="1"/>
  <c r="W115" i="14" l="1"/>
  <c r="X115" i="14"/>
  <c r="AJ130" i="11" s="1"/>
  <c r="AI29" i="11"/>
  <c r="AH130" i="11"/>
  <c r="AI130" i="11" l="1"/>
  <c r="Y115" i="14"/>
  <c r="Z115" i="14" s="1"/>
  <c r="AK130" i="11" l="1"/>
  <c r="AL130" i="11" l="1"/>
  <c r="U116" i="14"/>
  <c r="AF131" i="11" l="1"/>
  <c r="V116" i="14"/>
  <c r="W116" i="14" l="1"/>
  <c r="X116" i="14"/>
  <c r="AJ131" i="11" s="1"/>
  <c r="AH131" i="11"/>
  <c r="Y116" i="14" l="1"/>
  <c r="Z116" i="14" s="1"/>
  <c r="AI131" i="11"/>
  <c r="AK131" i="11" l="1"/>
  <c r="AL131" i="11" l="1"/>
  <c r="U117" i="14"/>
  <c r="AF132" i="11" l="1"/>
  <c r="V117" i="14"/>
  <c r="W117" i="14" l="1"/>
  <c r="X117" i="14"/>
  <c r="AJ132" i="11" s="1"/>
  <c r="AH132" i="11"/>
  <c r="AI132" i="11" l="1"/>
  <c r="Y117" i="14"/>
  <c r="Z117" i="14" s="1"/>
  <c r="AK132" i="11" l="1"/>
  <c r="AL132" i="11" l="1"/>
  <c r="U118" i="14"/>
  <c r="AF133" i="11" l="1"/>
  <c r="V118" i="14"/>
  <c r="W118" i="14" l="1"/>
  <c r="X118" i="14"/>
  <c r="AJ133" i="11" s="1"/>
  <c r="AH133" i="11"/>
  <c r="AI133" i="11" l="1"/>
  <c r="Y118" i="14"/>
  <c r="Z118" i="14" s="1"/>
  <c r="AK133" i="11" l="1"/>
  <c r="AL133" i="11" l="1"/>
  <c r="U119" i="14"/>
  <c r="AF134" i="11" l="1"/>
  <c r="V119" i="14"/>
  <c r="W119" i="14" l="1"/>
  <c r="X119" i="14"/>
  <c r="AJ134" i="11" s="1"/>
  <c r="AH134" i="11"/>
  <c r="AI134" i="11" l="1"/>
  <c r="Y119" i="14"/>
  <c r="Z119" i="14" s="1"/>
  <c r="AK134" i="11" l="1"/>
  <c r="AL134" i="11" l="1"/>
  <c r="U120" i="14"/>
  <c r="AF135" i="11" l="1"/>
  <c r="V120" i="14"/>
  <c r="W120" i="14" l="1"/>
  <c r="X120" i="14"/>
  <c r="AJ135" i="11" s="1"/>
  <c r="AH135" i="11"/>
  <c r="AI135" i="11" l="1"/>
  <c r="Y120" i="14"/>
  <c r="Z120" i="14" s="1"/>
  <c r="AK135" i="11" l="1"/>
  <c r="AL135" i="11" l="1"/>
  <c r="U121" i="14"/>
  <c r="AF136" i="11" l="1"/>
  <c r="V121" i="14"/>
  <c r="W121" i="14" l="1"/>
  <c r="X121" i="14"/>
  <c r="AH136" i="11"/>
  <c r="AJ136" i="11"/>
  <c r="Y121" i="14" l="1"/>
  <c r="Z121" i="14" s="1"/>
  <c r="AI136" i="11"/>
  <c r="AK136" i="11" l="1"/>
  <c r="AL136" i="11" l="1"/>
  <c r="U122" i="14"/>
  <c r="AF137" i="11" l="1"/>
  <c r="V122" i="14"/>
  <c r="W122" i="14" l="1"/>
  <c r="X122" i="14"/>
  <c r="AJ137" i="11" s="1"/>
  <c r="AH137" i="11"/>
  <c r="Y122" i="14" l="1"/>
  <c r="Z122" i="14" s="1"/>
  <c r="AI137" i="11"/>
  <c r="AK137" i="11" l="1"/>
  <c r="AL137" i="11" l="1"/>
  <c r="U123" i="14"/>
  <c r="AF138" i="11" l="1"/>
  <c r="V123" i="14"/>
  <c r="W123" i="14" l="1"/>
  <c r="X123" i="14"/>
  <c r="AJ138" i="11" s="1"/>
  <c r="AH138" i="11"/>
  <c r="AI138" i="11" l="1"/>
  <c r="Y123" i="14"/>
  <c r="Z123" i="14" s="1"/>
  <c r="AK138" i="11" l="1"/>
  <c r="AL138" i="11" l="1"/>
  <c r="U124" i="14"/>
  <c r="AF139" i="11" l="1"/>
  <c r="V124" i="14"/>
  <c r="W124" i="14" l="1"/>
  <c r="X124" i="14"/>
  <c r="AJ139" i="11" s="1"/>
  <c r="AH139" i="11"/>
  <c r="Y124" i="14" l="1"/>
  <c r="Z124" i="14" s="1"/>
  <c r="AI139" i="11"/>
  <c r="AK139" i="11" l="1"/>
  <c r="AL139" i="11" l="1"/>
  <c r="U125" i="14"/>
  <c r="AF140" i="11" l="1"/>
  <c r="V125" i="14"/>
  <c r="W125" i="14" l="1"/>
  <c r="X125" i="14"/>
  <c r="AH140" i="11"/>
  <c r="AJ140" i="11"/>
  <c r="AI140" i="11" l="1"/>
  <c r="Y125" i="14"/>
  <c r="Z125" i="14" s="1"/>
  <c r="AK140" i="11" l="1"/>
  <c r="AL140" i="11" l="1"/>
  <c r="U126" i="14"/>
  <c r="AF141" i="11" l="1"/>
  <c r="V126" i="14"/>
  <c r="W126" i="14" l="1"/>
  <c r="X126" i="14"/>
  <c r="AJ141" i="11" s="1"/>
  <c r="AH141" i="11"/>
  <c r="Y126" i="14" l="1"/>
  <c r="Z126" i="14" s="1"/>
  <c r="AI141" i="11"/>
  <c r="AK141" i="11" l="1"/>
  <c r="U127" i="14" l="1"/>
  <c r="AL141" i="11"/>
  <c r="X13" i="14" a="1"/>
  <c r="X13" i="14" s="1"/>
  <c r="AN29" i="11" l="1"/>
  <c r="Y13" i="14"/>
  <c r="AO29" i="11" s="1"/>
  <c r="AF142" i="11"/>
  <c r="AG34" i="12" l="1"/>
  <c r="AG34" i="26"/>
  <c r="K59" i="9" a="1"/>
  <c r="K59" i="9" s="1"/>
  <c r="G59" i="9" a="1"/>
  <c r="G59" i="9" s="1"/>
  <c r="U59" i="9" a="1"/>
  <c r="U59" i="9" s="1"/>
  <c r="S59" i="9" a="1"/>
  <c r="S59" i="9" s="1"/>
  <c r="O59" i="9" a="1"/>
  <c r="O59" i="9" s="1"/>
  <c r="M59" i="9" a="1"/>
  <c r="M59" i="9" s="1"/>
  <c r="I59" i="9" a="1"/>
  <c r="I59" i="9" s="1"/>
  <c r="E59" i="9" a="1"/>
  <c r="E59" i="9" s="1"/>
  <c r="Q59" i="9" a="1"/>
  <c r="Q59" i="9" s="1"/>
  <c r="T15" i="14"/>
  <c r="AG30" i="11"/>
  <c r="U15" i="14"/>
  <c r="T128" i="14" l="1" a="1"/>
  <c r="T128" i="14" s="1"/>
  <c r="AG143" i="11" s="1"/>
  <c r="T136" i="14" a="1"/>
  <c r="T136" i="14" s="1"/>
  <c r="AG151" i="11" s="1"/>
  <c r="T135" i="14" a="1"/>
  <c r="T135" i="14" s="1"/>
  <c r="AG150" i="11" s="1"/>
  <c r="T137" i="14" a="1"/>
  <c r="T137" i="14" s="1"/>
  <c r="AG152" i="11" s="1"/>
  <c r="T129" i="14" a="1"/>
  <c r="T129" i="14" s="1"/>
  <c r="AG144" i="11" s="1"/>
  <c r="T133" i="14" a="1"/>
  <c r="T133" i="14" s="1"/>
  <c r="AG148" i="11" s="1"/>
  <c r="T132" i="14" a="1"/>
  <c r="T132" i="14" s="1"/>
  <c r="AG147" i="11" s="1"/>
  <c r="V14" i="14"/>
  <c r="Z14" i="14" s="1"/>
  <c r="T134" i="14" a="1"/>
  <c r="T134" i="14" s="1"/>
  <c r="AG149" i="11" s="1"/>
  <c r="T130" i="14" a="1"/>
  <c r="T130" i="14" s="1"/>
  <c r="AG145" i="11" s="1"/>
  <c r="T131" i="14" a="1"/>
  <c r="T131" i="14" s="1"/>
  <c r="AG146" i="11" s="1"/>
  <c r="T138" i="14" a="1"/>
  <c r="T138" i="14" s="1"/>
  <c r="AG153" i="11" s="1"/>
  <c r="T127" i="14" a="1"/>
  <c r="T127" i="14" s="1"/>
  <c r="AH30" i="11"/>
  <c r="W69" i="9" s="1" a="1"/>
  <c r="W69" i="9" s="1"/>
  <c r="V15" i="14" l="1"/>
  <c r="W59" i="9" a="1"/>
  <c r="W59" i="9" s="1"/>
  <c r="AI30" i="11"/>
  <c r="AG142" i="11"/>
  <c r="V127" i="14"/>
  <c r="W127" i="14" l="1"/>
  <c r="X127" i="14"/>
  <c r="AJ142" i="11" s="1"/>
  <c r="AH142" i="11"/>
  <c r="AI142" i="11" l="1"/>
  <c r="Y127" i="14"/>
  <c r="Z127" i="14" s="1"/>
  <c r="AK142" i="11" l="1"/>
  <c r="AL142" i="11" l="1"/>
  <c r="U128" i="14"/>
  <c r="AF143" i="11" l="1"/>
  <c r="V128" i="14"/>
  <c r="W128" i="14" l="1"/>
  <c r="X128" i="14"/>
  <c r="AJ143" i="11" s="1"/>
  <c r="AH143" i="11"/>
  <c r="Y128" i="14" l="1"/>
  <c r="Z128" i="14" s="1"/>
  <c r="AI143" i="11"/>
  <c r="AK143" i="11" l="1"/>
  <c r="AL143" i="11" l="1"/>
  <c r="U129" i="14"/>
  <c r="AF144" i="11" l="1"/>
  <c r="V129" i="14"/>
  <c r="W129" i="14" l="1"/>
  <c r="X129" i="14"/>
  <c r="AJ144" i="11" s="1"/>
  <c r="AH144" i="11"/>
  <c r="Y129" i="14" l="1"/>
  <c r="Z129" i="14" s="1"/>
  <c r="AI144" i="11"/>
  <c r="AK144" i="11" l="1"/>
  <c r="AL144" i="11" l="1"/>
  <c r="U130" i="14"/>
  <c r="AF145" i="11" l="1"/>
  <c r="V130" i="14"/>
  <c r="W130" i="14" l="1"/>
  <c r="X130" i="14"/>
  <c r="AJ145" i="11" s="1"/>
  <c r="AH145" i="11"/>
  <c r="Y130" i="14" l="1"/>
  <c r="Z130" i="14" s="1"/>
  <c r="AI145" i="11"/>
  <c r="AK145" i="11" l="1"/>
  <c r="AL145" i="11" l="1"/>
  <c r="U131" i="14"/>
  <c r="AF146" i="11" l="1"/>
  <c r="V131" i="14"/>
  <c r="W131" i="14" l="1"/>
  <c r="X131" i="14"/>
  <c r="AJ146" i="11" s="1"/>
  <c r="AH146" i="11"/>
  <c r="AI146" i="11" l="1"/>
  <c r="Y131" i="14"/>
  <c r="Z131" i="14" s="1"/>
  <c r="AK146" i="11" l="1"/>
  <c r="AL146" i="11" l="1"/>
  <c r="U132" i="14"/>
  <c r="AF147" i="11" l="1"/>
  <c r="V132" i="14"/>
  <c r="W132" i="14" l="1"/>
  <c r="X132" i="14"/>
  <c r="AJ147" i="11" s="1"/>
  <c r="AH147" i="11"/>
  <c r="Y132" i="14" l="1"/>
  <c r="Z132" i="14" s="1"/>
  <c r="AI147" i="11"/>
  <c r="AK147" i="11" l="1"/>
  <c r="AL147" i="11" l="1"/>
  <c r="U133" i="14"/>
  <c r="AF148" i="11" l="1"/>
  <c r="V133" i="14"/>
  <c r="W133" i="14" l="1"/>
  <c r="X133" i="14"/>
  <c r="AJ148" i="11" s="1"/>
  <c r="AH148" i="11"/>
  <c r="Y133" i="14" l="1"/>
  <c r="Z133" i="14" s="1"/>
  <c r="AI148" i="11"/>
  <c r="AK148" i="11" l="1"/>
  <c r="AL148" i="11" l="1"/>
  <c r="U134" i="14"/>
  <c r="AF149" i="11" l="1"/>
  <c r="V134" i="14"/>
  <c r="W134" i="14" l="1"/>
  <c r="X134" i="14"/>
  <c r="AJ149" i="11" s="1"/>
  <c r="AH149" i="11"/>
  <c r="Y134" i="14" l="1"/>
  <c r="Z134" i="14" s="1"/>
  <c r="AI149" i="11"/>
  <c r="AK149" i="11" l="1"/>
  <c r="AL149" i="11" l="1"/>
  <c r="U135" i="14"/>
  <c r="AF150" i="11" l="1"/>
  <c r="V135" i="14"/>
  <c r="W135" i="14" l="1"/>
  <c r="X135" i="14"/>
  <c r="AJ150" i="11" s="1"/>
  <c r="AH150" i="11"/>
  <c r="AI150" i="11" l="1"/>
  <c r="Y135" i="14"/>
  <c r="Z135" i="14" s="1"/>
  <c r="AK150" i="11" l="1"/>
  <c r="AL150" i="11" l="1"/>
  <c r="U136" i="14"/>
  <c r="AF151" i="11" l="1"/>
  <c r="V136" i="14"/>
  <c r="W136" i="14" l="1"/>
  <c r="X136" i="14"/>
  <c r="AJ151" i="11" s="1"/>
  <c r="AH151" i="11"/>
  <c r="AI151" i="11" l="1"/>
  <c r="Y136" i="14"/>
  <c r="Z136" i="14" s="1"/>
  <c r="AK151" i="11" l="1"/>
  <c r="AL151" i="11" l="1"/>
  <c r="U137" i="14"/>
  <c r="AF152" i="11" l="1"/>
  <c r="V137" i="14"/>
  <c r="W137" i="14" l="1"/>
  <c r="X137" i="14"/>
  <c r="AJ152" i="11" s="1"/>
  <c r="AH152" i="11"/>
  <c r="Y137" i="14" l="1"/>
  <c r="Z137" i="14" s="1"/>
  <c r="AI152" i="11"/>
  <c r="AK152" i="11" l="1"/>
  <c r="AL152" i="11" l="1"/>
  <c r="U138" i="14"/>
  <c r="AF153" i="11" l="1"/>
  <c r="V138" i="14"/>
  <c r="W138" i="14" l="1"/>
  <c r="X138" i="14"/>
  <c r="AJ153" i="11" s="1"/>
  <c r="AL7" i="11" s="1"/>
  <c r="AH153" i="11"/>
  <c r="Y138" i="14" l="1"/>
  <c r="Z138" i="14" s="1"/>
  <c r="AI153" i="11"/>
  <c r="AL8" i="11" s="1" a="1"/>
  <c r="AL8" i="11" s="1"/>
  <c r="AL9" i="11" s="1"/>
  <c r="W6" i="14" a="1"/>
  <c r="W6" i="14" s="1"/>
  <c r="W13" i="14" a="1"/>
  <c r="W13" i="14" s="1"/>
  <c r="W8" i="14" a="1"/>
  <c r="W8" i="14" s="1"/>
  <c r="W12" i="14" a="1"/>
  <c r="W12" i="14" s="1"/>
  <c r="W10" i="14" a="1"/>
  <c r="W10" i="14" s="1"/>
  <c r="W7" i="14" a="1"/>
  <c r="W7" i="14" s="1"/>
  <c r="W9" i="14" a="1"/>
  <c r="W9" i="14" s="1"/>
  <c r="W14" i="14" a="1"/>
  <c r="W14" i="14" s="1"/>
  <c r="W5" i="14" a="1"/>
  <c r="W5" i="14" s="1"/>
  <c r="W11" i="14" a="1"/>
  <c r="W11" i="14" s="1"/>
  <c r="AM25" i="11" l="1"/>
  <c r="M58" i="9" a="1"/>
  <c r="M58" i="9" s="1"/>
  <c r="AM23" i="11"/>
  <c r="I58" i="9" a="1"/>
  <c r="I58" i="9" s="1"/>
  <c r="AM26" i="11"/>
  <c r="O58" i="9" a="1"/>
  <c r="O58" i="9" s="1"/>
  <c r="AM24" i="11"/>
  <c r="K58" i="9" a="1"/>
  <c r="K58" i="9" s="1"/>
  <c r="AM28" i="11"/>
  <c r="S58" i="9" a="1"/>
  <c r="S58" i="9" s="1"/>
  <c r="AM27" i="11"/>
  <c r="Q58" i="9" a="1"/>
  <c r="Q58" i="9" s="1"/>
  <c r="AM29" i="11"/>
  <c r="U58" i="9" a="1"/>
  <c r="U58" i="9" s="1"/>
  <c r="AM21" i="11"/>
  <c r="W15" i="14"/>
  <c r="E58" i="9" a="1"/>
  <c r="E58" i="9" s="1"/>
  <c r="AM30" i="11"/>
  <c r="W58" i="9" a="1"/>
  <c r="W58" i="9" s="1"/>
  <c r="AM22" i="11"/>
  <c r="G58" i="9" a="1"/>
  <c r="G58" i="9" s="1"/>
  <c r="AK153" i="11"/>
  <c r="AA29" i="26" l="1"/>
  <c r="AA29" i="12"/>
  <c r="K57" i="9"/>
  <c r="Q57" i="9"/>
  <c r="AA32" i="12"/>
  <c r="AA32" i="26"/>
  <c r="AA28" i="12"/>
  <c r="AA28" i="26"/>
  <c r="I57" i="9"/>
  <c r="AA31" i="12"/>
  <c r="O57" i="9"/>
  <c r="AA31" i="26"/>
  <c r="X14" i="14" a="1"/>
  <c r="X14" i="14" s="1"/>
  <c r="AL153" i="11"/>
  <c r="AL6" i="11" s="1" a="1"/>
  <c r="AL6" i="11" s="1"/>
  <c r="AA33" i="12"/>
  <c r="AA33" i="26"/>
  <c r="S57" i="9"/>
  <c r="AA27" i="12"/>
  <c r="AA27" i="26"/>
  <c r="G57" i="9"/>
  <c r="AA35" i="26"/>
  <c r="W57" i="9"/>
  <c r="AA35" i="12"/>
  <c r="Y11" i="26"/>
  <c r="Y11" i="12"/>
  <c r="E57" i="9"/>
  <c r="AA26" i="26"/>
  <c r="AA26" i="12"/>
  <c r="AA34" i="12"/>
  <c r="U57" i="9"/>
  <c r="AA34" i="26"/>
  <c r="AA30" i="12"/>
  <c r="M57" i="9"/>
  <c r="AA30" i="26"/>
  <c r="E67" i="9" l="1"/>
  <c r="E65" i="9"/>
  <c r="I83" i="26"/>
  <c r="I49" i="26"/>
  <c r="I79" i="26"/>
  <c r="I59" i="26"/>
  <c r="Q34" i="26"/>
  <c r="I77" i="26"/>
  <c r="Q32" i="26"/>
  <c r="I66" i="26"/>
  <c r="I56" i="26"/>
  <c r="I84" i="26"/>
  <c r="I94" i="26"/>
  <c r="I69" i="26"/>
  <c r="I60" i="26"/>
  <c r="I57" i="26"/>
  <c r="I87" i="26"/>
  <c r="I70" i="26"/>
  <c r="I50" i="26"/>
  <c r="Q36" i="26"/>
  <c r="I47" i="26"/>
  <c r="I72" i="26"/>
  <c r="Q33" i="26"/>
  <c r="I91" i="26"/>
  <c r="I55" i="26"/>
  <c r="I81" i="26"/>
  <c r="Q30" i="26"/>
  <c r="I62" i="26"/>
  <c r="I64" i="26"/>
  <c r="I78" i="26"/>
  <c r="I61" i="26"/>
  <c r="I51" i="26"/>
  <c r="I58" i="26"/>
  <c r="I67" i="26"/>
  <c r="I82" i="26"/>
  <c r="I76" i="26"/>
  <c r="I68" i="26"/>
  <c r="Q31" i="26"/>
  <c r="I86" i="26"/>
  <c r="I63" i="26"/>
  <c r="I89" i="26"/>
  <c r="I74" i="26"/>
  <c r="I90" i="26"/>
  <c r="I48" i="26"/>
  <c r="I52" i="26"/>
  <c r="I73" i="26"/>
  <c r="I53" i="26"/>
  <c r="I80" i="26"/>
  <c r="I46" i="26"/>
  <c r="I93" i="26"/>
  <c r="Q35" i="26"/>
  <c r="I65" i="26"/>
  <c r="I92" i="26"/>
  <c r="I85" i="26"/>
  <c r="I88" i="26"/>
  <c r="I71" i="26"/>
  <c r="I75" i="26"/>
  <c r="I54" i="26"/>
  <c r="F52" i="26"/>
  <c r="F89" i="26"/>
  <c r="F51" i="26"/>
  <c r="F68" i="26"/>
  <c r="F47" i="26"/>
  <c r="F93" i="26"/>
  <c r="F56" i="26"/>
  <c r="F54" i="26"/>
  <c r="F78" i="26"/>
  <c r="F69" i="26"/>
  <c r="F61" i="26"/>
  <c r="F83" i="26"/>
  <c r="F64" i="26"/>
  <c r="N31" i="26"/>
  <c r="F82" i="26"/>
  <c r="F81" i="26"/>
  <c r="F75" i="26"/>
  <c r="F53" i="26"/>
  <c r="F90" i="26"/>
  <c r="F92" i="26"/>
  <c r="N34" i="26"/>
  <c r="N30" i="26"/>
  <c r="F73" i="26"/>
  <c r="F76" i="26"/>
  <c r="F71" i="26"/>
  <c r="F72" i="26"/>
  <c r="F65" i="26"/>
  <c r="F79" i="26"/>
  <c r="F70" i="26"/>
  <c r="F55" i="26"/>
  <c r="N33" i="26"/>
  <c r="F66" i="26"/>
  <c r="F94" i="26"/>
  <c r="F91" i="26"/>
  <c r="N36" i="26"/>
  <c r="F48" i="26"/>
  <c r="F60" i="26"/>
  <c r="F67" i="26"/>
  <c r="F59" i="26"/>
  <c r="F50" i="26"/>
  <c r="F46" i="26"/>
  <c r="N35" i="26"/>
  <c r="F57" i="26"/>
  <c r="F77" i="26"/>
  <c r="N32" i="26"/>
  <c r="F87" i="26"/>
  <c r="F62" i="26"/>
  <c r="F85" i="26"/>
  <c r="F63" i="26"/>
  <c r="F84" i="26"/>
  <c r="F88" i="26"/>
  <c r="F49" i="26"/>
  <c r="F80" i="26"/>
  <c r="F86" i="26"/>
  <c r="F74" i="26"/>
  <c r="F58" i="26"/>
  <c r="J91" i="26"/>
  <c r="J86" i="26"/>
  <c r="J55" i="26"/>
  <c r="J61" i="26"/>
  <c r="R35" i="26"/>
  <c r="J64" i="26"/>
  <c r="R30" i="26"/>
  <c r="J51" i="26"/>
  <c r="J79" i="26"/>
  <c r="J71" i="26"/>
  <c r="J57" i="26"/>
  <c r="J77" i="26"/>
  <c r="J85" i="26"/>
  <c r="J68" i="26"/>
  <c r="J69" i="26"/>
  <c r="R36" i="26"/>
  <c r="J54" i="26"/>
  <c r="R34" i="26"/>
  <c r="J59" i="26"/>
  <c r="R32" i="26"/>
  <c r="J46" i="26"/>
  <c r="R31" i="26"/>
  <c r="J47" i="26"/>
  <c r="J93" i="26"/>
  <c r="J48" i="26"/>
  <c r="J60" i="26"/>
  <c r="J92" i="26"/>
  <c r="R33" i="26"/>
  <c r="J65" i="26"/>
  <c r="J84" i="26"/>
  <c r="J88" i="26"/>
  <c r="J81" i="26"/>
  <c r="J52" i="26"/>
  <c r="J62" i="26"/>
  <c r="J53" i="26"/>
  <c r="J87" i="26"/>
  <c r="J58" i="26"/>
  <c r="J80" i="26"/>
  <c r="J70" i="26"/>
  <c r="J66" i="26"/>
  <c r="J49" i="26"/>
  <c r="J90" i="26"/>
  <c r="J94" i="26"/>
  <c r="J67" i="26"/>
  <c r="J83" i="26"/>
  <c r="J72" i="26"/>
  <c r="J78" i="26"/>
  <c r="J50" i="26"/>
  <c r="J56" i="26"/>
  <c r="J63" i="26"/>
  <c r="J74" i="26"/>
  <c r="J76" i="26"/>
  <c r="J82" i="26"/>
  <c r="J89" i="26"/>
  <c r="J75" i="26"/>
  <c r="J73" i="26"/>
  <c r="H94" i="26"/>
  <c r="H75" i="26"/>
  <c r="H56" i="26"/>
  <c r="H46" i="26"/>
  <c r="H55" i="26"/>
  <c r="H83" i="26"/>
  <c r="P31" i="26"/>
  <c r="H65" i="26"/>
  <c r="P36" i="26"/>
  <c r="H64" i="26"/>
  <c r="H66" i="26"/>
  <c r="P34" i="26"/>
  <c r="H82" i="26"/>
  <c r="H49" i="26"/>
  <c r="H71" i="26"/>
  <c r="H52" i="26"/>
  <c r="H78" i="26"/>
  <c r="H74" i="26"/>
  <c r="H48" i="26"/>
  <c r="H50" i="26"/>
  <c r="H54" i="26"/>
  <c r="H60" i="26"/>
  <c r="P32" i="26"/>
  <c r="P35" i="26"/>
  <c r="H86" i="26"/>
  <c r="H85" i="26"/>
  <c r="H92" i="26"/>
  <c r="H70" i="26"/>
  <c r="H67" i="26"/>
  <c r="H62" i="26"/>
  <c r="H59" i="26"/>
  <c r="H88" i="26"/>
  <c r="H57" i="26"/>
  <c r="H89" i="26"/>
  <c r="H90" i="26"/>
  <c r="H91" i="26"/>
  <c r="H53" i="26"/>
  <c r="H81" i="26"/>
  <c r="H79" i="26"/>
  <c r="H69" i="26"/>
  <c r="H72" i="26"/>
  <c r="H73" i="26"/>
  <c r="H77" i="26"/>
  <c r="H47" i="26"/>
  <c r="H87" i="26"/>
  <c r="H61" i="26"/>
  <c r="H68" i="26"/>
  <c r="H93" i="26"/>
  <c r="H51" i="26"/>
  <c r="P30" i="26"/>
  <c r="H84" i="26"/>
  <c r="P33" i="26"/>
  <c r="H80" i="26"/>
  <c r="H63" i="26"/>
  <c r="H58" i="26"/>
  <c r="H76" i="26"/>
  <c r="L46" i="26"/>
  <c r="L65" i="26"/>
  <c r="L92" i="26"/>
  <c r="L64" i="26"/>
  <c r="L73" i="26"/>
  <c r="L79" i="26"/>
  <c r="L52" i="26"/>
  <c r="T31" i="26"/>
  <c r="L55" i="26"/>
  <c r="L71" i="26"/>
  <c r="T32" i="26"/>
  <c r="L63" i="26"/>
  <c r="L58" i="26"/>
  <c r="L59" i="26"/>
  <c r="L85" i="26"/>
  <c r="L89" i="26"/>
  <c r="L94" i="26"/>
  <c r="L54" i="26"/>
  <c r="L62" i="26"/>
  <c r="L84" i="26"/>
  <c r="L50" i="26"/>
  <c r="L77" i="26"/>
  <c r="L76" i="26"/>
  <c r="L81" i="26"/>
  <c r="L53" i="26"/>
  <c r="L48" i="26"/>
  <c r="L60" i="26"/>
  <c r="T34" i="26"/>
  <c r="L49" i="26"/>
  <c r="L86" i="26"/>
  <c r="L93" i="26"/>
  <c r="L82" i="26"/>
  <c r="L83" i="26"/>
  <c r="L67" i="26"/>
  <c r="L57" i="26"/>
  <c r="L75" i="26"/>
  <c r="T33" i="26"/>
  <c r="L90" i="26"/>
  <c r="L72" i="26"/>
  <c r="L47" i="26"/>
  <c r="L51" i="26"/>
  <c r="L66" i="26"/>
  <c r="L87" i="26"/>
  <c r="L61" i="26"/>
  <c r="L69" i="26"/>
  <c r="L68" i="26"/>
  <c r="L78" i="26"/>
  <c r="L56" i="26"/>
  <c r="L74" i="26"/>
  <c r="T30" i="26"/>
  <c r="T36" i="26"/>
  <c r="L80" i="26"/>
  <c r="L70" i="26"/>
  <c r="T35" i="26"/>
  <c r="L91" i="26"/>
  <c r="L88" i="26"/>
  <c r="E84" i="26"/>
  <c r="E57" i="26"/>
  <c r="E78" i="26"/>
  <c r="M33" i="26"/>
  <c r="M30" i="26"/>
  <c r="E63" i="26"/>
  <c r="E56" i="26"/>
  <c r="E46" i="26"/>
  <c r="E82" i="26"/>
  <c r="E81" i="26"/>
  <c r="E89" i="26"/>
  <c r="M34" i="26"/>
  <c r="E47" i="26"/>
  <c r="E55" i="26"/>
  <c r="E92" i="26"/>
  <c r="E86" i="26"/>
  <c r="E73" i="26"/>
  <c r="E50" i="26"/>
  <c r="M36" i="26"/>
  <c r="E65" i="26"/>
  <c r="E61" i="26"/>
  <c r="E79" i="26"/>
  <c r="M31" i="26"/>
  <c r="E68" i="26"/>
  <c r="E51" i="26"/>
  <c r="E70" i="26"/>
  <c r="E94" i="26"/>
  <c r="E54" i="26"/>
  <c r="E52" i="26"/>
  <c r="E83" i="26"/>
  <c r="E80" i="26"/>
  <c r="E90" i="26"/>
  <c r="E93" i="26"/>
  <c r="E74" i="26"/>
  <c r="E91" i="26"/>
  <c r="E88" i="26"/>
  <c r="E76" i="26"/>
  <c r="E85" i="26"/>
  <c r="E64" i="26"/>
  <c r="M35" i="26"/>
  <c r="E49" i="26"/>
  <c r="E48" i="26"/>
  <c r="E58" i="26"/>
  <c r="E72" i="26"/>
  <c r="E60" i="26"/>
  <c r="E62" i="26"/>
  <c r="M32" i="26"/>
  <c r="E77" i="26"/>
  <c r="E71" i="26"/>
  <c r="E66" i="26"/>
  <c r="E53" i="26"/>
  <c r="E59" i="26"/>
  <c r="E69" i="26"/>
  <c r="E75" i="26"/>
  <c r="E67" i="26"/>
  <c r="E87" i="26"/>
  <c r="K75" i="26"/>
  <c r="K82" i="26"/>
  <c r="K85" i="26"/>
  <c r="K65" i="26"/>
  <c r="K67" i="26"/>
  <c r="K51" i="26"/>
  <c r="S35" i="26"/>
  <c r="K58" i="26"/>
  <c r="K55" i="26"/>
  <c r="K63" i="26"/>
  <c r="K52" i="26"/>
  <c r="S34" i="26"/>
  <c r="S30" i="26"/>
  <c r="K47" i="26"/>
  <c r="K89" i="26"/>
  <c r="K93" i="26"/>
  <c r="K92" i="26"/>
  <c r="S32" i="26"/>
  <c r="K72" i="26"/>
  <c r="K69" i="26"/>
  <c r="K87" i="26"/>
  <c r="K48" i="26"/>
  <c r="S36" i="26"/>
  <c r="K91" i="26"/>
  <c r="K57" i="26"/>
  <c r="K50" i="26"/>
  <c r="K54" i="26"/>
  <c r="K83" i="26"/>
  <c r="K66" i="26"/>
  <c r="K68" i="26"/>
  <c r="K73" i="26"/>
  <c r="K46" i="26"/>
  <c r="K77" i="26"/>
  <c r="K88" i="26"/>
  <c r="K86" i="26"/>
  <c r="K84" i="26"/>
  <c r="K80" i="26"/>
  <c r="K79" i="26"/>
  <c r="S31" i="26"/>
  <c r="K62" i="26"/>
  <c r="K49" i="26"/>
  <c r="K64" i="26"/>
  <c r="K61" i="26"/>
  <c r="K56" i="26"/>
  <c r="K90" i="26"/>
  <c r="K76" i="26"/>
  <c r="K74" i="26"/>
  <c r="K53" i="26"/>
  <c r="K59" i="26"/>
  <c r="K60" i="26"/>
  <c r="K78" i="26"/>
  <c r="S33" i="26"/>
  <c r="K94" i="26"/>
  <c r="K81" i="26"/>
  <c r="K71" i="26"/>
  <c r="K70" i="26"/>
  <c r="D75" i="26"/>
  <c r="D89" i="26"/>
  <c r="D64" i="26"/>
  <c r="D84" i="26"/>
  <c r="D73" i="26"/>
  <c r="D87" i="26"/>
  <c r="D50" i="26"/>
  <c r="D81" i="26"/>
  <c r="D68" i="26"/>
  <c r="D67" i="26"/>
  <c r="D91" i="26"/>
  <c r="D78" i="26"/>
  <c r="D79" i="26"/>
  <c r="D51" i="26"/>
  <c r="D80" i="26"/>
  <c r="D77" i="26"/>
  <c r="D52" i="26"/>
  <c r="D59" i="26"/>
  <c r="D60" i="26"/>
  <c r="D82" i="26"/>
  <c r="D72" i="26"/>
  <c r="D69" i="26"/>
  <c r="D56" i="26"/>
  <c r="D83" i="26"/>
  <c r="D93" i="26"/>
  <c r="D48" i="26"/>
  <c r="D94" i="26"/>
  <c r="D66" i="26"/>
  <c r="D57" i="26"/>
  <c r="D54" i="26"/>
  <c r="D76" i="26"/>
  <c r="D46" i="26"/>
  <c r="D62" i="26"/>
  <c r="D55" i="26"/>
  <c r="D47" i="26"/>
  <c r="D49" i="26"/>
  <c r="D90" i="26"/>
  <c r="D74" i="26"/>
  <c r="D61" i="26"/>
  <c r="D63" i="26"/>
  <c r="D85" i="26"/>
  <c r="D88" i="26"/>
  <c r="D53" i="26"/>
  <c r="D70" i="26"/>
  <c r="D92" i="26"/>
  <c r="D86" i="26"/>
  <c r="D58" i="26"/>
  <c r="D65" i="26"/>
  <c r="L32" i="26"/>
  <c r="L30" i="26"/>
  <c r="L35" i="26"/>
  <c r="L36" i="26"/>
  <c r="L34" i="26"/>
  <c r="L31" i="26"/>
  <c r="L33" i="26"/>
  <c r="D71" i="26"/>
  <c r="Y14" i="14"/>
  <c r="AO30" i="11" s="1"/>
  <c r="AN30" i="11"/>
  <c r="G92" i="26"/>
  <c r="O34" i="26"/>
  <c r="G72" i="26"/>
  <c r="O36" i="26"/>
  <c r="G48" i="26"/>
  <c r="O31" i="26"/>
  <c r="G49" i="26"/>
  <c r="G62" i="26"/>
  <c r="G53" i="26"/>
  <c r="G60" i="26"/>
  <c r="G66" i="26"/>
  <c r="G55" i="26"/>
  <c r="G73" i="26"/>
  <c r="G93" i="26"/>
  <c r="G71" i="26"/>
  <c r="G94" i="26"/>
  <c r="G61" i="26"/>
  <c r="G88" i="26"/>
  <c r="G87" i="26"/>
  <c r="G69" i="26"/>
  <c r="G70" i="26"/>
  <c r="G76" i="26"/>
  <c r="G65" i="26"/>
  <c r="G83" i="26"/>
  <c r="O35" i="26"/>
  <c r="G84" i="26"/>
  <c r="G63" i="26"/>
  <c r="G52" i="26"/>
  <c r="O33" i="26"/>
  <c r="G58" i="26"/>
  <c r="G54" i="26"/>
  <c r="G64" i="26"/>
  <c r="G56" i="26"/>
  <c r="G77" i="26"/>
  <c r="G81" i="26"/>
  <c r="G46" i="26"/>
  <c r="G82" i="26"/>
  <c r="G67" i="26"/>
  <c r="G57" i="26"/>
  <c r="O30" i="26"/>
  <c r="G90" i="26"/>
  <c r="G80" i="26"/>
  <c r="G86" i="26"/>
  <c r="G74" i="26"/>
  <c r="G91" i="26"/>
  <c r="G51" i="26"/>
  <c r="G85" i="26"/>
  <c r="O32" i="26"/>
  <c r="G68" i="26"/>
  <c r="G59" i="26"/>
  <c r="G79" i="26"/>
  <c r="G75" i="26"/>
  <c r="G78" i="26"/>
  <c r="G47" i="26"/>
  <c r="G89" i="26"/>
  <c r="G50" i="26"/>
  <c r="E68" i="9" l="1"/>
  <c r="G65" i="9"/>
  <c r="G67" i="9"/>
  <c r="AF26" i="12"/>
  <c r="AF26" i="26"/>
  <c r="G55" i="10"/>
  <c r="Y22" i="12" a="1"/>
  <c r="Y22" i="12" s="1"/>
  <c r="AG35" i="12"/>
  <c r="AG35" i="26"/>
  <c r="W63" i="9" a="1"/>
  <c r="W63" i="9" s="1"/>
  <c r="Y22" i="26" a="1"/>
  <c r="Y22" i="26" s="1"/>
  <c r="I65" i="9" l="1"/>
  <c r="I67" i="9"/>
  <c r="G68" i="9"/>
  <c r="G61" i="10"/>
  <c r="G203" i="10"/>
  <c r="G101" i="10"/>
  <c r="G20" i="10"/>
  <c r="AF27" i="26"/>
  <c r="M23" i="26" s="1" a="1"/>
  <c r="M23" i="26" s="1"/>
  <c r="AF27" i="12"/>
  <c r="H55" i="10"/>
  <c r="L11" i="26" a="1"/>
  <c r="L11" i="26" s="1"/>
  <c r="L22" i="26" a="1"/>
  <c r="L22" i="26" s="1"/>
  <c r="L12" i="26" a="1"/>
  <c r="L12" i="26" s="1"/>
  <c r="L10" i="26" a="1"/>
  <c r="L10" i="26" s="1"/>
  <c r="L25" i="26" a="1"/>
  <c r="L25" i="26" s="1"/>
  <c r="L21" i="26" a="1"/>
  <c r="L21" i="26" s="1"/>
  <c r="L24" i="26" a="1"/>
  <c r="L24" i="26" s="1"/>
  <c r="L20" i="26" a="1"/>
  <c r="L20" i="26" s="1"/>
  <c r="L14" i="26" a="1"/>
  <c r="L14" i="26" s="1"/>
  <c r="L9" i="26" a="1"/>
  <c r="L9" i="26" s="1"/>
  <c r="L19" i="26" a="1"/>
  <c r="L19" i="26" s="1"/>
  <c r="L13" i="26" a="1"/>
  <c r="L13" i="26" s="1"/>
  <c r="L8" i="26" a="1"/>
  <c r="L8" i="26" s="1"/>
  <c r="L23" i="26" a="1"/>
  <c r="L23" i="26" s="1"/>
  <c r="D163" i="12"/>
  <c r="D82" i="12"/>
  <c r="D158" i="12"/>
  <c r="D130" i="12"/>
  <c r="D133" i="12"/>
  <c r="L35" i="12"/>
  <c r="D90" i="12"/>
  <c r="D122" i="12"/>
  <c r="D135" i="12"/>
  <c r="D105" i="12"/>
  <c r="D54" i="12"/>
  <c r="D64" i="12"/>
  <c r="D110" i="12"/>
  <c r="D47" i="12"/>
  <c r="D57" i="12"/>
  <c r="D106" i="12"/>
  <c r="P98" i="12"/>
  <c r="D120" i="12"/>
  <c r="D117" i="12"/>
  <c r="D124" i="12"/>
  <c r="D60" i="12"/>
  <c r="D159" i="12"/>
  <c r="D136" i="12"/>
  <c r="D51" i="12"/>
  <c r="L33" i="12"/>
  <c r="D125" i="12"/>
  <c r="D115" i="12"/>
  <c r="P96" i="12"/>
  <c r="D104" i="12"/>
  <c r="D146" i="12"/>
  <c r="D75" i="12"/>
  <c r="D67" i="12"/>
  <c r="D52" i="12"/>
  <c r="D68" i="12"/>
  <c r="D76" i="12"/>
  <c r="D132" i="12"/>
  <c r="D73" i="12"/>
  <c r="D151" i="12"/>
  <c r="D147" i="12"/>
  <c r="D53" i="12"/>
  <c r="D157" i="12"/>
  <c r="D46" i="12"/>
  <c r="D84" i="12"/>
  <c r="D49" i="12"/>
  <c r="D156" i="12"/>
  <c r="D93" i="12"/>
  <c r="D145" i="12"/>
  <c r="P101" i="12"/>
  <c r="D126" i="12"/>
  <c r="D103" i="12"/>
  <c r="D162" i="12"/>
  <c r="D50" i="12"/>
  <c r="D86" i="12"/>
  <c r="D138" i="12"/>
  <c r="D56" i="12"/>
  <c r="D74" i="12"/>
  <c r="D91" i="12"/>
  <c r="L32" i="12"/>
  <c r="D87" i="12"/>
  <c r="D127" i="12"/>
  <c r="D142" i="12"/>
  <c r="D55" i="12"/>
  <c r="D72" i="12"/>
  <c r="D66" i="12"/>
  <c r="D129" i="12"/>
  <c r="D109" i="12"/>
  <c r="D89" i="12"/>
  <c r="D165" i="12"/>
  <c r="D94" i="12"/>
  <c r="D79" i="12"/>
  <c r="P100" i="12"/>
  <c r="D107" i="12"/>
  <c r="D164" i="12"/>
  <c r="D48" i="12"/>
  <c r="D81" i="12"/>
  <c r="L31" i="12"/>
  <c r="P97" i="12"/>
  <c r="D111" i="12"/>
  <c r="D69" i="12"/>
  <c r="D161" i="12"/>
  <c r="D150" i="12"/>
  <c r="D118" i="12"/>
  <c r="D77" i="12"/>
  <c r="D92" i="12"/>
  <c r="D143" i="12"/>
  <c r="D78" i="12"/>
  <c r="D153" i="12"/>
  <c r="D59" i="12"/>
  <c r="D128" i="12"/>
  <c r="L36" i="12"/>
  <c r="D113" i="12"/>
  <c r="D85" i="12"/>
  <c r="D160" i="12"/>
  <c r="D88" i="12"/>
  <c r="D65" i="12"/>
  <c r="L30" i="12"/>
  <c r="D114" i="12"/>
  <c r="P102" i="12"/>
  <c r="D80" i="12"/>
  <c r="D152" i="12"/>
  <c r="D149" i="12"/>
  <c r="D83" i="12"/>
  <c r="D116" i="12"/>
  <c r="D123" i="12"/>
  <c r="D154" i="12"/>
  <c r="D141" i="12"/>
  <c r="D112" i="12"/>
  <c r="D131" i="12"/>
  <c r="D71" i="12"/>
  <c r="D62" i="12"/>
  <c r="D140" i="12"/>
  <c r="L34" i="12"/>
  <c r="D137" i="12"/>
  <c r="D144" i="12"/>
  <c r="D63" i="12"/>
  <c r="D58" i="12"/>
  <c r="D121" i="12"/>
  <c r="D139" i="12"/>
  <c r="D155" i="12"/>
  <c r="D119" i="12"/>
  <c r="D70" i="12"/>
  <c r="D61" i="12"/>
  <c r="D148" i="12"/>
  <c r="D134" i="12"/>
  <c r="D108" i="12"/>
  <c r="P99" i="12"/>
  <c r="K65" i="9" l="1"/>
  <c r="K67" i="9"/>
  <c r="I68" i="9"/>
  <c r="M10" i="26" a="1"/>
  <c r="M10" i="26" s="1"/>
  <c r="M21" i="26" a="1"/>
  <c r="M21" i="26" s="1"/>
  <c r="M19" i="26" a="1"/>
  <c r="M19" i="26" s="1"/>
  <c r="M22" i="26" a="1"/>
  <c r="M22" i="26" s="1"/>
  <c r="M20" i="26" a="1"/>
  <c r="M20" i="26" s="1"/>
  <c r="M9" i="26" a="1"/>
  <c r="M9" i="26" s="1"/>
  <c r="M14" i="26" a="1"/>
  <c r="M14" i="26" s="1"/>
  <c r="M13" i="26" a="1"/>
  <c r="M13" i="26" s="1"/>
  <c r="M12" i="26" a="1"/>
  <c r="M12" i="26" s="1"/>
  <c r="M24" i="26" a="1"/>
  <c r="M24" i="26" s="1"/>
  <c r="M25" i="26" a="1"/>
  <c r="M25" i="26" s="1"/>
  <c r="M11" i="26" a="1"/>
  <c r="M11" i="26" s="1"/>
  <c r="M8" i="26" a="1"/>
  <c r="M8" i="26" s="1"/>
  <c r="G177" i="10"/>
  <c r="O109" i="12" a="1"/>
  <c r="O109" i="12" s="1"/>
  <c r="N109" i="12" a="1"/>
  <c r="N109" i="12" s="1"/>
  <c r="Q97" i="12"/>
  <c r="R97" i="12" s="1"/>
  <c r="Q102" i="12"/>
  <c r="R102" i="12" s="1"/>
  <c r="O103" i="12" a="1"/>
  <c r="O103" i="12" s="1"/>
  <c r="N103" i="12" a="1"/>
  <c r="N103" i="12" s="1"/>
  <c r="N108" i="12" a="1"/>
  <c r="N108" i="12" s="1"/>
  <c r="O108" i="12" a="1"/>
  <c r="O108" i="12" s="1"/>
  <c r="Q98" i="12"/>
  <c r="R98" i="12" s="1"/>
  <c r="Q99" i="12"/>
  <c r="R99" i="12" s="1"/>
  <c r="H203" i="10"/>
  <c r="H101" i="10"/>
  <c r="H61" i="10"/>
  <c r="H20" i="10"/>
  <c r="P103" i="12"/>
  <c r="E132" i="12"/>
  <c r="E71" i="12"/>
  <c r="E159" i="12"/>
  <c r="E157" i="12"/>
  <c r="E56" i="12"/>
  <c r="E155" i="12"/>
  <c r="E114" i="12"/>
  <c r="O114" i="12" s="1" a="1"/>
  <c r="O114" i="12" s="1"/>
  <c r="E77" i="12"/>
  <c r="E134" i="12"/>
  <c r="M32" i="12"/>
  <c r="E161" i="12"/>
  <c r="E83" i="12"/>
  <c r="E52" i="12"/>
  <c r="E69" i="12"/>
  <c r="E93" i="12"/>
  <c r="E85" i="12"/>
  <c r="E75" i="12"/>
  <c r="M36" i="12"/>
  <c r="P108" i="12"/>
  <c r="E162" i="12"/>
  <c r="E122" i="12"/>
  <c r="E91" i="12"/>
  <c r="P109" i="12"/>
  <c r="E119" i="12"/>
  <c r="E47" i="12"/>
  <c r="E63" i="12"/>
  <c r="E151" i="12"/>
  <c r="E76" i="12"/>
  <c r="E62" i="12"/>
  <c r="E127" i="12"/>
  <c r="E67" i="12"/>
  <c r="E139" i="12"/>
  <c r="E156" i="12"/>
  <c r="E147" i="12"/>
  <c r="E89" i="12"/>
  <c r="E86" i="12"/>
  <c r="E144" i="12"/>
  <c r="E78" i="12"/>
  <c r="E111" i="12"/>
  <c r="N111" i="12" s="1" a="1"/>
  <c r="N111" i="12" s="1"/>
  <c r="M35" i="12"/>
  <c r="E60" i="12"/>
  <c r="E126" i="12"/>
  <c r="E50" i="12"/>
  <c r="E153" i="12"/>
  <c r="E118" i="12"/>
  <c r="E123" i="12"/>
  <c r="E142" i="12"/>
  <c r="E149" i="12"/>
  <c r="E94" i="12"/>
  <c r="E55" i="12"/>
  <c r="E129" i="12"/>
  <c r="E74" i="12"/>
  <c r="E58" i="12"/>
  <c r="E87" i="12"/>
  <c r="E80" i="12"/>
  <c r="E164" i="12"/>
  <c r="E64" i="12"/>
  <c r="E92" i="12"/>
  <c r="M30" i="12"/>
  <c r="E116" i="12"/>
  <c r="N116" i="12" s="1" a="1"/>
  <c r="N116" i="12" s="1"/>
  <c r="E136" i="12"/>
  <c r="E145" i="12"/>
  <c r="E72" i="12"/>
  <c r="E141" i="12"/>
  <c r="E133" i="12"/>
  <c r="E46" i="12"/>
  <c r="E163" i="12"/>
  <c r="E117" i="12"/>
  <c r="E165" i="12"/>
  <c r="E121" i="12"/>
  <c r="E128" i="12"/>
  <c r="E73" i="12"/>
  <c r="E53" i="12"/>
  <c r="E130" i="12"/>
  <c r="E152" i="12"/>
  <c r="E59" i="12"/>
  <c r="E81" i="12"/>
  <c r="P107" i="12"/>
  <c r="M33" i="12"/>
  <c r="E68" i="12"/>
  <c r="E54" i="12"/>
  <c r="E140" i="12"/>
  <c r="E154" i="12"/>
  <c r="M31" i="12"/>
  <c r="E138" i="12"/>
  <c r="E135" i="12"/>
  <c r="E66" i="12"/>
  <c r="E124" i="12"/>
  <c r="P105" i="12"/>
  <c r="E143" i="12"/>
  <c r="E90" i="12"/>
  <c r="M34" i="12"/>
  <c r="E120" i="12"/>
  <c r="E84" i="12"/>
  <c r="E57" i="12"/>
  <c r="E137" i="12"/>
  <c r="E125" i="12"/>
  <c r="E113" i="12"/>
  <c r="N113" i="12" s="1" a="1"/>
  <c r="N113" i="12" s="1"/>
  <c r="P104" i="12"/>
  <c r="E148" i="12"/>
  <c r="E146" i="12"/>
  <c r="E150" i="12"/>
  <c r="E49" i="12"/>
  <c r="E158" i="12"/>
  <c r="E51" i="12"/>
  <c r="E79" i="12"/>
  <c r="E112" i="12"/>
  <c r="O112" i="12" s="1" a="1"/>
  <c r="O112" i="12" s="1"/>
  <c r="E65" i="12"/>
  <c r="P106" i="12"/>
  <c r="E70" i="12"/>
  <c r="E82" i="12"/>
  <c r="E160" i="12"/>
  <c r="E131" i="12"/>
  <c r="E115" i="12"/>
  <c r="O115" i="12" s="1" a="1"/>
  <c r="O115" i="12" s="1"/>
  <c r="E110" i="12"/>
  <c r="O110" i="12" s="1" a="1"/>
  <c r="O110" i="12" s="1"/>
  <c r="E48" i="12"/>
  <c r="E61" i="12"/>
  <c r="E88" i="12"/>
  <c r="Q96" i="12"/>
  <c r="R96" i="12" s="1"/>
  <c r="O106" i="12" a="1"/>
  <c r="O106" i="12" s="1"/>
  <c r="N106" i="12" a="1"/>
  <c r="N106" i="12" s="1"/>
  <c r="O105" i="12" a="1"/>
  <c r="O105" i="12" s="1"/>
  <c r="N105" i="12" a="1"/>
  <c r="N105" i="12" s="1"/>
  <c r="G99" i="10"/>
  <c r="G47" i="10"/>
  <c r="G241" i="10"/>
  <c r="G201" i="10"/>
  <c r="G256" i="10"/>
  <c r="G154" i="10"/>
  <c r="G212" i="10"/>
  <c r="G139" i="10"/>
  <c r="G34" i="10"/>
  <c r="G53" i="10"/>
  <c r="G54" i="10" s="1"/>
  <c r="G110" i="10"/>
  <c r="N104" i="12" a="1"/>
  <c r="N104" i="12" s="1"/>
  <c r="O104" i="12" a="1"/>
  <c r="O104" i="12" s="1"/>
  <c r="O107" i="12" a="1"/>
  <c r="O107" i="12" s="1"/>
  <c r="N107" i="12" a="1"/>
  <c r="N107" i="12" s="1"/>
  <c r="Q101" i="12"/>
  <c r="R101" i="12" s="1"/>
  <c r="Q100" i="12"/>
  <c r="R100" i="12" s="1"/>
  <c r="AF28" i="26"/>
  <c r="AF28" i="12"/>
  <c r="I55" i="10"/>
  <c r="G74" i="10"/>
  <c r="M65" i="9" l="1"/>
  <c r="M67" i="9"/>
  <c r="K68" i="9"/>
  <c r="O113" i="12" a="1"/>
  <c r="O113" i="12" s="1"/>
  <c r="O116" i="12" a="1"/>
  <c r="O116" i="12" s="1"/>
  <c r="H177" i="10"/>
  <c r="S98" i="12"/>
  <c r="D98" i="12" s="1"/>
  <c r="Q105" i="12"/>
  <c r="R105" i="12" s="1"/>
  <c r="Q103" i="12"/>
  <c r="R103" i="12" s="1"/>
  <c r="S103" i="12" s="1"/>
  <c r="E103" i="12" s="1"/>
  <c r="N115" i="12" a="1"/>
  <c r="N115" i="12" s="1"/>
  <c r="Q104" i="12"/>
  <c r="R104" i="12" s="1"/>
  <c r="Q107" i="12"/>
  <c r="R107" i="12" s="1"/>
  <c r="S107" i="12" s="1"/>
  <c r="S102" i="12"/>
  <c r="D102" i="12" s="1"/>
  <c r="S96" i="12"/>
  <c r="D96" i="12" s="1"/>
  <c r="S101" i="12"/>
  <c r="D101" i="12" s="1"/>
  <c r="L13" i="12" s="1"/>
  <c r="S99" i="12"/>
  <c r="D99" i="12" s="1"/>
  <c r="Q106" i="12"/>
  <c r="R106" i="12" s="1"/>
  <c r="S106" i="12" s="1"/>
  <c r="E106" i="12" s="1"/>
  <c r="F66" i="12"/>
  <c r="F73" i="12"/>
  <c r="F154" i="12"/>
  <c r="F93" i="12"/>
  <c r="F151" i="12"/>
  <c r="F121" i="12"/>
  <c r="O121" i="12" s="1" a="1"/>
  <c r="O121" i="12" s="1"/>
  <c r="F165" i="12"/>
  <c r="F87" i="12"/>
  <c r="F60" i="12"/>
  <c r="F85" i="12"/>
  <c r="F164" i="12"/>
  <c r="F150" i="12"/>
  <c r="F75" i="12"/>
  <c r="N36" i="12"/>
  <c r="F163" i="12"/>
  <c r="F122" i="12"/>
  <c r="O122" i="12" s="1" a="1"/>
  <c r="O122" i="12" s="1"/>
  <c r="F138" i="12"/>
  <c r="F155" i="12"/>
  <c r="F58" i="12"/>
  <c r="F63" i="12"/>
  <c r="F162" i="12"/>
  <c r="F161" i="12"/>
  <c r="F70" i="12"/>
  <c r="F160" i="12"/>
  <c r="F72" i="12"/>
  <c r="F80" i="12"/>
  <c r="F74" i="12"/>
  <c r="F149" i="12"/>
  <c r="F52" i="12"/>
  <c r="F157" i="12"/>
  <c r="P116" i="12"/>
  <c r="Q116" i="12" s="1"/>
  <c r="F69" i="12"/>
  <c r="F146" i="12"/>
  <c r="N30" i="12"/>
  <c r="F123" i="12"/>
  <c r="O123" i="12" s="1" a="1"/>
  <c r="O123" i="12" s="1"/>
  <c r="F153" i="12"/>
  <c r="P114" i="12"/>
  <c r="F128" i="12"/>
  <c r="F156" i="12"/>
  <c r="F142" i="12"/>
  <c r="F129" i="12"/>
  <c r="F84" i="12"/>
  <c r="F71" i="12"/>
  <c r="F55" i="12"/>
  <c r="F120" i="12"/>
  <c r="N120" i="12" s="1" a="1"/>
  <c r="N120" i="12" s="1"/>
  <c r="P115" i="12"/>
  <c r="N34" i="12"/>
  <c r="F131" i="12"/>
  <c r="F64" i="12"/>
  <c r="F78" i="12"/>
  <c r="F77" i="12"/>
  <c r="F117" i="12"/>
  <c r="F81" i="12"/>
  <c r="F144" i="12"/>
  <c r="F67" i="12"/>
  <c r="P112" i="12"/>
  <c r="F68" i="12"/>
  <c r="F140" i="12"/>
  <c r="F83" i="12"/>
  <c r="F86" i="12"/>
  <c r="N33" i="12"/>
  <c r="F90" i="12"/>
  <c r="F50" i="12"/>
  <c r="F54" i="12"/>
  <c r="F76" i="12"/>
  <c r="P111" i="12"/>
  <c r="F159" i="12"/>
  <c r="F136" i="12"/>
  <c r="F125" i="12"/>
  <c r="F126" i="12"/>
  <c r="F49" i="12"/>
  <c r="F135" i="12"/>
  <c r="N35" i="12"/>
  <c r="F88" i="12"/>
  <c r="F61" i="12"/>
  <c r="P113" i="12"/>
  <c r="Q113" i="12" s="1"/>
  <c r="F145" i="12"/>
  <c r="F152" i="12"/>
  <c r="F143" i="12"/>
  <c r="F82" i="12"/>
  <c r="F133" i="12"/>
  <c r="N32" i="12"/>
  <c r="F62" i="12"/>
  <c r="F94" i="12"/>
  <c r="F91" i="12"/>
  <c r="P110" i="12"/>
  <c r="F141" i="12"/>
  <c r="F132" i="12"/>
  <c r="F127" i="12"/>
  <c r="F134" i="12"/>
  <c r="F148" i="12"/>
  <c r="F51" i="12"/>
  <c r="N31" i="12"/>
  <c r="F147" i="12"/>
  <c r="F47" i="12"/>
  <c r="F65" i="12"/>
  <c r="F53" i="12"/>
  <c r="F139" i="12"/>
  <c r="F92" i="12"/>
  <c r="F158" i="12"/>
  <c r="F119" i="12"/>
  <c r="F46" i="12"/>
  <c r="F56" i="12"/>
  <c r="F48" i="12"/>
  <c r="F130" i="12"/>
  <c r="F137" i="12"/>
  <c r="F118" i="12"/>
  <c r="O118" i="12" s="1" a="1"/>
  <c r="O118" i="12" s="1"/>
  <c r="F59" i="12"/>
  <c r="F57" i="12"/>
  <c r="F79" i="12"/>
  <c r="F89" i="12"/>
  <c r="F124" i="12"/>
  <c r="N110" i="12" a="1"/>
  <c r="N110" i="12" s="1"/>
  <c r="N114" i="12" a="1"/>
  <c r="N114" i="12" s="1"/>
  <c r="Q109" i="12"/>
  <c r="Q108" i="12"/>
  <c r="R108" i="12" s="1"/>
  <c r="G143" i="10"/>
  <c r="G141" i="10"/>
  <c r="G142" i="10" s="1"/>
  <c r="AF29" i="12"/>
  <c r="J55" i="10"/>
  <c r="AF29" i="26"/>
  <c r="O19" i="26" s="1" a="1"/>
  <c r="O19" i="26" s="1"/>
  <c r="H99" i="10"/>
  <c r="H53" i="10"/>
  <c r="H54" i="10" s="1"/>
  <c r="H212" i="10"/>
  <c r="H241" i="10"/>
  <c r="H256" i="10"/>
  <c r="H47" i="10"/>
  <c r="H110" i="10"/>
  <c r="H154" i="10"/>
  <c r="H201" i="10"/>
  <c r="H34" i="10"/>
  <c r="H139" i="10"/>
  <c r="N23" i="26" a="1"/>
  <c r="N23" i="26" s="1"/>
  <c r="N14" i="26" a="1"/>
  <c r="N14" i="26" s="1"/>
  <c r="N12" i="26" a="1"/>
  <c r="N12" i="26" s="1"/>
  <c r="N22" i="26" a="1"/>
  <c r="N22" i="26" s="1"/>
  <c r="N13" i="26" a="1"/>
  <c r="N13" i="26" s="1"/>
  <c r="N21" i="26" a="1"/>
  <c r="N21" i="26" s="1"/>
  <c r="N11" i="26" a="1"/>
  <c r="N11" i="26" s="1"/>
  <c r="N24" i="26" a="1"/>
  <c r="N24" i="26" s="1"/>
  <c r="N19" i="26" a="1"/>
  <c r="N19" i="26" s="1"/>
  <c r="N9" i="26" a="1"/>
  <c r="N9" i="26" s="1"/>
  <c r="N10" i="26" a="1"/>
  <c r="N10" i="26" s="1"/>
  <c r="N20" i="26" a="1"/>
  <c r="N20" i="26" s="1"/>
  <c r="N25" i="26" a="1"/>
  <c r="N25" i="26" s="1"/>
  <c r="N8" i="26" a="1"/>
  <c r="N8" i="26" s="1"/>
  <c r="G222" i="10"/>
  <c r="G223" i="10"/>
  <c r="G213" i="10"/>
  <c r="G215" i="10"/>
  <c r="G229" i="10"/>
  <c r="G205" i="10"/>
  <c r="G206" i="10"/>
  <c r="G232" i="10" s="1"/>
  <c r="G204" i="10"/>
  <c r="G158" i="10"/>
  <c r="G156" i="10"/>
  <c r="H74" i="10"/>
  <c r="O111" i="12" a="1"/>
  <c r="O111" i="12" s="1"/>
  <c r="N112" i="12" a="1"/>
  <c r="N112" i="12" s="1"/>
  <c r="S97" i="12"/>
  <c r="D97" i="12" s="1"/>
  <c r="G245" i="10"/>
  <c r="G243" i="10"/>
  <c r="G244" i="10"/>
  <c r="G111" i="10"/>
  <c r="G127" i="10"/>
  <c r="G120" i="10"/>
  <c r="G121" i="10" s="1"/>
  <c r="S100" i="12"/>
  <c r="D100" i="12" s="1"/>
  <c r="G102" i="10"/>
  <c r="G103" i="10"/>
  <c r="G104" i="10"/>
  <c r="G114" i="10" s="1"/>
  <c r="I61" i="10"/>
  <c r="I203" i="10"/>
  <c r="I20" i="10"/>
  <c r="I101" i="10"/>
  <c r="G100" i="10"/>
  <c r="G202" i="10"/>
  <c r="G259" i="10"/>
  <c r="G258" i="10"/>
  <c r="G260" i="10"/>
  <c r="R113" i="12" l="1"/>
  <c r="I177" i="10"/>
  <c r="O65" i="9"/>
  <c r="O67" i="9"/>
  <c r="R116" i="12"/>
  <c r="S116" i="12" s="1"/>
  <c r="F116" i="12" s="1"/>
  <c r="M68" i="9"/>
  <c r="O11" i="26" a="1"/>
  <c r="O11" i="26" s="1"/>
  <c r="O120" i="12" a="1"/>
  <c r="O120" i="12" s="1"/>
  <c r="Q115" i="12"/>
  <c r="R115" i="12" s="1"/>
  <c r="O25" i="26" a="1"/>
  <c r="O25" i="26" s="1"/>
  <c r="O14" i="26" a="1"/>
  <c r="O14" i="26" s="1"/>
  <c r="L24" i="12" a="1"/>
  <c r="L24" i="12" s="1"/>
  <c r="S104" i="12"/>
  <c r="E104" i="12" s="1"/>
  <c r="Q112" i="12"/>
  <c r="R112" i="12" s="1"/>
  <c r="O13" i="26" a="1"/>
  <c r="O13" i="26" s="1"/>
  <c r="G216" i="10"/>
  <c r="G180" i="10" s="1"/>
  <c r="N118" i="12" a="1"/>
  <c r="N118" i="12" s="1"/>
  <c r="Q114" i="12"/>
  <c r="R114" i="12" s="1"/>
  <c r="N123" i="12" a="1"/>
  <c r="N123" i="12" s="1"/>
  <c r="G224" i="10"/>
  <c r="H223" i="10" s="1"/>
  <c r="G231" i="10"/>
  <c r="G187" i="10" s="1"/>
  <c r="G235" i="10"/>
  <c r="G230" i="10"/>
  <c r="R109" i="12"/>
  <c r="G93" i="10"/>
  <c r="S105" i="12"/>
  <c r="E105" i="12" s="1"/>
  <c r="E107" i="12"/>
  <c r="M23" i="12" s="1" a="1"/>
  <c r="M23" i="12" s="1"/>
  <c r="G129" i="10"/>
  <c r="G85" i="10" s="1"/>
  <c r="Q110" i="12"/>
  <c r="R110" i="12" s="1"/>
  <c r="G195" i="10"/>
  <c r="L23" i="12" a="1"/>
  <c r="L23" i="12" s="1"/>
  <c r="L12" i="12"/>
  <c r="L20" i="12" a="1"/>
  <c r="L20" i="12" s="1"/>
  <c r="L9" i="12"/>
  <c r="S108" i="12"/>
  <c r="E108" i="12" s="1"/>
  <c r="AF30" i="26"/>
  <c r="P20" i="26" s="1" a="1"/>
  <c r="P20" i="26" s="1"/>
  <c r="AF30" i="12"/>
  <c r="K55" i="10"/>
  <c r="O23" i="26" a="1"/>
  <c r="O23" i="26" s="1"/>
  <c r="L25" i="12" a="1"/>
  <c r="L25" i="12" s="1"/>
  <c r="L14" i="12"/>
  <c r="G130" i="10"/>
  <c r="H205" i="10"/>
  <c r="H204" i="10"/>
  <c r="H206" i="10"/>
  <c r="H231" i="10" s="1"/>
  <c r="H187" i="10" s="1"/>
  <c r="H260" i="10"/>
  <c r="H259" i="10"/>
  <c r="N121" i="12" a="1"/>
  <c r="N121" i="12" s="1"/>
  <c r="L10" i="12"/>
  <c r="L21" i="12" a="1"/>
  <c r="L21" i="12" s="1"/>
  <c r="L8" i="12"/>
  <c r="L19" i="12" a="1"/>
  <c r="L19" i="12" s="1"/>
  <c r="L11" i="12"/>
  <c r="L22" i="12" a="1"/>
  <c r="L22" i="12" s="1"/>
  <c r="O119" i="12" a="1"/>
  <c r="O119" i="12" s="1"/>
  <c r="N119" i="12" a="1"/>
  <c r="N119" i="12" s="1"/>
  <c r="G157" i="10"/>
  <c r="O22" i="26" a="1"/>
  <c r="O22" i="26" s="1"/>
  <c r="H158" i="10"/>
  <c r="H245" i="10"/>
  <c r="H244" i="10"/>
  <c r="J61" i="10"/>
  <c r="J203" i="10"/>
  <c r="J177" i="10" s="1"/>
  <c r="J101" i="10"/>
  <c r="J20" i="10"/>
  <c r="S113" i="12"/>
  <c r="F113" i="12" s="1"/>
  <c r="N117" i="12" a="1"/>
  <c r="N117" i="12" s="1"/>
  <c r="O117" i="12" a="1"/>
  <c r="O117" i="12" s="1"/>
  <c r="G113" i="10"/>
  <c r="O9" i="26" a="1"/>
  <c r="O9" i="26" s="1"/>
  <c r="O12" i="26" a="1"/>
  <c r="O12" i="26" s="1"/>
  <c r="P120" i="12"/>
  <c r="G134" i="12"/>
  <c r="G156" i="12"/>
  <c r="G51" i="12"/>
  <c r="G163" i="12"/>
  <c r="G60" i="12"/>
  <c r="G68" i="12"/>
  <c r="G130" i="12"/>
  <c r="O130" i="12" s="1" a="1"/>
  <c r="O130" i="12" s="1"/>
  <c r="G129" i="12"/>
  <c r="O129" i="12" s="1" a="1"/>
  <c r="O129" i="12" s="1"/>
  <c r="P123" i="12"/>
  <c r="G149" i="12"/>
  <c r="G158" i="12"/>
  <c r="G83" i="12"/>
  <c r="G91" i="12"/>
  <c r="G165" i="12"/>
  <c r="G127" i="12"/>
  <c r="O127" i="12" s="1" a="1"/>
  <c r="O127" i="12" s="1"/>
  <c r="O33" i="12"/>
  <c r="G90" i="12"/>
  <c r="P119" i="12"/>
  <c r="G143" i="12"/>
  <c r="G86" i="12"/>
  <c r="G162" i="12"/>
  <c r="G155" i="12"/>
  <c r="G81" i="12"/>
  <c r="G75" i="12"/>
  <c r="G69" i="12"/>
  <c r="G136" i="12"/>
  <c r="P117" i="12"/>
  <c r="G78" i="12"/>
  <c r="G147" i="12"/>
  <c r="G64" i="12"/>
  <c r="G47" i="12"/>
  <c r="G157" i="12"/>
  <c r="G50" i="12"/>
  <c r="G140" i="12"/>
  <c r="G70" i="12"/>
  <c r="G73" i="12"/>
  <c r="G58" i="12"/>
  <c r="G146" i="12"/>
  <c r="G128" i="12"/>
  <c r="O128" i="12" s="1" a="1"/>
  <c r="O128" i="12" s="1"/>
  <c r="G135" i="12"/>
  <c r="G54" i="12"/>
  <c r="O35" i="12"/>
  <c r="G160" i="12"/>
  <c r="G59" i="12"/>
  <c r="G93" i="12"/>
  <c r="O30" i="12"/>
  <c r="O32" i="12"/>
  <c r="G145" i="12"/>
  <c r="O31" i="12"/>
  <c r="P122" i="12"/>
  <c r="G126" i="12"/>
  <c r="N126" i="12" s="1" a="1"/>
  <c r="N126" i="12" s="1"/>
  <c r="G62" i="12"/>
  <c r="G56" i="12"/>
  <c r="G46" i="12"/>
  <c r="G144" i="12"/>
  <c r="G124" i="12"/>
  <c r="N124" i="12" s="1" a="1"/>
  <c r="N124" i="12" s="1"/>
  <c r="G66" i="12"/>
  <c r="G137" i="12"/>
  <c r="G87" i="12"/>
  <c r="G153" i="12"/>
  <c r="G125" i="12"/>
  <c r="O125" i="12" s="1" a="1"/>
  <c r="O125" i="12" s="1"/>
  <c r="G138" i="12"/>
  <c r="G161" i="12"/>
  <c r="G89" i="12"/>
  <c r="G71" i="12"/>
  <c r="G164" i="12"/>
  <c r="G141" i="12"/>
  <c r="G88" i="12"/>
  <c r="G65" i="12"/>
  <c r="O36" i="12"/>
  <c r="G84" i="12"/>
  <c r="G67" i="12"/>
  <c r="G80" i="12"/>
  <c r="G72" i="12"/>
  <c r="G139" i="12"/>
  <c r="G77" i="12"/>
  <c r="G76" i="12"/>
  <c r="G63" i="12"/>
  <c r="G152" i="12"/>
  <c r="G94" i="12"/>
  <c r="G52" i="12"/>
  <c r="G154" i="12"/>
  <c r="G82" i="12"/>
  <c r="G57" i="12"/>
  <c r="G148" i="12"/>
  <c r="G92" i="12"/>
  <c r="G49" i="12"/>
  <c r="G150" i="12"/>
  <c r="G132" i="12"/>
  <c r="G74" i="12"/>
  <c r="G142" i="12"/>
  <c r="P118" i="12"/>
  <c r="G133" i="12"/>
  <c r="G151" i="12"/>
  <c r="G79" i="12"/>
  <c r="P121" i="12"/>
  <c r="G53" i="12"/>
  <c r="O34" i="12"/>
  <c r="G85" i="12"/>
  <c r="G61" i="12"/>
  <c r="G55" i="12"/>
  <c r="G131" i="12"/>
  <c r="G159" i="12"/>
  <c r="G48" i="12"/>
  <c r="Q111" i="12"/>
  <c r="R111" i="12" s="1"/>
  <c r="S111" i="12" s="1"/>
  <c r="G122" i="10"/>
  <c r="H143" i="10"/>
  <c r="H202" i="10"/>
  <c r="H100" i="10"/>
  <c r="M19" i="12" a="1"/>
  <c r="M19" i="12" s="1"/>
  <c r="M8" i="12"/>
  <c r="H104" i="10"/>
  <c r="H114" i="10" s="1"/>
  <c r="H103" i="10"/>
  <c r="H102" i="10"/>
  <c r="N122" i="12" a="1"/>
  <c r="N122" i="12" s="1"/>
  <c r="M22" i="12" a="1"/>
  <c r="M22" i="12" s="1"/>
  <c r="M11" i="12"/>
  <c r="I74" i="10"/>
  <c r="G77" i="10"/>
  <c r="G27" i="10"/>
  <c r="I201" i="10"/>
  <c r="I256" i="10"/>
  <c r="I53" i="10"/>
  <c r="I54" i="10" s="1"/>
  <c r="I47" i="10"/>
  <c r="I241" i="10"/>
  <c r="I99" i="10"/>
  <c r="I110" i="10"/>
  <c r="I139" i="10"/>
  <c r="I212" i="10"/>
  <c r="I34" i="10"/>
  <c r="I154" i="10"/>
  <c r="O21" i="26" a="1"/>
  <c r="O21" i="26" s="1"/>
  <c r="O8" i="26" a="1"/>
  <c r="O8" i="26" s="1"/>
  <c r="O20" i="26" a="1"/>
  <c r="O20" i="26" s="1"/>
  <c r="O24" i="26" a="1"/>
  <c r="O24" i="26" s="1"/>
  <c r="O10" i="26" a="1"/>
  <c r="O10" i="26" s="1"/>
  <c r="S115" i="12" l="1"/>
  <c r="F115" i="12" s="1"/>
  <c r="N24" i="12" s="1" a="1"/>
  <c r="N24" i="12" s="1"/>
  <c r="Q65" i="9"/>
  <c r="Q67" i="9"/>
  <c r="O68" i="9"/>
  <c r="G94" i="10"/>
  <c r="S110" i="12"/>
  <c r="F110" i="12" s="1"/>
  <c r="N19" i="12" s="1" a="1"/>
  <c r="N19" i="12" s="1"/>
  <c r="S114" i="12"/>
  <c r="F114" i="12" s="1"/>
  <c r="N23" i="12" s="1" a="1"/>
  <c r="N23" i="12" s="1"/>
  <c r="H215" i="10"/>
  <c r="S112" i="12"/>
  <c r="F112" i="12" s="1"/>
  <c r="G132" i="10"/>
  <c r="P10" i="26" a="1"/>
  <c r="P10" i="26" s="1"/>
  <c r="Q122" i="12"/>
  <c r="R122" i="12" s="1"/>
  <c r="N125" i="12" a="1"/>
  <c r="N125" i="12" s="1"/>
  <c r="P12" i="26" a="1"/>
  <c r="P12" i="26" s="1"/>
  <c r="H216" i="10"/>
  <c r="H180" i="10" s="1"/>
  <c r="H224" i="10"/>
  <c r="I223" i="10" s="1"/>
  <c r="G196" i="10"/>
  <c r="G234" i="10"/>
  <c r="G233" i="10"/>
  <c r="H229" i="10" s="1"/>
  <c r="G131" i="10"/>
  <c r="H127" i="10" s="1"/>
  <c r="G36" i="10"/>
  <c r="M20" i="12" a="1"/>
  <c r="M20" i="12" s="1"/>
  <c r="M9" i="12"/>
  <c r="H232" i="10"/>
  <c r="H235" i="10" s="1"/>
  <c r="H186" i="10" s="1"/>
  <c r="H189" i="10" s="1"/>
  <c r="H130" i="10"/>
  <c r="P22" i="26" a="1"/>
  <c r="P22" i="26" s="1"/>
  <c r="Q117" i="12"/>
  <c r="R117" i="12" s="1"/>
  <c r="N127" i="12" a="1"/>
  <c r="N127" i="12" s="1"/>
  <c r="H195" i="10"/>
  <c r="M21" i="12" a="1"/>
  <c r="M21" i="12" s="1"/>
  <c r="M10" i="12"/>
  <c r="P14" i="26" a="1"/>
  <c r="P14" i="26" s="1"/>
  <c r="F111" i="12"/>
  <c r="N20" i="12" s="1" a="1"/>
  <c r="N20" i="12" s="1"/>
  <c r="P13" i="26" a="1"/>
  <c r="P13" i="26" s="1"/>
  <c r="Q121" i="12"/>
  <c r="R121" i="12" s="1"/>
  <c r="M12" i="12"/>
  <c r="S109" i="12"/>
  <c r="E109" i="12" s="1"/>
  <c r="H93" i="10"/>
  <c r="G186" i="10"/>
  <c r="G189" i="10" s="1"/>
  <c r="G207" i="10"/>
  <c r="M24" i="12" a="1"/>
  <c r="M24" i="12" s="1"/>
  <c r="M13" i="12"/>
  <c r="H27" i="10"/>
  <c r="H77" i="10"/>
  <c r="N8" i="12"/>
  <c r="I244" i="10"/>
  <c r="I245" i="10"/>
  <c r="H122" i="10"/>
  <c r="P129" i="12"/>
  <c r="H162" i="12"/>
  <c r="H163" i="12"/>
  <c r="H136" i="12"/>
  <c r="O136" i="12" s="1" a="1"/>
  <c r="O136" i="12" s="1"/>
  <c r="H85" i="12"/>
  <c r="P32" i="12"/>
  <c r="H75" i="12"/>
  <c r="H88" i="12"/>
  <c r="P124" i="12"/>
  <c r="Q124" i="12" s="1"/>
  <c r="H68" i="12"/>
  <c r="P36" i="12"/>
  <c r="H91" i="12"/>
  <c r="H161" i="12"/>
  <c r="H131" i="12"/>
  <c r="N131" i="12" s="1" a="1"/>
  <c r="N131" i="12" s="1"/>
  <c r="H148" i="12"/>
  <c r="H149" i="12"/>
  <c r="P130" i="12"/>
  <c r="H133" i="12"/>
  <c r="O133" i="12" s="1" a="1"/>
  <c r="O133" i="12" s="1"/>
  <c r="H93" i="12"/>
  <c r="H157" i="12"/>
  <c r="H69" i="12"/>
  <c r="P128" i="12"/>
  <c r="H135" i="12"/>
  <c r="N135" i="12" s="1" a="1"/>
  <c r="N135" i="12" s="1"/>
  <c r="H61" i="12"/>
  <c r="H56" i="12"/>
  <c r="H164" i="12"/>
  <c r="H152" i="12"/>
  <c r="P35" i="12"/>
  <c r="H144" i="12"/>
  <c r="H74" i="12"/>
  <c r="H86" i="12"/>
  <c r="P127" i="12"/>
  <c r="H134" i="12"/>
  <c r="N134" i="12" s="1" a="1"/>
  <c r="N134" i="12" s="1"/>
  <c r="H137" i="12"/>
  <c r="N137" i="12" s="1" a="1"/>
  <c r="N137" i="12" s="1"/>
  <c r="H70" i="12"/>
  <c r="H57" i="12"/>
  <c r="H158" i="12"/>
  <c r="H59" i="12"/>
  <c r="H82" i="12"/>
  <c r="H84" i="12"/>
  <c r="H73" i="12"/>
  <c r="H47" i="12"/>
  <c r="H63" i="12"/>
  <c r="H165" i="12"/>
  <c r="H94" i="12"/>
  <c r="H62" i="12"/>
  <c r="H90" i="12"/>
  <c r="H143" i="12"/>
  <c r="H139" i="12"/>
  <c r="H81" i="12"/>
  <c r="P31" i="12"/>
  <c r="H67" i="12"/>
  <c r="H132" i="12"/>
  <c r="O132" i="12" s="1" a="1"/>
  <c r="O132" i="12" s="1"/>
  <c r="H145" i="12"/>
  <c r="P34" i="12"/>
  <c r="H154" i="12"/>
  <c r="H58" i="12"/>
  <c r="H147" i="12"/>
  <c r="H160" i="12"/>
  <c r="H150" i="12"/>
  <c r="H54" i="12"/>
  <c r="H142" i="12"/>
  <c r="H153" i="12"/>
  <c r="H51" i="12"/>
  <c r="H140" i="12"/>
  <c r="H65" i="12"/>
  <c r="H79" i="12"/>
  <c r="H92" i="12"/>
  <c r="H78" i="12"/>
  <c r="H52" i="12"/>
  <c r="H156" i="12"/>
  <c r="H55" i="12"/>
  <c r="P126" i="12"/>
  <c r="Q126" i="12" s="1"/>
  <c r="H80" i="12"/>
  <c r="P125" i="12"/>
  <c r="H50" i="12"/>
  <c r="H60" i="12"/>
  <c r="H64" i="12"/>
  <c r="H49" i="12"/>
  <c r="H83" i="12"/>
  <c r="H76" i="12"/>
  <c r="H48" i="12"/>
  <c r="H53" i="12"/>
  <c r="H89" i="12"/>
  <c r="H77" i="12"/>
  <c r="H72" i="12"/>
  <c r="H46" i="12"/>
  <c r="H71" i="12"/>
  <c r="H87" i="12"/>
  <c r="H138" i="12"/>
  <c r="H66" i="12"/>
  <c r="P30" i="12"/>
  <c r="H159" i="12"/>
  <c r="H155" i="12"/>
  <c r="H141" i="12"/>
  <c r="H151" i="12"/>
  <c r="H146" i="12"/>
  <c r="P33" i="12"/>
  <c r="I158" i="10"/>
  <c r="P23" i="26" a="1"/>
  <c r="P23" i="26" s="1"/>
  <c r="P21" i="26" a="1"/>
  <c r="P21" i="26" s="1"/>
  <c r="P24" i="26" a="1"/>
  <c r="P24" i="26" s="1"/>
  <c r="P8" i="26" a="1"/>
  <c r="P8" i="26" s="1"/>
  <c r="P25" i="26" a="1"/>
  <c r="P25" i="26" s="1"/>
  <c r="P11" i="26" a="1"/>
  <c r="P11" i="26" s="1"/>
  <c r="Q123" i="12"/>
  <c r="R123" i="12" s="1"/>
  <c r="N129" i="12" a="1"/>
  <c r="N129" i="12" s="1"/>
  <c r="O126" i="12" a="1"/>
  <c r="O126" i="12" s="1"/>
  <c r="H129" i="10"/>
  <c r="N25" i="12" a="1"/>
  <c r="N25" i="12" s="1"/>
  <c r="N14" i="12"/>
  <c r="N130" i="12" a="1"/>
  <c r="N130" i="12" s="1"/>
  <c r="G48" i="10"/>
  <c r="O124" i="12" a="1"/>
  <c r="O124" i="12" s="1"/>
  <c r="P19" i="26" a="1"/>
  <c r="P19" i="26" s="1"/>
  <c r="N128" i="12" a="1"/>
  <c r="N128" i="12" s="1"/>
  <c r="N22" i="12" a="1"/>
  <c r="N22" i="12" s="1"/>
  <c r="N11" i="12"/>
  <c r="I143" i="10"/>
  <c r="I100" i="10"/>
  <c r="I202" i="10"/>
  <c r="G133" i="10"/>
  <c r="G128" i="10"/>
  <c r="I206" i="10"/>
  <c r="I216" i="10" s="1"/>
  <c r="I180" i="10" s="1"/>
  <c r="I204" i="10"/>
  <c r="I205" i="10"/>
  <c r="J99" i="10"/>
  <c r="J241" i="10"/>
  <c r="J256" i="10"/>
  <c r="J201" i="10"/>
  <c r="J34" i="10"/>
  <c r="J154" i="10"/>
  <c r="J110" i="10"/>
  <c r="J139" i="10"/>
  <c r="J212" i="10"/>
  <c r="J53" i="10"/>
  <c r="J54" i="10" s="1"/>
  <c r="J47" i="10"/>
  <c r="Q119" i="12"/>
  <c r="R119" i="12" s="1"/>
  <c r="L55" i="10"/>
  <c r="AF31" i="26"/>
  <c r="Q13" i="26" s="1" a="1"/>
  <c r="Q13" i="26" s="1"/>
  <c r="AF31" i="12"/>
  <c r="P9" i="26" a="1"/>
  <c r="P9" i="26" s="1"/>
  <c r="I103" i="10"/>
  <c r="I102" i="10"/>
  <c r="I104" i="10"/>
  <c r="I122" i="10" s="1"/>
  <c r="I48" i="10" s="1"/>
  <c r="I259" i="10"/>
  <c r="I260" i="10"/>
  <c r="J74" i="10"/>
  <c r="Q118" i="12"/>
  <c r="R118" i="12" s="1"/>
  <c r="Q120" i="12"/>
  <c r="R120" i="12" s="1"/>
  <c r="K101" i="10"/>
  <c r="K61" i="10"/>
  <c r="K203" i="10"/>
  <c r="K177" i="10" s="1"/>
  <c r="K20" i="10"/>
  <c r="N13" i="12" l="1"/>
  <c r="S65" i="9"/>
  <c r="S67" i="9"/>
  <c r="Q68" i="9"/>
  <c r="N12" i="12"/>
  <c r="S122" i="12"/>
  <c r="G122" i="12" s="1"/>
  <c r="O13" i="12" s="1"/>
  <c r="H196" i="10"/>
  <c r="N21" i="12" a="1"/>
  <c r="N21" i="12" s="1"/>
  <c r="N10" i="12"/>
  <c r="S121" i="12"/>
  <c r="G121" i="12" s="1"/>
  <c r="O23" i="12" s="1" a="1"/>
  <c r="O23" i="12" s="1"/>
  <c r="Q130" i="12"/>
  <c r="R130" i="12" s="1"/>
  <c r="Q125" i="12"/>
  <c r="R125" i="12" s="1"/>
  <c r="O137" i="12" a="1"/>
  <c r="O137" i="12" s="1"/>
  <c r="O135" i="12" a="1"/>
  <c r="O135" i="12" s="1"/>
  <c r="I215" i="10"/>
  <c r="H233" i="10"/>
  <c r="I229" i="10" s="1"/>
  <c r="Q128" i="12"/>
  <c r="R128" i="12" s="1"/>
  <c r="I224" i="10"/>
  <c r="J223" i="10" s="1"/>
  <c r="O134" i="12" a="1"/>
  <c r="O134" i="12" s="1"/>
  <c r="H131" i="10"/>
  <c r="I127" i="10" s="1"/>
  <c r="H207" i="10"/>
  <c r="H234" i="10"/>
  <c r="H230" i="10"/>
  <c r="Q127" i="12"/>
  <c r="R127" i="12" s="1"/>
  <c r="I93" i="10"/>
  <c r="I232" i="10"/>
  <c r="I235" i="10" s="1"/>
  <c r="I186" i="10" s="1"/>
  <c r="I231" i="10"/>
  <c r="I187" i="10" s="1"/>
  <c r="N9" i="12"/>
  <c r="H133" i="10"/>
  <c r="H128" i="10"/>
  <c r="M25" i="12" a="1"/>
  <c r="M25" i="12" s="1"/>
  <c r="M14" i="12"/>
  <c r="G217" i="10"/>
  <c r="G220" i="10"/>
  <c r="S119" i="12"/>
  <c r="G119" i="12" s="1"/>
  <c r="N132" i="12" a="1"/>
  <c r="N132" i="12" s="1"/>
  <c r="N136" i="12" a="1"/>
  <c r="N136" i="12" s="1"/>
  <c r="O131" i="12" a="1"/>
  <c r="O131" i="12" s="1"/>
  <c r="I130" i="10"/>
  <c r="H94" i="10"/>
  <c r="Q24" i="26" a="1"/>
  <c r="Q24" i="26" s="1"/>
  <c r="Q23" i="26" a="1"/>
  <c r="Q23" i="26" s="1"/>
  <c r="J259" i="10"/>
  <c r="J260" i="10"/>
  <c r="K74" i="10"/>
  <c r="K29" i="26"/>
  <c r="J143" i="10"/>
  <c r="J245" i="10"/>
  <c r="J244" i="10"/>
  <c r="J102" i="10"/>
  <c r="J104" i="10"/>
  <c r="J103" i="10"/>
  <c r="H85" i="10"/>
  <c r="H36" i="10"/>
  <c r="H132" i="10"/>
  <c r="S118" i="12"/>
  <c r="G118" i="12" s="1"/>
  <c r="J206" i="10"/>
  <c r="J224" i="10" s="1"/>
  <c r="J204" i="10"/>
  <c r="J205" i="10"/>
  <c r="J202" i="10"/>
  <c r="J100" i="10"/>
  <c r="I195" i="10"/>
  <c r="Q11" i="26" a="1"/>
  <c r="Q11" i="26" s="1"/>
  <c r="N133" i="12" a="1"/>
  <c r="N133" i="12" s="1"/>
  <c r="AF32" i="12"/>
  <c r="AF32" i="26"/>
  <c r="R22" i="26" s="1" a="1"/>
  <c r="R22" i="26" s="1"/>
  <c r="M55" i="10"/>
  <c r="I51" i="12"/>
  <c r="I160" i="12"/>
  <c r="I148" i="12"/>
  <c r="I138" i="12"/>
  <c r="N138" i="12" s="1" a="1"/>
  <c r="N138" i="12" s="1"/>
  <c r="I58" i="12"/>
  <c r="I85" i="12"/>
  <c r="I146" i="12"/>
  <c r="P136" i="12"/>
  <c r="I139" i="12"/>
  <c r="N139" i="12" s="1" a="1"/>
  <c r="N139" i="12" s="1"/>
  <c r="I46" i="12"/>
  <c r="I88" i="12"/>
  <c r="P135" i="12"/>
  <c r="I141" i="12"/>
  <c r="N141" i="12" s="1" a="1"/>
  <c r="N141" i="12" s="1"/>
  <c r="I165" i="12"/>
  <c r="I67" i="12"/>
  <c r="P134" i="12"/>
  <c r="Q33" i="12"/>
  <c r="I82" i="12"/>
  <c r="I159" i="12"/>
  <c r="I149" i="12"/>
  <c r="I78" i="12"/>
  <c r="I162" i="12"/>
  <c r="I144" i="12"/>
  <c r="P137" i="12"/>
  <c r="Q30" i="12"/>
  <c r="I59" i="12"/>
  <c r="I71" i="12"/>
  <c r="I157" i="12"/>
  <c r="I158" i="12"/>
  <c r="P133" i="12"/>
  <c r="I152" i="12"/>
  <c r="P131" i="12"/>
  <c r="Q131" i="12" s="1"/>
  <c r="I140" i="12"/>
  <c r="I74" i="12"/>
  <c r="I145" i="12"/>
  <c r="Q35" i="12"/>
  <c r="I75" i="12"/>
  <c r="I76" i="12"/>
  <c r="I155" i="12"/>
  <c r="I49" i="12"/>
  <c r="I61" i="12"/>
  <c r="I54" i="12"/>
  <c r="I53" i="12"/>
  <c r="I72" i="12"/>
  <c r="I55" i="12"/>
  <c r="Q34" i="12"/>
  <c r="P132" i="12"/>
  <c r="I81" i="12"/>
  <c r="I156" i="12"/>
  <c r="I151" i="12"/>
  <c r="I87" i="12"/>
  <c r="I73" i="12"/>
  <c r="I65" i="12"/>
  <c r="I69" i="12"/>
  <c r="I63" i="12"/>
  <c r="I48" i="12"/>
  <c r="I94" i="12"/>
  <c r="I84" i="12"/>
  <c r="I161" i="12"/>
  <c r="I60" i="12"/>
  <c r="I147" i="12"/>
  <c r="I47" i="12"/>
  <c r="I66" i="12"/>
  <c r="I79" i="12"/>
  <c r="I90" i="12"/>
  <c r="I150" i="12"/>
  <c r="I68" i="12"/>
  <c r="I164" i="12"/>
  <c r="I70" i="12"/>
  <c r="Q36" i="12"/>
  <c r="I64" i="12"/>
  <c r="I154" i="12"/>
  <c r="Q32" i="12"/>
  <c r="I50" i="12"/>
  <c r="I93" i="12"/>
  <c r="I142" i="12"/>
  <c r="N142" i="12" s="1" a="1"/>
  <c r="N142" i="12" s="1"/>
  <c r="I143" i="12"/>
  <c r="O143" i="12" s="1" a="1"/>
  <c r="O143" i="12" s="1"/>
  <c r="I92" i="12"/>
  <c r="I89" i="12"/>
  <c r="I86" i="12"/>
  <c r="I56" i="12"/>
  <c r="I52" i="12"/>
  <c r="I153" i="12"/>
  <c r="Q31" i="12"/>
  <c r="I57" i="12"/>
  <c r="I163" i="12"/>
  <c r="I83" i="12"/>
  <c r="I77" i="12"/>
  <c r="I91" i="12"/>
  <c r="I80" i="12"/>
  <c r="I62" i="12"/>
  <c r="S120" i="12"/>
  <c r="G120" i="12" s="1"/>
  <c r="Q20" i="26" a="1"/>
  <c r="Q20" i="26" s="1"/>
  <c r="J215" i="10"/>
  <c r="Q21" i="26" a="1"/>
  <c r="Q21" i="26" s="1"/>
  <c r="Q14" i="26" a="1"/>
  <c r="Q14" i="26" s="1"/>
  <c r="Q9" i="26" a="1"/>
  <c r="Q9" i="26" s="1"/>
  <c r="Q25" i="26" a="1"/>
  <c r="Q25" i="26" s="1"/>
  <c r="Q19" i="26" a="1"/>
  <c r="Q19" i="26" s="1"/>
  <c r="Q22" i="26" a="1"/>
  <c r="Q22" i="26" s="1"/>
  <c r="Q10" i="26" a="1"/>
  <c r="Q10" i="26" s="1"/>
  <c r="Q12" i="26" a="1"/>
  <c r="Q12" i="26" s="1"/>
  <c r="S117" i="12"/>
  <c r="G117" i="12" s="1"/>
  <c r="R126" i="12"/>
  <c r="S126" i="12" s="1"/>
  <c r="Q8" i="26" a="1"/>
  <c r="Q8" i="26" s="1"/>
  <c r="G33" i="10"/>
  <c r="G105" i="10"/>
  <c r="G83" i="10"/>
  <c r="J158" i="10"/>
  <c r="I129" i="10"/>
  <c r="Q129" i="12"/>
  <c r="R129" i="12" s="1"/>
  <c r="L61" i="10"/>
  <c r="L203" i="10"/>
  <c r="L177" i="10" s="1"/>
  <c r="L101" i="10"/>
  <c r="L20" i="10"/>
  <c r="K139" i="10"/>
  <c r="K53" i="10"/>
  <c r="K54" i="10" s="1"/>
  <c r="K99" i="10"/>
  <c r="K256" i="10"/>
  <c r="K110" i="10"/>
  <c r="K47" i="10"/>
  <c r="K154" i="10"/>
  <c r="K34" i="10"/>
  <c r="K212" i="10"/>
  <c r="K241" i="10"/>
  <c r="K201" i="10"/>
  <c r="I114" i="10"/>
  <c r="R124" i="12"/>
  <c r="S124" i="12" s="1"/>
  <c r="H124" i="12" s="1"/>
  <c r="S123" i="12"/>
  <c r="G123" i="12" s="1"/>
  <c r="H48" i="10"/>
  <c r="O24" i="12" l="1" a="1"/>
  <c r="O24" i="12" s="1"/>
  <c r="U65" i="9"/>
  <c r="U67" i="9"/>
  <c r="S68" i="9"/>
  <c r="O12" i="12"/>
  <c r="S130" i="12"/>
  <c r="H130" i="12" s="1"/>
  <c r="P14" i="12" s="1"/>
  <c r="R14" i="26" a="1"/>
  <c r="R14" i="26" s="1"/>
  <c r="R11" i="26" a="1"/>
  <c r="R11" i="26" s="1"/>
  <c r="S127" i="12"/>
  <c r="H127" i="12" s="1"/>
  <c r="P22" i="12" s="1" a="1"/>
  <c r="P22" i="12" s="1"/>
  <c r="R9" i="26" a="1"/>
  <c r="R9" i="26" s="1"/>
  <c r="S125" i="12"/>
  <c r="H125" i="12" s="1"/>
  <c r="P9" i="12" s="1"/>
  <c r="R131" i="12"/>
  <c r="S131" i="12" s="1"/>
  <c r="I131" i="12" s="1"/>
  <c r="Q136" i="12"/>
  <c r="R136" i="12" s="1"/>
  <c r="L74" i="10"/>
  <c r="S128" i="12"/>
  <c r="H128" i="12" s="1"/>
  <c r="P23" i="12" s="1" a="1"/>
  <c r="P23" i="12" s="1"/>
  <c r="R24" i="26" a="1"/>
  <c r="R24" i="26" s="1"/>
  <c r="J232" i="10"/>
  <c r="J235" i="10" s="1"/>
  <c r="J186" i="10" s="1"/>
  <c r="J93" i="10"/>
  <c r="I189" i="10"/>
  <c r="I234" i="10"/>
  <c r="I207" i="10"/>
  <c r="I233" i="10"/>
  <c r="J229" i="10" s="1"/>
  <c r="I230" i="10"/>
  <c r="J231" i="10"/>
  <c r="J187" i="10" s="1"/>
  <c r="O141" i="12" a="1"/>
  <c r="O141" i="12" s="1"/>
  <c r="R13" i="26" a="1"/>
  <c r="R13" i="26" s="1"/>
  <c r="R20" i="26" a="1"/>
  <c r="R20" i="26" s="1"/>
  <c r="J216" i="10"/>
  <c r="J180" i="10" s="1"/>
  <c r="I196" i="10"/>
  <c r="O142" i="12" a="1"/>
  <c r="O142" i="12" s="1"/>
  <c r="H33" i="10"/>
  <c r="H35" i="10" s="1"/>
  <c r="H38" i="10" s="1"/>
  <c r="H83" i="10"/>
  <c r="H87" i="10" s="1"/>
  <c r="H105" i="10"/>
  <c r="O139" i="12" a="1"/>
  <c r="O139" i="12" s="1"/>
  <c r="G246" i="10"/>
  <c r="G214" i="10"/>
  <c r="G219" i="10"/>
  <c r="G225" i="10"/>
  <c r="G218" i="10"/>
  <c r="H213" i="10" s="1"/>
  <c r="O9" i="12"/>
  <c r="O20" i="12" a="1"/>
  <c r="O20" i="12" s="1"/>
  <c r="O14" i="12"/>
  <c r="O25" i="12" a="1"/>
  <c r="O25" i="12" s="1"/>
  <c r="O8" i="12"/>
  <c r="O19" i="12" a="1"/>
  <c r="O19" i="12" s="1"/>
  <c r="P8" i="12"/>
  <c r="P19" i="12" a="1"/>
  <c r="P19" i="12" s="1"/>
  <c r="R19" i="26" a="1"/>
  <c r="R19" i="26" s="1"/>
  <c r="M203" i="10"/>
  <c r="M177" i="10" s="1"/>
  <c r="M101" i="10"/>
  <c r="M61" i="10"/>
  <c r="M20" i="10"/>
  <c r="H126" i="12"/>
  <c r="R25" i="26" a="1"/>
  <c r="R25" i="26" s="1"/>
  <c r="R23" i="26" a="1"/>
  <c r="R23" i="26" s="1"/>
  <c r="I133" i="10"/>
  <c r="I128" i="10"/>
  <c r="O21" i="12" a="1"/>
  <c r="O21" i="12" s="1"/>
  <c r="O10" i="12"/>
  <c r="O144" i="12" a="1"/>
  <c r="O144" i="12" s="1"/>
  <c r="N144" i="12" a="1"/>
  <c r="N144" i="12" s="1"/>
  <c r="K104" i="10"/>
  <c r="K122" i="10" s="1"/>
  <c r="K48" i="10" s="1"/>
  <c r="K102" i="10"/>
  <c r="K103" i="10"/>
  <c r="R10" i="26" a="1"/>
  <c r="R10" i="26" s="1"/>
  <c r="J114" i="10"/>
  <c r="S129" i="12"/>
  <c r="H129" i="12" s="1"/>
  <c r="J130" i="10"/>
  <c r="I27" i="10"/>
  <c r="I77" i="10"/>
  <c r="K100" i="10"/>
  <c r="K202" i="10"/>
  <c r="Q132" i="12"/>
  <c r="R132" i="12" s="1"/>
  <c r="O140" i="12" a="1"/>
  <c r="O140" i="12" s="1"/>
  <c r="N140" i="12" a="1"/>
  <c r="N140" i="12" s="1"/>
  <c r="I85" i="10"/>
  <c r="I36" i="10"/>
  <c r="I132" i="10"/>
  <c r="G87" i="10"/>
  <c r="J129" i="10"/>
  <c r="J122" i="10"/>
  <c r="AF33" i="12"/>
  <c r="AF33" i="26"/>
  <c r="S22" i="26" s="1" a="1"/>
  <c r="S22" i="26" s="1"/>
  <c r="N55" i="10"/>
  <c r="K158" i="10"/>
  <c r="K260" i="10"/>
  <c r="K259" i="10"/>
  <c r="R12" i="26" a="1"/>
  <c r="R12" i="26" s="1"/>
  <c r="J162" i="12"/>
  <c r="R34" i="12"/>
  <c r="P141" i="12"/>
  <c r="J93" i="12"/>
  <c r="J52" i="12"/>
  <c r="J160" i="12"/>
  <c r="J146" i="12"/>
  <c r="N146" i="12" s="1" a="1"/>
  <c r="N146" i="12" s="1"/>
  <c r="J69" i="12"/>
  <c r="J150" i="12"/>
  <c r="N150" i="12" s="1" a="1"/>
  <c r="N150" i="12" s="1"/>
  <c r="J148" i="12"/>
  <c r="O148" i="12" s="1" a="1"/>
  <c r="O148" i="12" s="1"/>
  <c r="P144" i="12"/>
  <c r="J57" i="12"/>
  <c r="J149" i="12"/>
  <c r="N149" i="12" s="1" a="1"/>
  <c r="N149" i="12" s="1"/>
  <c r="J159" i="12"/>
  <c r="J76" i="12"/>
  <c r="J71" i="12"/>
  <c r="J78" i="12"/>
  <c r="J48" i="12"/>
  <c r="J84" i="12"/>
  <c r="J86" i="12"/>
  <c r="J147" i="12"/>
  <c r="N147" i="12" s="1" a="1"/>
  <c r="N147" i="12" s="1"/>
  <c r="J152" i="12"/>
  <c r="J80" i="12"/>
  <c r="J66" i="12"/>
  <c r="J164" i="12"/>
  <c r="J156" i="12"/>
  <c r="J161" i="12"/>
  <c r="J53" i="12"/>
  <c r="J54" i="12"/>
  <c r="J81" i="12"/>
  <c r="J153" i="12"/>
  <c r="J165" i="12"/>
  <c r="J163" i="12"/>
  <c r="J154" i="12"/>
  <c r="J83" i="12"/>
  <c r="R30" i="12"/>
  <c r="J68" i="12"/>
  <c r="J50" i="12"/>
  <c r="J89" i="12"/>
  <c r="J73" i="12"/>
  <c r="J85" i="12"/>
  <c r="J77" i="12"/>
  <c r="P142" i="12"/>
  <c r="Q142" i="12" s="1"/>
  <c r="J155" i="12"/>
  <c r="J74" i="12"/>
  <c r="J94" i="12"/>
  <c r="J67" i="12"/>
  <c r="J79" i="12"/>
  <c r="J72" i="12"/>
  <c r="J92" i="12"/>
  <c r="J151" i="12"/>
  <c r="O151" i="12" s="1" a="1"/>
  <c r="O151" i="12" s="1"/>
  <c r="R36" i="12"/>
  <c r="J59" i="12"/>
  <c r="J145" i="12"/>
  <c r="N145" i="12" s="1" a="1"/>
  <c r="N145" i="12" s="1"/>
  <c r="J51" i="12"/>
  <c r="J90" i="12"/>
  <c r="J55" i="12"/>
  <c r="J157" i="12"/>
  <c r="J75" i="12"/>
  <c r="R35" i="12"/>
  <c r="J91" i="12"/>
  <c r="J87" i="12"/>
  <c r="J47" i="12"/>
  <c r="P139" i="12"/>
  <c r="R32" i="12"/>
  <c r="J49" i="12"/>
  <c r="J82" i="12"/>
  <c r="R33" i="12"/>
  <c r="J60" i="12"/>
  <c r="P140" i="12"/>
  <c r="P138" i="12"/>
  <c r="R31" i="12"/>
  <c r="J46" i="12"/>
  <c r="J158" i="12"/>
  <c r="J62" i="12"/>
  <c r="J64" i="12"/>
  <c r="J88" i="12"/>
  <c r="J58" i="12"/>
  <c r="J61" i="12"/>
  <c r="J70" i="12"/>
  <c r="J56" i="12"/>
  <c r="J63" i="12"/>
  <c r="J65" i="12"/>
  <c r="P143" i="12"/>
  <c r="R21" i="26" a="1"/>
  <c r="R21" i="26" s="1"/>
  <c r="K206" i="10"/>
  <c r="K216" i="10" s="1"/>
  <c r="K180" i="10" s="1"/>
  <c r="K204" i="10"/>
  <c r="K205" i="10"/>
  <c r="K143" i="10"/>
  <c r="G118" i="10"/>
  <c r="G115" i="10"/>
  <c r="I131" i="10"/>
  <c r="J127" i="10" s="1"/>
  <c r="O22" i="12" a="1"/>
  <c r="O22" i="12" s="1"/>
  <c r="O11" i="12"/>
  <c r="K223" i="10"/>
  <c r="L201" i="10"/>
  <c r="L53" i="10"/>
  <c r="L54" i="10" s="1"/>
  <c r="L139" i="10"/>
  <c r="L256" i="10"/>
  <c r="L34" i="10"/>
  <c r="L154" i="10"/>
  <c r="L110" i="10"/>
  <c r="L212" i="10"/>
  <c r="L47" i="10"/>
  <c r="L241" i="10"/>
  <c r="L99" i="10"/>
  <c r="Q135" i="12"/>
  <c r="R135" i="12" s="1"/>
  <c r="Q133" i="12"/>
  <c r="R133" i="12" s="1"/>
  <c r="J195" i="10"/>
  <c r="Q137" i="12"/>
  <c r="R137" i="12" s="1"/>
  <c r="P25" i="12" a="1"/>
  <c r="P25" i="12" s="1"/>
  <c r="K244" i="10"/>
  <c r="K245" i="10"/>
  <c r="G35" i="10"/>
  <c r="N143" i="12" a="1"/>
  <c r="N143" i="12" s="1"/>
  <c r="O138" i="12" a="1"/>
  <c r="O138" i="12" s="1"/>
  <c r="R8" i="26" a="1"/>
  <c r="R8" i="26" s="1"/>
  <c r="Q134" i="12"/>
  <c r="R134" i="12" s="1"/>
  <c r="I94" i="10"/>
  <c r="J230" i="10" l="1"/>
  <c r="W67" i="9"/>
  <c r="W68" i="9" s="1"/>
  <c r="U68" i="9"/>
  <c r="J189" i="10"/>
  <c r="P11" i="12"/>
  <c r="P20" i="12" a="1"/>
  <c r="P20" i="12" s="1"/>
  <c r="J207" i="10"/>
  <c r="P12" i="12"/>
  <c r="S136" i="12"/>
  <c r="I136" i="12" s="1"/>
  <c r="Q24" i="12" s="1" a="1"/>
  <c r="Q24" i="12" s="1"/>
  <c r="R142" i="12"/>
  <c r="S142" i="12" s="1"/>
  <c r="J142" i="12" s="1"/>
  <c r="S10" i="26" a="1"/>
  <c r="S10" i="26" s="1"/>
  <c r="K129" i="10"/>
  <c r="K85" i="10" s="1"/>
  <c r="S13" i="26" a="1"/>
  <c r="S13" i="26" s="1"/>
  <c r="K114" i="10"/>
  <c r="J234" i="10"/>
  <c r="N151" i="12" a="1"/>
  <c r="N151" i="12" s="1"/>
  <c r="O146" i="12" a="1"/>
  <c r="O146" i="12" s="1"/>
  <c r="K130" i="10"/>
  <c r="K133" i="10" s="1"/>
  <c r="K105" i="10" s="1"/>
  <c r="K215" i="10"/>
  <c r="J233" i="10"/>
  <c r="K229" i="10" s="1"/>
  <c r="J196" i="10"/>
  <c r="K224" i="10"/>
  <c r="L223" i="10" s="1"/>
  <c r="S134" i="12"/>
  <c r="I134" i="12" s="1"/>
  <c r="Q11" i="12" s="1"/>
  <c r="J131" i="10"/>
  <c r="K127" i="10" s="1"/>
  <c r="O147" i="12" a="1"/>
  <c r="O147" i="12" s="1"/>
  <c r="K93" i="10"/>
  <c r="H217" i="10"/>
  <c r="H220" i="10"/>
  <c r="G227" i="10"/>
  <c r="G238" i="10"/>
  <c r="G239" i="10" s="1"/>
  <c r="G247" i="10" s="1"/>
  <c r="G226" i="10"/>
  <c r="H222" i="10" s="1"/>
  <c r="S133" i="12"/>
  <c r="I133" i="12" s="1"/>
  <c r="Q21" i="12" s="1" a="1"/>
  <c r="Q21" i="12" s="1"/>
  <c r="S135" i="12"/>
  <c r="I135" i="12" s="1"/>
  <c r="Q143" i="12"/>
  <c r="R143" i="12" s="1"/>
  <c r="N148" i="12" a="1"/>
  <c r="N148" i="12" s="1"/>
  <c r="K195" i="10"/>
  <c r="S132" i="12"/>
  <c r="I132" i="12" s="1"/>
  <c r="P13" i="12"/>
  <c r="P24" i="12" a="1"/>
  <c r="P24" i="12" s="1"/>
  <c r="Q8" i="12"/>
  <c r="Q19" i="12" a="1"/>
  <c r="Q19" i="12" s="1"/>
  <c r="S20" i="26" a="1"/>
  <c r="S20" i="26" s="1"/>
  <c r="L244" i="10"/>
  <c r="L245" i="10"/>
  <c r="L206" i="10"/>
  <c r="L216" i="10" s="1"/>
  <c r="L180" i="10" s="1"/>
  <c r="L205" i="10"/>
  <c r="L204" i="10"/>
  <c r="G144" i="10"/>
  <c r="G112" i="10"/>
  <c r="S137" i="12"/>
  <c r="I137" i="12" s="1"/>
  <c r="S14" i="26" a="1"/>
  <c r="S14" i="26" s="1"/>
  <c r="S12" i="26" a="1"/>
  <c r="S12" i="26" s="1"/>
  <c r="S19" i="26" a="1"/>
  <c r="S19" i="26" s="1"/>
  <c r="P10" i="12"/>
  <c r="P21" i="12" a="1"/>
  <c r="P21" i="12" s="1"/>
  <c r="O150" i="12" a="1"/>
  <c r="O150" i="12" s="1"/>
  <c r="O145" i="12" a="1"/>
  <c r="O145" i="12" s="1"/>
  <c r="G123" i="10"/>
  <c r="G117" i="10"/>
  <c r="G116" i="10"/>
  <c r="H111" i="10" s="1"/>
  <c r="M201" i="10"/>
  <c r="M241" i="10"/>
  <c r="M139" i="10"/>
  <c r="M256" i="10"/>
  <c r="M154" i="10"/>
  <c r="M34" i="10"/>
  <c r="M212" i="10"/>
  <c r="M99" i="10"/>
  <c r="M47" i="10"/>
  <c r="M110" i="10"/>
  <c r="M53" i="10"/>
  <c r="M54" i="10" s="1"/>
  <c r="Q139" i="12"/>
  <c r="R139" i="12" s="1"/>
  <c r="K232" i="10"/>
  <c r="S23" i="26" a="1"/>
  <c r="S23" i="26" s="1"/>
  <c r="N101" i="10"/>
  <c r="N61" i="10"/>
  <c r="N203" i="10"/>
  <c r="N177" i="10" s="1"/>
  <c r="N20" i="10"/>
  <c r="S11" i="26" a="1"/>
  <c r="S11" i="26" s="1"/>
  <c r="S8" i="26" a="1"/>
  <c r="S8" i="26" s="1"/>
  <c r="S21" i="26" a="1"/>
  <c r="S21" i="26" s="1"/>
  <c r="S24" i="26" a="1"/>
  <c r="S24" i="26" s="1"/>
  <c r="S25" i="26" a="1"/>
  <c r="S25" i="26" s="1"/>
  <c r="S9" i="26" a="1"/>
  <c r="S9" i="26" s="1"/>
  <c r="J133" i="10"/>
  <c r="J128" i="10"/>
  <c r="J77" i="10"/>
  <c r="J27" i="10"/>
  <c r="J94" i="10"/>
  <c r="M74" i="10"/>
  <c r="L103" i="10"/>
  <c r="L104" i="10"/>
  <c r="L129" i="10" s="1"/>
  <c r="L102" i="10"/>
  <c r="P151" i="12"/>
  <c r="K53" i="12"/>
  <c r="K163" i="12"/>
  <c r="K93" i="12"/>
  <c r="K63" i="12"/>
  <c r="K47" i="12"/>
  <c r="S32" i="12"/>
  <c r="K162" i="12"/>
  <c r="K77" i="12"/>
  <c r="K88" i="12"/>
  <c r="K71" i="12"/>
  <c r="K157" i="12"/>
  <c r="P146" i="12"/>
  <c r="Q146" i="12" s="1"/>
  <c r="K55" i="12"/>
  <c r="S35" i="12"/>
  <c r="K52" i="12"/>
  <c r="K80" i="12"/>
  <c r="K159" i="12"/>
  <c r="K82" i="12"/>
  <c r="K68" i="12"/>
  <c r="K58" i="12"/>
  <c r="K72" i="12"/>
  <c r="K69" i="12"/>
  <c r="K90" i="12"/>
  <c r="K160" i="12"/>
  <c r="K155" i="12"/>
  <c r="N155" i="12" s="1" a="1"/>
  <c r="N155" i="12" s="1"/>
  <c r="K94" i="12"/>
  <c r="K156" i="12"/>
  <c r="O156" i="12" s="1" a="1"/>
  <c r="O156" i="12" s="1"/>
  <c r="S34" i="12"/>
  <c r="K66" i="12"/>
  <c r="K56" i="12"/>
  <c r="K49" i="12"/>
  <c r="K57" i="12"/>
  <c r="K152" i="12"/>
  <c r="O152" i="12" s="1" a="1"/>
  <c r="O152" i="12" s="1"/>
  <c r="K51" i="12"/>
  <c r="K161" i="12"/>
  <c r="K158" i="12"/>
  <c r="O158" i="12" s="1" a="1"/>
  <c r="O158" i="12" s="1"/>
  <c r="K78" i="12"/>
  <c r="S36" i="12"/>
  <c r="K91" i="12"/>
  <c r="K67" i="12"/>
  <c r="P148" i="12"/>
  <c r="S31" i="12"/>
  <c r="K79" i="12"/>
  <c r="K46" i="12"/>
  <c r="K70" i="12"/>
  <c r="P150" i="12"/>
  <c r="K85" i="12"/>
  <c r="K62" i="12"/>
  <c r="K75" i="12"/>
  <c r="S30" i="12"/>
  <c r="K64" i="12"/>
  <c r="K165" i="12"/>
  <c r="K48" i="12"/>
  <c r="K59" i="12"/>
  <c r="P145" i="12"/>
  <c r="K84" i="12"/>
  <c r="K153" i="12"/>
  <c r="O153" i="12" s="1" a="1"/>
  <c r="O153" i="12" s="1"/>
  <c r="K61" i="12"/>
  <c r="K50" i="12"/>
  <c r="K81" i="12"/>
  <c r="K89" i="12"/>
  <c r="K74" i="12"/>
  <c r="P149" i="12"/>
  <c r="Q149" i="12" s="1"/>
  <c r="K87" i="12"/>
  <c r="K60" i="12"/>
  <c r="K164" i="12"/>
  <c r="K83" i="12"/>
  <c r="K92" i="12"/>
  <c r="K76" i="12"/>
  <c r="S33" i="12"/>
  <c r="K154" i="12"/>
  <c r="P147" i="12"/>
  <c r="Q147" i="12" s="1"/>
  <c r="K73" i="12"/>
  <c r="K86" i="12"/>
  <c r="K65" i="12"/>
  <c r="K54" i="12"/>
  <c r="O149" i="12" a="1"/>
  <c r="O149" i="12" s="1"/>
  <c r="L202" i="10"/>
  <c r="L100" i="10"/>
  <c r="K231" i="10"/>
  <c r="K196" i="10" s="1"/>
  <c r="G38" i="10"/>
  <c r="L215" i="10"/>
  <c r="L260" i="10"/>
  <c r="L259" i="10"/>
  <c r="Q140" i="12"/>
  <c r="R140" i="12" s="1"/>
  <c r="Q138" i="12"/>
  <c r="L158" i="10"/>
  <c r="J48" i="10"/>
  <c r="Q144" i="12"/>
  <c r="R144" i="12" s="1"/>
  <c r="I33" i="10"/>
  <c r="I105" i="10"/>
  <c r="I83" i="10"/>
  <c r="L143" i="10"/>
  <c r="AF34" i="12"/>
  <c r="AF34" i="26"/>
  <c r="T9" i="26" s="1" a="1"/>
  <c r="T9" i="26" s="1"/>
  <c r="O55" i="10"/>
  <c r="J85" i="10"/>
  <c r="J36" i="10"/>
  <c r="J132" i="10"/>
  <c r="Q141" i="12"/>
  <c r="R141" i="12" s="1"/>
  <c r="Q13" i="12" l="1"/>
  <c r="K94" i="10"/>
  <c r="K27" i="10"/>
  <c r="K128" i="10"/>
  <c r="K83" i="10"/>
  <c r="K87" i="10" s="1"/>
  <c r="R147" i="12"/>
  <c r="S147" i="12" s="1"/>
  <c r="K147" i="12" s="1"/>
  <c r="K77" i="10"/>
  <c r="Q151" i="12"/>
  <c r="R151" i="12" s="1"/>
  <c r="R146" i="12"/>
  <c r="S146" i="12" s="1"/>
  <c r="K146" i="12" s="1"/>
  <c r="L130" i="10"/>
  <c r="L133" i="10" s="1"/>
  <c r="L105" i="10" s="1"/>
  <c r="K131" i="10"/>
  <c r="L127" i="10" s="1"/>
  <c r="K132" i="10"/>
  <c r="L122" i="10"/>
  <c r="L48" i="10" s="1"/>
  <c r="Q22" i="12" a="1"/>
  <c r="Q22" i="12" s="1"/>
  <c r="N74" i="10"/>
  <c r="L224" i="10"/>
  <c r="M223" i="10" s="1"/>
  <c r="L231" i="10"/>
  <c r="L187" i="10" s="1"/>
  <c r="L232" i="10"/>
  <c r="L235" i="10" s="1"/>
  <c r="L186" i="10" s="1"/>
  <c r="L93" i="10"/>
  <c r="L114" i="10"/>
  <c r="L27" i="10" s="1"/>
  <c r="Q148" i="12"/>
  <c r="R148" i="12" s="1"/>
  <c r="G251" i="10"/>
  <c r="G248" i="10"/>
  <c r="H243" i="10" s="1"/>
  <c r="G249" i="10"/>
  <c r="K36" i="10"/>
  <c r="S143" i="12"/>
  <c r="J143" i="12" s="1"/>
  <c r="H246" i="10"/>
  <c r="H214" i="10"/>
  <c r="S139" i="12"/>
  <c r="J139" i="12" s="1"/>
  <c r="Q10" i="12"/>
  <c r="H219" i="10"/>
  <c r="H225" i="10"/>
  <c r="S140" i="12"/>
  <c r="J140" i="12" s="1"/>
  <c r="R138" i="12"/>
  <c r="S138" i="12" s="1"/>
  <c r="J138" i="12" s="1"/>
  <c r="H218" i="10"/>
  <c r="I213" i="10" s="1"/>
  <c r="Q25" i="12" a="1"/>
  <c r="Q25" i="12" s="1"/>
  <c r="Q14" i="12"/>
  <c r="R12" i="12"/>
  <c r="R23" i="12" a="1"/>
  <c r="R23" i="12" s="1"/>
  <c r="T8" i="26" a="1"/>
  <c r="T8" i="26" s="1"/>
  <c r="N154" i="12" a="1"/>
  <c r="N154" i="12" s="1"/>
  <c r="O154" i="12" a="1"/>
  <c r="O154" i="12" s="1"/>
  <c r="O157" i="12" a="1"/>
  <c r="O157" i="12" s="1"/>
  <c r="N157" i="12" a="1"/>
  <c r="N157" i="12" s="1"/>
  <c r="M143" i="10"/>
  <c r="N156" i="12" a="1"/>
  <c r="N156" i="12" s="1"/>
  <c r="L195" i="10"/>
  <c r="T13" i="26" a="1"/>
  <c r="T13" i="26" s="1"/>
  <c r="M215" i="10"/>
  <c r="M245" i="10"/>
  <c r="M244" i="10"/>
  <c r="AF35" i="26"/>
  <c r="U14" i="26" s="1" a="1"/>
  <c r="U14" i="26" s="1"/>
  <c r="Y24" i="26"/>
  <c r="AF35" i="12"/>
  <c r="P55" i="10"/>
  <c r="Q150" i="12"/>
  <c r="R150" i="12" s="1"/>
  <c r="T14" i="26" a="1"/>
  <c r="T14" i="26" s="1"/>
  <c r="M206" i="10"/>
  <c r="M224" i="10" s="1"/>
  <c r="M204" i="10"/>
  <c r="M205" i="10"/>
  <c r="K233" i="10"/>
  <c r="L229" i="10" s="1"/>
  <c r="M202" i="10"/>
  <c r="M100" i="10"/>
  <c r="N158" i="12" a="1"/>
  <c r="N158" i="12" s="1"/>
  <c r="S144" i="12"/>
  <c r="J144" i="12" s="1"/>
  <c r="O61" i="10"/>
  <c r="O101" i="10"/>
  <c r="O203" i="10"/>
  <c r="O177" i="10" s="1"/>
  <c r="O20" i="10"/>
  <c r="O155" i="12" a="1"/>
  <c r="O155" i="12" s="1"/>
  <c r="T19" i="26" a="1"/>
  <c r="T19" i="26" s="1"/>
  <c r="I35" i="10"/>
  <c r="S141" i="12"/>
  <c r="J141" i="12" s="1"/>
  <c r="N153" i="12" a="1"/>
  <c r="N153" i="12" s="1"/>
  <c r="H113" i="10"/>
  <c r="Q9" i="12"/>
  <c r="Q20" i="12" a="1"/>
  <c r="Q20" i="12" s="1"/>
  <c r="R149" i="12"/>
  <c r="S149" i="12" s="1"/>
  <c r="K149" i="12" s="1"/>
  <c r="T10" i="26" a="1"/>
  <c r="T10" i="26" s="1"/>
  <c r="T21" i="26" a="1"/>
  <c r="T21" i="26" s="1"/>
  <c r="T23" i="26" a="1"/>
  <c r="T23" i="26" s="1"/>
  <c r="T11" i="26" a="1"/>
  <c r="T11" i="26" s="1"/>
  <c r="T25" i="26" a="1"/>
  <c r="T25" i="26" s="1"/>
  <c r="T22" i="26" a="1"/>
  <c r="T22" i="26" s="1"/>
  <c r="T20" i="26" a="1"/>
  <c r="T20" i="26" s="1"/>
  <c r="K187" i="10"/>
  <c r="K234" i="10"/>
  <c r="G136" i="10"/>
  <c r="G125" i="10"/>
  <c r="G124" i="10"/>
  <c r="H120" i="10" s="1"/>
  <c r="T24" i="26" a="1"/>
  <c r="T24" i="26" s="1"/>
  <c r="L66" i="12"/>
  <c r="O66" i="12" s="1" a="1"/>
  <c r="O66" i="12" s="1"/>
  <c r="L160" i="12"/>
  <c r="N160" i="12" s="1" a="1"/>
  <c r="N160" i="12" s="1"/>
  <c r="L63" i="12"/>
  <c r="N63" i="12" s="1" a="1"/>
  <c r="N63" i="12" s="1"/>
  <c r="L61" i="12"/>
  <c r="N61" i="12" s="1" a="1"/>
  <c r="N61" i="12" s="1"/>
  <c r="L57" i="12"/>
  <c r="N57" i="12" s="1" a="1"/>
  <c r="N57" i="12" s="1"/>
  <c r="T36" i="12"/>
  <c r="L163" i="12"/>
  <c r="N163" i="12" s="1" a="1"/>
  <c r="N163" i="12" s="1"/>
  <c r="L94" i="12"/>
  <c r="L162" i="12"/>
  <c r="O162" i="12" s="1" a="1"/>
  <c r="O162" i="12" s="1"/>
  <c r="L54" i="12"/>
  <c r="O54" i="12" s="1" a="1"/>
  <c r="O54" i="12" s="1"/>
  <c r="L49" i="12"/>
  <c r="P155" i="12"/>
  <c r="Q155" i="12" s="1"/>
  <c r="L161" i="12"/>
  <c r="O161" i="12" s="1" a="1"/>
  <c r="O161" i="12" s="1"/>
  <c r="L87" i="12"/>
  <c r="O87" i="12" s="1" a="1"/>
  <c r="O87" i="12" s="1"/>
  <c r="L165" i="12"/>
  <c r="N165" i="12" s="1" a="1"/>
  <c r="N165" i="12" s="1"/>
  <c r="L75" i="12"/>
  <c r="O75" i="12" s="1" a="1"/>
  <c r="O75" i="12" s="1"/>
  <c r="L79" i="12"/>
  <c r="O79" i="12" s="1" a="1"/>
  <c r="O79" i="12" s="1"/>
  <c r="L73" i="12"/>
  <c r="O73" i="12" s="1" a="1"/>
  <c r="O73" i="12" s="1"/>
  <c r="L77" i="12"/>
  <c r="N77" i="12" s="1" a="1"/>
  <c r="N77" i="12" s="1"/>
  <c r="P153" i="12"/>
  <c r="L93" i="12"/>
  <c r="N93" i="12" s="1" a="1"/>
  <c r="N93" i="12" s="1"/>
  <c r="L90" i="12"/>
  <c r="O90" i="12" s="1" a="1"/>
  <c r="O90" i="12" s="1"/>
  <c r="L82" i="12"/>
  <c r="N82" i="12" s="1" a="1"/>
  <c r="N82" i="12" s="1"/>
  <c r="T34" i="12"/>
  <c r="L88" i="12"/>
  <c r="N88" i="12" s="1" a="1"/>
  <c r="N88" i="12" s="1"/>
  <c r="P157" i="12"/>
  <c r="L92" i="12"/>
  <c r="N92" i="12" s="1" a="1"/>
  <c r="N92" i="12" s="1"/>
  <c r="L74" i="12"/>
  <c r="O74" i="12" s="1" a="1"/>
  <c r="O74" i="12" s="1"/>
  <c r="L76" i="12"/>
  <c r="O76" i="12" s="1" a="1"/>
  <c r="O76" i="12" s="1"/>
  <c r="P158" i="12"/>
  <c r="L159" i="12"/>
  <c r="N159" i="12" s="1" a="1"/>
  <c r="N159" i="12" s="1"/>
  <c r="L67" i="12"/>
  <c r="O67" i="12" s="1" a="1"/>
  <c r="O67" i="12" s="1"/>
  <c r="L55" i="12"/>
  <c r="N55" i="12" s="1" a="1"/>
  <c r="N55" i="12" s="1"/>
  <c r="L56" i="12"/>
  <c r="O56" i="12" s="1" a="1"/>
  <c r="O56" i="12" s="1"/>
  <c r="L69" i="12"/>
  <c r="O69" i="12" s="1" a="1"/>
  <c r="O69" i="12" s="1"/>
  <c r="L64" i="12"/>
  <c r="O64" i="12" s="1" a="1"/>
  <c r="O64" i="12" s="1"/>
  <c r="L81" i="12"/>
  <c r="N81" i="12" s="1" a="1"/>
  <c r="N81" i="12" s="1"/>
  <c r="L51" i="12"/>
  <c r="N51" i="12" s="1" a="1"/>
  <c r="N51" i="12" s="1"/>
  <c r="L164" i="12"/>
  <c r="O164" i="12" s="1" a="1"/>
  <c r="O164" i="12" s="1"/>
  <c r="L48" i="12"/>
  <c r="O48" i="12" s="1" a="1"/>
  <c r="O48" i="12" s="1"/>
  <c r="T35" i="12"/>
  <c r="T33" i="12"/>
  <c r="L80" i="12"/>
  <c r="O80" i="12" s="1" a="1"/>
  <c r="O80" i="12" s="1"/>
  <c r="L62" i="12"/>
  <c r="O62" i="12" s="1" a="1"/>
  <c r="O62" i="12" s="1"/>
  <c r="L46" i="12"/>
  <c r="O46" i="12" s="1" a="1"/>
  <c r="O46" i="12" s="1"/>
  <c r="L65" i="12"/>
  <c r="N65" i="12" s="1" a="1"/>
  <c r="N65" i="12" s="1"/>
  <c r="L52" i="12"/>
  <c r="O52" i="12" s="1" a="1"/>
  <c r="O52" i="12" s="1"/>
  <c r="L78" i="12"/>
  <c r="N78" i="12" s="1" a="1"/>
  <c r="N78" i="12" s="1"/>
  <c r="L68" i="12"/>
  <c r="N68" i="12" s="1" a="1"/>
  <c r="N68" i="12" s="1"/>
  <c r="P152" i="12"/>
  <c r="L71" i="12"/>
  <c r="N71" i="12" s="1" a="1"/>
  <c r="N71" i="12" s="1"/>
  <c r="L70" i="12"/>
  <c r="O70" i="12" s="1" a="1"/>
  <c r="O70" i="12" s="1"/>
  <c r="P156" i="12"/>
  <c r="L91" i="12"/>
  <c r="O91" i="12" s="1" a="1"/>
  <c r="O91" i="12" s="1"/>
  <c r="L53" i="12"/>
  <c r="O53" i="12" s="1" a="1"/>
  <c r="O53" i="12" s="1"/>
  <c r="L84" i="12"/>
  <c r="O84" i="12" s="1" a="1"/>
  <c r="O84" i="12" s="1"/>
  <c r="L89" i="12"/>
  <c r="N89" i="12" s="1" a="1"/>
  <c r="N89" i="12" s="1"/>
  <c r="T32" i="12"/>
  <c r="L83" i="12"/>
  <c r="O83" i="12" s="1" a="1"/>
  <c r="O83" i="12" s="1"/>
  <c r="L59" i="12"/>
  <c r="N59" i="12" s="1" a="1"/>
  <c r="N59" i="12" s="1"/>
  <c r="T31" i="12"/>
  <c r="P154" i="12"/>
  <c r="L50" i="12"/>
  <c r="N50" i="12" s="1" a="1"/>
  <c r="N50" i="12" s="1"/>
  <c r="L58" i="12"/>
  <c r="O58" i="12" s="1" a="1"/>
  <c r="O58" i="12" s="1"/>
  <c r="L72" i="12"/>
  <c r="N72" i="12" s="1" a="1"/>
  <c r="N72" i="12" s="1"/>
  <c r="L60" i="12"/>
  <c r="N60" i="12" s="1" a="1"/>
  <c r="N60" i="12" s="1"/>
  <c r="L47" i="12"/>
  <c r="N47" i="12" s="1" a="1"/>
  <c r="N47" i="12" s="1"/>
  <c r="L85" i="12"/>
  <c r="O85" i="12" s="1" a="1"/>
  <c r="O85" i="12" s="1"/>
  <c r="L86" i="12"/>
  <c r="T30" i="12"/>
  <c r="K235" i="10"/>
  <c r="K230" i="10"/>
  <c r="T12" i="26" a="1"/>
  <c r="T12" i="26" s="1"/>
  <c r="N152" i="12" a="1"/>
  <c r="N152" i="12" s="1"/>
  <c r="Q145" i="12"/>
  <c r="L85" i="10"/>
  <c r="J33" i="10"/>
  <c r="J35" i="10" s="1"/>
  <c r="J38" i="10" s="1"/>
  <c r="J83" i="10"/>
  <c r="J87" i="10" s="1"/>
  <c r="J105" i="10"/>
  <c r="M104" i="10"/>
  <c r="M130" i="10" s="1"/>
  <c r="M102" i="10"/>
  <c r="M103" i="10"/>
  <c r="M158" i="10"/>
  <c r="Q12" i="12"/>
  <c r="Q23" i="12" a="1"/>
  <c r="Q23" i="12" s="1"/>
  <c r="I87" i="10"/>
  <c r="N139" i="10"/>
  <c r="N256" i="10"/>
  <c r="N53" i="10"/>
  <c r="N54" i="10" s="1"/>
  <c r="N201" i="10"/>
  <c r="N241" i="10"/>
  <c r="N154" i="10"/>
  <c r="N99" i="10"/>
  <c r="N110" i="10"/>
  <c r="N34" i="10"/>
  <c r="N47" i="10"/>
  <c r="N212" i="10"/>
  <c r="M260" i="10"/>
  <c r="M259" i="10"/>
  <c r="S151" i="12" l="1"/>
  <c r="K151" i="12" s="1"/>
  <c r="L128" i="10"/>
  <c r="L83" i="10"/>
  <c r="L87" i="10" s="1"/>
  <c r="O74" i="10"/>
  <c r="L132" i="10"/>
  <c r="L131" i="10"/>
  <c r="M127" i="10" s="1"/>
  <c r="L36" i="10"/>
  <c r="L94" i="10"/>
  <c r="U11" i="26" a="1"/>
  <c r="U11" i="26" s="1"/>
  <c r="L230" i="10"/>
  <c r="L233" i="10"/>
  <c r="M229" i="10" s="1"/>
  <c r="O65" i="12" a="1"/>
  <c r="O65" i="12" s="1"/>
  <c r="L77" i="10"/>
  <c r="N67" i="12" a="1"/>
  <c r="N67" i="12" s="1"/>
  <c r="N91" i="12" a="1"/>
  <c r="N91" i="12" s="1"/>
  <c r="S148" i="12"/>
  <c r="K148" i="12" s="1"/>
  <c r="S11" i="12" s="1"/>
  <c r="M129" i="10"/>
  <c r="L207" i="10"/>
  <c r="N84" i="12" a="1"/>
  <c r="N84" i="12" s="1"/>
  <c r="L189" i="10"/>
  <c r="L234" i="10"/>
  <c r="L33" i="10"/>
  <c r="L35" i="10" s="1"/>
  <c r="L196" i="10"/>
  <c r="N53" i="12" a="1"/>
  <c r="N53" i="12" s="1"/>
  <c r="O55" i="12" a="1"/>
  <c r="O55" i="12" s="1"/>
  <c r="O93" i="12" a="1"/>
  <c r="O93" i="12" s="1"/>
  <c r="M93" i="10"/>
  <c r="U10" i="26" a="1"/>
  <c r="U10" i="26" s="1"/>
  <c r="M114" i="10"/>
  <c r="M27" i="10" s="1"/>
  <c r="O82" i="12" a="1"/>
  <c r="O82" i="12" s="1"/>
  <c r="U8" i="26" a="1"/>
  <c r="U8" i="26" s="1"/>
  <c r="N73" i="12" a="1"/>
  <c r="N73" i="12" s="1"/>
  <c r="U9" i="26" a="1"/>
  <c r="U9" i="26" s="1"/>
  <c r="M122" i="10"/>
  <c r="M48" i="10" s="1"/>
  <c r="R9" i="12"/>
  <c r="R20" i="12" a="1"/>
  <c r="R20" i="12" s="1"/>
  <c r="R24" i="12" a="1"/>
  <c r="R24" i="12" s="1"/>
  <c r="R13" i="12"/>
  <c r="R21" i="12" a="1"/>
  <c r="R21" i="12" s="1"/>
  <c r="R10" i="12"/>
  <c r="N79" i="12" a="1"/>
  <c r="N79" i="12" s="1"/>
  <c r="M195" i="10"/>
  <c r="I220" i="10"/>
  <c r="I217" i="10"/>
  <c r="I218" i="10" s="1"/>
  <c r="J213" i="10" s="1"/>
  <c r="N66" i="12" a="1"/>
  <c r="N66" i="12" s="1"/>
  <c r="N54" i="12" a="1"/>
  <c r="N54" i="12" s="1"/>
  <c r="O77" i="12" a="1"/>
  <c r="O77" i="12" s="1"/>
  <c r="G252" i="10"/>
  <c r="G253" i="10" s="1"/>
  <c r="G254" i="10" s="1"/>
  <c r="G261" i="10"/>
  <c r="Q152" i="12"/>
  <c r="R152" i="12" s="1"/>
  <c r="O72" i="12" a="1"/>
  <c r="O72" i="12" s="1"/>
  <c r="H238" i="10"/>
  <c r="H239" i="10" s="1"/>
  <c r="H247" i="10" s="1"/>
  <c r="H227" i="10"/>
  <c r="H226" i="10"/>
  <c r="I222" i="10" s="1"/>
  <c r="N74" i="12" a="1"/>
  <c r="N74" i="12" s="1"/>
  <c r="O81" i="12" a="1"/>
  <c r="O81" i="12" s="1"/>
  <c r="N161" i="12" a="1"/>
  <c r="N161" i="12" s="1"/>
  <c r="Q153" i="12"/>
  <c r="R153" i="12" s="1"/>
  <c r="O57" i="12" a="1"/>
  <c r="O57" i="12" s="1"/>
  <c r="O89" i="12" a="1"/>
  <c r="O89" i="12" s="1"/>
  <c r="O88" i="12" a="1"/>
  <c r="O88" i="12" s="1"/>
  <c r="R22" i="12" a="1"/>
  <c r="R22" i="12" s="1"/>
  <c r="R11" i="12"/>
  <c r="S12" i="12"/>
  <c r="S23" i="12" a="1"/>
  <c r="S23" i="12" s="1"/>
  <c r="S25" i="12" a="1"/>
  <c r="S25" i="12" s="1"/>
  <c r="S14" i="12"/>
  <c r="M133" i="10"/>
  <c r="M128" i="10"/>
  <c r="S20" i="12" a="1"/>
  <c r="S20" i="12" s="1"/>
  <c r="S9" i="12"/>
  <c r="R14" i="12"/>
  <c r="R25" i="12" a="1"/>
  <c r="R25" i="12" s="1"/>
  <c r="U19" i="26" a="1"/>
  <c r="U19" i="26" s="1"/>
  <c r="U24" i="26" a="1"/>
  <c r="U24" i="26" s="1"/>
  <c r="U21" i="26" a="1"/>
  <c r="U21" i="26" s="1"/>
  <c r="U22" i="26" a="1"/>
  <c r="U22" i="26" s="1"/>
  <c r="U20" i="26" a="1"/>
  <c r="U20" i="26" s="1"/>
  <c r="U23" i="26" a="1"/>
  <c r="U23" i="26" s="1"/>
  <c r="U25" i="26" a="1"/>
  <c r="U25" i="26" s="1"/>
  <c r="O71" i="12" a="1"/>
  <c r="O71" i="12" s="1"/>
  <c r="N87" i="12" a="1"/>
  <c r="N87" i="12" s="1"/>
  <c r="N46" i="12" a="1"/>
  <c r="N46" i="12" s="1"/>
  <c r="K186" i="10"/>
  <c r="K189" i="10" s="1"/>
  <c r="K33" i="10"/>
  <c r="K207" i="10"/>
  <c r="G137" i="10"/>
  <c r="G145" i="10" s="1"/>
  <c r="N75" i="12" a="1"/>
  <c r="N75" i="12" s="1"/>
  <c r="O51" i="12" a="1"/>
  <c r="O51" i="12" s="1"/>
  <c r="O163" i="12" a="1"/>
  <c r="O163" i="12" s="1"/>
  <c r="O160" i="12" a="1"/>
  <c r="O160" i="12" s="1"/>
  <c r="H121" i="10"/>
  <c r="R155" i="12"/>
  <c r="S155" i="12" s="1"/>
  <c r="L155" i="12" s="1"/>
  <c r="N158" i="10"/>
  <c r="N245" i="10"/>
  <c r="N244" i="10"/>
  <c r="N80" i="12" a="1"/>
  <c r="N80" i="12" s="1"/>
  <c r="O86" i="12" a="1"/>
  <c r="O86" i="12" s="1"/>
  <c r="N86" i="12" a="1"/>
  <c r="N86" i="12" s="1"/>
  <c r="O63" i="12" a="1"/>
  <c r="O63" i="12" s="1"/>
  <c r="N69" i="12" a="1"/>
  <c r="N69" i="12" s="1"/>
  <c r="O47" i="12" a="1"/>
  <c r="O47" i="12" s="1"/>
  <c r="Q157" i="12"/>
  <c r="R157" i="12" s="1"/>
  <c r="S157" i="12" s="1"/>
  <c r="N76" i="12" a="1"/>
  <c r="N76" i="12" s="1"/>
  <c r="N64" i="12" a="1"/>
  <c r="N64" i="12" s="1"/>
  <c r="N49" i="12" a="1"/>
  <c r="N49" i="12" s="1"/>
  <c r="O241" i="10"/>
  <c r="O256" i="10"/>
  <c r="O139" i="10"/>
  <c r="O201" i="10"/>
  <c r="O154" i="10"/>
  <c r="O99" i="10"/>
  <c r="O47" i="10"/>
  <c r="O34" i="10"/>
  <c r="O212" i="10"/>
  <c r="O53" i="10"/>
  <c r="O54" i="10" s="1"/>
  <c r="O110" i="10"/>
  <c r="R145" i="12"/>
  <c r="S145" i="12" s="1"/>
  <c r="N52" i="12" a="1"/>
  <c r="N52" i="12" s="1"/>
  <c r="N206" i="10"/>
  <c r="N232" i="10" s="1"/>
  <c r="N205" i="10"/>
  <c r="N204" i="10"/>
  <c r="O94" i="12" a="1"/>
  <c r="O94" i="12" s="1"/>
  <c r="O60" i="12" a="1"/>
  <c r="O60" i="12" s="1"/>
  <c r="N104" i="10"/>
  <c r="N130" i="10" s="1"/>
  <c r="N133" i="10" s="1"/>
  <c r="N105" i="10" s="1"/>
  <c r="N102" i="10"/>
  <c r="N103" i="10"/>
  <c r="S21" i="12" a="1"/>
  <c r="S21" i="12" s="1"/>
  <c r="S10" i="12"/>
  <c r="U12" i="26" a="1"/>
  <c r="U12" i="26" s="1"/>
  <c r="O50" i="12" a="1"/>
  <c r="O50" i="12" s="1"/>
  <c r="O78" i="12" a="1"/>
  <c r="O78" i="12" s="1"/>
  <c r="N94" i="12" a="1"/>
  <c r="N94" i="12" s="1"/>
  <c r="N164" i="12" a="1"/>
  <c r="N164" i="12" s="1"/>
  <c r="N202" i="10"/>
  <c r="N100" i="10"/>
  <c r="N223" i="10"/>
  <c r="N259" i="10"/>
  <c r="N260" i="10"/>
  <c r="N162" i="12" a="1"/>
  <c r="N162" i="12" s="1"/>
  <c r="S150" i="12"/>
  <c r="K150" i="12" s="1"/>
  <c r="Q156" i="12"/>
  <c r="R156" i="12" s="1"/>
  <c r="N70" i="12" a="1"/>
  <c r="N70" i="12" s="1"/>
  <c r="N143" i="10"/>
  <c r="N48" i="12" a="1"/>
  <c r="N48" i="12" s="1"/>
  <c r="O59" i="12" a="1"/>
  <c r="O59" i="12" s="1"/>
  <c r="O92" i="12" a="1"/>
  <c r="O92" i="12" s="1"/>
  <c r="N83" i="12" a="1"/>
  <c r="N83" i="12" s="1"/>
  <c r="O61" i="12" a="1"/>
  <c r="O61" i="12" s="1"/>
  <c r="N90" i="12" a="1"/>
  <c r="N90" i="12" s="1"/>
  <c r="O165" i="12" a="1"/>
  <c r="O165" i="12" s="1"/>
  <c r="M232" i="10"/>
  <c r="H115" i="10"/>
  <c r="H116" i="10" s="1"/>
  <c r="I111" i="10" s="1"/>
  <c r="M216" i="10"/>
  <c r="O68" i="12" a="1"/>
  <c r="O68" i="12" s="1"/>
  <c r="I38" i="10"/>
  <c r="U13" i="26" a="1"/>
  <c r="U13" i="26" s="1"/>
  <c r="P61" i="10"/>
  <c r="P101" i="10"/>
  <c r="P203" i="10"/>
  <c r="P20" i="10"/>
  <c r="M11" i="10" a="1"/>
  <c r="M11" i="10" s="1"/>
  <c r="M231" i="10"/>
  <c r="Q154" i="12"/>
  <c r="O49" i="12" a="1"/>
  <c r="O49" i="12" s="1"/>
  <c r="O159" i="12" a="1"/>
  <c r="O159" i="12" s="1"/>
  <c r="R19" i="12" a="1"/>
  <c r="R19" i="12" s="1"/>
  <c r="R8" i="12"/>
  <c r="H118" i="10"/>
  <c r="N56" i="12" a="1"/>
  <c r="N56" i="12" s="1"/>
  <c r="Q158" i="12"/>
  <c r="R158" i="12" s="1"/>
  <c r="P63" i="12"/>
  <c r="Q63" i="12" s="1"/>
  <c r="P55" i="12"/>
  <c r="P69" i="12"/>
  <c r="P72" i="12"/>
  <c r="Q72" i="12" s="1"/>
  <c r="P52" i="12"/>
  <c r="P86" i="12"/>
  <c r="P161" i="12"/>
  <c r="P78" i="12"/>
  <c r="Q78" i="12" s="1"/>
  <c r="P59" i="12"/>
  <c r="P48" i="12"/>
  <c r="P77" i="12"/>
  <c r="P46" i="12"/>
  <c r="P81" i="12"/>
  <c r="P87" i="12"/>
  <c r="P61" i="12"/>
  <c r="Q61" i="12" s="1"/>
  <c r="P160" i="12"/>
  <c r="P68" i="12"/>
  <c r="Q68" i="12" s="1"/>
  <c r="P53" i="12"/>
  <c r="P75" i="12"/>
  <c r="U34" i="12"/>
  <c r="P49" i="12"/>
  <c r="P92" i="12"/>
  <c r="P91" i="12"/>
  <c r="P70" i="12"/>
  <c r="P84" i="12"/>
  <c r="P76" i="12"/>
  <c r="P159" i="12"/>
  <c r="Q159" i="12" s="1"/>
  <c r="P60" i="12"/>
  <c r="P90" i="12"/>
  <c r="U33" i="12"/>
  <c r="P164" i="12"/>
  <c r="P56" i="12"/>
  <c r="P79" i="12"/>
  <c r="P89" i="12"/>
  <c r="U35" i="12"/>
  <c r="P163" i="12"/>
  <c r="P67" i="12"/>
  <c r="P54" i="12"/>
  <c r="P74" i="12"/>
  <c r="U31" i="12"/>
  <c r="P51" i="12"/>
  <c r="P85" i="12"/>
  <c r="P50" i="12"/>
  <c r="P94" i="12"/>
  <c r="U32" i="12"/>
  <c r="P165" i="12"/>
  <c r="Q165" i="12" s="1"/>
  <c r="P162" i="12"/>
  <c r="P82" i="12"/>
  <c r="Q82" i="12" s="1"/>
  <c r="P47" i="12"/>
  <c r="P93" i="12"/>
  <c r="U36" i="12"/>
  <c r="P83" i="12"/>
  <c r="P62" i="12"/>
  <c r="P65" i="12"/>
  <c r="Q65" i="12" s="1"/>
  <c r="P88" i="12"/>
  <c r="Q88" i="12" s="1"/>
  <c r="P80" i="12"/>
  <c r="U30" i="12"/>
  <c r="P58" i="12"/>
  <c r="P66" i="12"/>
  <c r="P64" i="12"/>
  <c r="P57" i="12"/>
  <c r="Q57" i="12" s="1"/>
  <c r="P71" i="12"/>
  <c r="P73" i="12"/>
  <c r="N85" i="12" a="1"/>
  <c r="N85" i="12" s="1"/>
  <c r="U32" i="26"/>
  <c r="U33" i="26"/>
  <c r="U30" i="26"/>
  <c r="U36" i="26"/>
  <c r="U34" i="26"/>
  <c r="U35" i="26"/>
  <c r="U31" i="26"/>
  <c r="M66" i="26"/>
  <c r="M54" i="26"/>
  <c r="M88" i="26"/>
  <c r="M59" i="26"/>
  <c r="M52" i="26"/>
  <c r="M86" i="26"/>
  <c r="M58" i="26"/>
  <c r="M51" i="26"/>
  <c r="M65" i="26"/>
  <c r="M90" i="26"/>
  <c r="M74" i="26"/>
  <c r="M83" i="26"/>
  <c r="M55" i="26"/>
  <c r="M50" i="26"/>
  <c r="M63" i="26"/>
  <c r="M68" i="26"/>
  <c r="M57" i="26"/>
  <c r="M60" i="26"/>
  <c r="M71" i="26"/>
  <c r="M80" i="26"/>
  <c r="M73" i="26"/>
  <c r="M82" i="26"/>
  <c r="M93" i="26"/>
  <c r="M84" i="26"/>
  <c r="M56" i="26"/>
  <c r="M61" i="26"/>
  <c r="M91" i="26"/>
  <c r="M94" i="26"/>
  <c r="M87" i="26"/>
  <c r="M70" i="26"/>
  <c r="M77" i="26"/>
  <c r="M81" i="26"/>
  <c r="M76" i="26"/>
  <c r="M48" i="26"/>
  <c r="M67" i="26"/>
  <c r="M75" i="26"/>
  <c r="M72" i="26"/>
  <c r="M47" i="26"/>
  <c r="M92" i="26"/>
  <c r="M46" i="26"/>
  <c r="M53" i="26"/>
  <c r="M64" i="26"/>
  <c r="M79" i="26"/>
  <c r="M49" i="26"/>
  <c r="M78" i="26"/>
  <c r="M89" i="26"/>
  <c r="M85" i="26"/>
  <c r="M69" i="26"/>
  <c r="M62" i="26"/>
  <c r="N58" i="12" a="1"/>
  <c r="N58" i="12" s="1"/>
  <c r="N62" i="12" a="1"/>
  <c r="N62" i="12" s="1"/>
  <c r="S152" i="12" l="1"/>
  <c r="L152" i="12" s="1"/>
  <c r="Q91" i="12"/>
  <c r="R91" i="12" s="1"/>
  <c r="R65" i="12"/>
  <c r="M94" i="10"/>
  <c r="M77" i="10"/>
  <c r="L38" i="10"/>
  <c r="M131" i="10"/>
  <c r="N127" i="10" s="1"/>
  <c r="Q67" i="12"/>
  <c r="R67" i="12" s="1"/>
  <c r="M132" i="10"/>
  <c r="M85" i="10"/>
  <c r="S22" i="12" a="1"/>
  <c r="S22" i="12" s="1"/>
  <c r="R72" i="12"/>
  <c r="S72" i="12" s="1"/>
  <c r="M72" i="12" s="1"/>
  <c r="R88" i="12"/>
  <c r="S88" i="12" s="1"/>
  <c r="M88" i="12" s="1"/>
  <c r="R82" i="12"/>
  <c r="S82" i="12" s="1"/>
  <c r="M82" i="12" s="1"/>
  <c r="Q62" i="12"/>
  <c r="R62" i="12" s="1"/>
  <c r="S153" i="12"/>
  <c r="L153" i="12" s="1"/>
  <c r="T20" i="12" s="1" a="1"/>
  <c r="T20" i="12" s="1"/>
  <c r="Q54" i="12"/>
  <c r="R54" i="12" s="1"/>
  <c r="R57" i="12"/>
  <c r="S57" i="12" s="1"/>
  <c r="M57" i="12" s="1"/>
  <c r="N195" i="10"/>
  <c r="Q56" i="12"/>
  <c r="R56" i="12" s="1"/>
  <c r="H251" i="10"/>
  <c r="H249" i="10"/>
  <c r="H248" i="10"/>
  <c r="I243" i="10" s="1"/>
  <c r="J220" i="10"/>
  <c r="J217" i="10"/>
  <c r="I219" i="10"/>
  <c r="I225" i="10"/>
  <c r="I214" i="10"/>
  <c r="I246" i="10"/>
  <c r="Q70" i="12"/>
  <c r="R70" i="12" s="1"/>
  <c r="Q76" i="12"/>
  <c r="R76" i="12" s="1"/>
  <c r="S158" i="12"/>
  <c r="L158" i="12" s="1"/>
  <c r="G262" i="10"/>
  <c r="G263" i="10" s="1"/>
  <c r="H258" i="10" s="1"/>
  <c r="Q85" i="12"/>
  <c r="R85" i="12" s="1"/>
  <c r="M196" i="10"/>
  <c r="N129" i="10"/>
  <c r="N122" i="10"/>
  <c r="N48" i="10" s="1"/>
  <c r="S156" i="12"/>
  <c r="L156" i="12" s="1"/>
  <c r="T12" i="12" s="1"/>
  <c r="N235" i="10"/>
  <c r="N186" i="10" s="1"/>
  <c r="N230" i="10"/>
  <c r="T22" i="12" a="1"/>
  <c r="T22" i="12" s="1"/>
  <c r="T11" i="12"/>
  <c r="I113" i="10"/>
  <c r="I115" i="10" s="1"/>
  <c r="T8" i="12"/>
  <c r="T19" i="12" a="1"/>
  <c r="T19" i="12" s="1"/>
  <c r="H144" i="10"/>
  <c r="H112" i="10"/>
  <c r="I14" i="26"/>
  <c r="I25" i="26"/>
  <c r="E11" i="26"/>
  <c r="E22" i="26"/>
  <c r="R159" i="12"/>
  <c r="S159" i="12" s="1"/>
  <c r="M159" i="12" s="1"/>
  <c r="C9" i="26"/>
  <c r="C20" i="26"/>
  <c r="E9" i="26"/>
  <c r="E20" i="26"/>
  <c r="C12" i="26"/>
  <c r="C23" i="26"/>
  <c r="D20" i="26"/>
  <c r="D9" i="26"/>
  <c r="S65" i="12"/>
  <c r="M65" i="12" s="1"/>
  <c r="Q90" i="12"/>
  <c r="R90" i="12" s="1"/>
  <c r="N93" i="10"/>
  <c r="N128" i="10"/>
  <c r="Q49" i="12"/>
  <c r="R49" i="12" s="1"/>
  <c r="S49" i="12" s="1"/>
  <c r="M49" i="12" s="1"/>
  <c r="Q80" i="12"/>
  <c r="R80" i="12" s="1"/>
  <c r="R61" i="12"/>
  <c r="Q52" i="12"/>
  <c r="R52" i="12" s="1"/>
  <c r="O102" i="10"/>
  <c r="O103" i="10"/>
  <c r="O104" i="10"/>
  <c r="O122" i="10" s="1"/>
  <c r="O48" i="10" s="1"/>
  <c r="M105" i="10"/>
  <c r="M83" i="10"/>
  <c r="Q58" i="12"/>
  <c r="R58" i="12" s="1"/>
  <c r="I11" i="26"/>
  <c r="I22" i="26"/>
  <c r="F13" i="26"/>
  <c r="F24" i="26"/>
  <c r="F10" i="26"/>
  <c r="F21" i="26"/>
  <c r="G20" i="26"/>
  <c r="G9" i="26"/>
  <c r="H11" i="26"/>
  <c r="H22" i="26"/>
  <c r="H21" i="26"/>
  <c r="H10" i="26"/>
  <c r="L157" i="12"/>
  <c r="M187" i="10"/>
  <c r="M234" i="10"/>
  <c r="Q161" i="12"/>
  <c r="R161" i="12" s="1"/>
  <c r="Q53" i="12"/>
  <c r="R53" i="12" s="1"/>
  <c r="Q83" i="12"/>
  <c r="R83" i="12" s="1"/>
  <c r="O158" i="10"/>
  <c r="Q64" i="12"/>
  <c r="R64" i="12" s="1"/>
  <c r="E23" i="26"/>
  <c r="E12" i="26"/>
  <c r="D19" i="26"/>
  <c r="D8" i="26"/>
  <c r="C14" i="26"/>
  <c r="C25" i="26"/>
  <c r="D25" i="26"/>
  <c r="D14" i="26"/>
  <c r="O204" i="10"/>
  <c r="O206" i="10"/>
  <c r="O232" i="10" s="1"/>
  <c r="O205" i="10"/>
  <c r="M36" i="10"/>
  <c r="C25" i="16"/>
  <c r="K35" i="10"/>
  <c r="H24" i="26"/>
  <c r="H13" i="26"/>
  <c r="H123" i="10"/>
  <c r="H117" i="10"/>
  <c r="R68" i="12"/>
  <c r="Q162" i="12"/>
  <c r="R162" i="12" s="1"/>
  <c r="I9" i="26"/>
  <c r="I20" i="26"/>
  <c r="C21" i="26"/>
  <c r="C10" i="26"/>
  <c r="H20" i="26"/>
  <c r="H9" i="26"/>
  <c r="I10" i="26"/>
  <c r="I21" i="26"/>
  <c r="P256" i="10"/>
  <c r="P53" i="10"/>
  <c r="P54" i="10" s="1"/>
  <c r="P47" i="10"/>
  <c r="D47" i="10" s="1"/>
  <c r="P241" i="10"/>
  <c r="P99" i="10"/>
  <c r="P154" i="10"/>
  <c r="P139" i="10"/>
  <c r="P110" i="10"/>
  <c r="P34" i="10"/>
  <c r="D34" i="10" s="1"/>
  <c r="P201" i="10"/>
  <c r="P212" i="10"/>
  <c r="E20" i="10"/>
  <c r="R154" i="12"/>
  <c r="S154" i="12" s="1"/>
  <c r="N231" i="10"/>
  <c r="O143" i="10"/>
  <c r="M233" i="10"/>
  <c r="N229" i="10" s="1"/>
  <c r="Q55" i="12"/>
  <c r="R55" i="12" s="1"/>
  <c r="Q50" i="12"/>
  <c r="R50" i="12" s="1"/>
  <c r="R165" i="12"/>
  <c r="S165" i="12" s="1"/>
  <c r="E10" i="26"/>
  <c r="E21" i="26"/>
  <c r="D11" i="26"/>
  <c r="D22" i="26"/>
  <c r="D21" i="26"/>
  <c r="D10" i="26"/>
  <c r="E14" i="26"/>
  <c r="E25" i="26"/>
  <c r="F8" i="26"/>
  <c r="F19" i="26"/>
  <c r="I24" i="26"/>
  <c r="I13" i="26"/>
  <c r="G19" i="26"/>
  <c r="G8" i="26"/>
  <c r="G12" i="26"/>
  <c r="G23" i="26"/>
  <c r="F14" i="26"/>
  <c r="F25" i="26"/>
  <c r="E13" i="26"/>
  <c r="E24" i="26"/>
  <c r="P177" i="10"/>
  <c r="Q173" i="10" a="1"/>
  <c r="Q173" i="10" s="1"/>
  <c r="M180" i="10"/>
  <c r="Q74" i="12"/>
  <c r="R74" i="12" s="1"/>
  <c r="O259" i="10"/>
  <c r="O260" i="10"/>
  <c r="Q46" i="12"/>
  <c r="R46" i="12" s="1"/>
  <c r="Q89" i="12"/>
  <c r="R89" i="12" s="1"/>
  <c r="Q81" i="12"/>
  <c r="R81" i="12" s="1"/>
  <c r="D13" i="26"/>
  <c r="D24" i="26"/>
  <c r="D23" i="26"/>
  <c r="D12" i="26"/>
  <c r="C8" i="26"/>
  <c r="C19" i="26"/>
  <c r="F9" i="26"/>
  <c r="F20" i="26"/>
  <c r="I23" i="26"/>
  <c r="I12" i="26"/>
  <c r="I19" i="26"/>
  <c r="I8" i="26"/>
  <c r="H23" i="26"/>
  <c r="H12" i="26"/>
  <c r="G21" i="26"/>
  <c r="G10" i="26"/>
  <c r="C22" i="26"/>
  <c r="C11" i="26"/>
  <c r="H19" i="26"/>
  <c r="H8" i="26"/>
  <c r="G25" i="26"/>
  <c r="G14" i="26"/>
  <c r="C13" i="26"/>
  <c r="C24" i="26"/>
  <c r="P74" i="10"/>
  <c r="Q70" i="10" a="1"/>
  <c r="Q70" i="10" s="1"/>
  <c r="M235" i="10"/>
  <c r="M230" i="10"/>
  <c r="Q73" i="12"/>
  <c r="R73" i="12" s="1"/>
  <c r="Q60" i="12"/>
  <c r="N216" i="10"/>
  <c r="N224" i="10"/>
  <c r="O223" i="10" s="1"/>
  <c r="Q163" i="12"/>
  <c r="O245" i="10"/>
  <c r="O244" i="10"/>
  <c r="Q69" i="12"/>
  <c r="R69" i="12" s="1"/>
  <c r="R63" i="12"/>
  <c r="S63" i="12" s="1"/>
  <c r="Q87" i="12"/>
  <c r="R87" i="12" s="1"/>
  <c r="Q71" i="12"/>
  <c r="R71" i="12" s="1"/>
  <c r="Q51" i="12"/>
  <c r="R51" i="12" s="1"/>
  <c r="F12" i="26"/>
  <c r="F23" i="26"/>
  <c r="O100" i="10"/>
  <c r="O202" i="10"/>
  <c r="S24" i="12" a="1"/>
  <c r="S24" i="12" s="1"/>
  <c r="S13" i="12"/>
  <c r="Q92" i="12"/>
  <c r="R92" i="12" s="1"/>
  <c r="G24" i="26"/>
  <c r="G13" i="26"/>
  <c r="G22" i="26"/>
  <c r="G11" i="26"/>
  <c r="S91" i="12"/>
  <c r="M91" i="12" s="1"/>
  <c r="F63" i="10"/>
  <c r="F62" i="10"/>
  <c r="F22" i="26"/>
  <c r="F11" i="26"/>
  <c r="E8" i="26"/>
  <c r="E19" i="26"/>
  <c r="K145" i="12"/>
  <c r="Q86" i="12"/>
  <c r="R86" i="12" s="1"/>
  <c r="Q77" i="12"/>
  <c r="R77" i="12" s="1"/>
  <c r="Q160" i="12"/>
  <c r="H25" i="26"/>
  <c r="H14" i="26"/>
  <c r="Q79" i="12"/>
  <c r="R79" i="12" s="1"/>
  <c r="N215" i="10"/>
  <c r="Q164" i="12"/>
  <c r="R164" i="12" s="1"/>
  <c r="N114" i="10"/>
  <c r="S56" i="12"/>
  <c r="M56" i="12" s="1"/>
  <c r="Q48" i="12"/>
  <c r="R48" i="12" s="1"/>
  <c r="Q94" i="12"/>
  <c r="N83" i="10"/>
  <c r="Q66" i="12"/>
  <c r="R66" i="12" s="1"/>
  <c r="Q75" i="12"/>
  <c r="R75" i="12" s="1"/>
  <c r="Q47" i="12"/>
  <c r="Q93" i="12"/>
  <c r="R93" i="12" s="1"/>
  <c r="Q59" i="12"/>
  <c r="R59" i="12" s="1"/>
  <c r="R78" i="12"/>
  <c r="S78" i="12" s="1"/>
  <c r="M78" i="12" s="1"/>
  <c r="Q84" i="12"/>
  <c r="R84" i="12" s="1"/>
  <c r="G149" i="10"/>
  <c r="G146" i="10"/>
  <c r="H141" i="10" s="1"/>
  <c r="G147" i="10"/>
  <c r="S67" i="12" l="1"/>
  <c r="M67" i="12" s="1"/>
  <c r="F8" i="12" s="1"/>
  <c r="N94" i="10"/>
  <c r="N131" i="10"/>
  <c r="O127" i="10" s="1"/>
  <c r="T23" i="12" a="1"/>
  <c r="T23" i="12" s="1"/>
  <c r="M87" i="10"/>
  <c r="T9" i="12"/>
  <c r="S54" i="12"/>
  <c r="M54" i="12" s="1"/>
  <c r="D9" i="12" s="1"/>
  <c r="S62" i="12"/>
  <c r="M62" i="12" s="1"/>
  <c r="E21" i="12" s="1" a="1"/>
  <c r="E21" i="12" s="1"/>
  <c r="O231" i="10"/>
  <c r="O187" i="10" s="1"/>
  <c r="S80" i="12"/>
  <c r="M80" i="12" s="1"/>
  <c r="G25" i="12" s="1" a="1"/>
  <c r="G25" i="12" s="1"/>
  <c r="S70" i="12"/>
  <c r="M70" i="12" s="1"/>
  <c r="F11" i="12" s="1"/>
  <c r="O114" i="10"/>
  <c r="O27" i="10" s="1"/>
  <c r="S64" i="12"/>
  <c r="M64" i="12" s="1"/>
  <c r="S90" i="12"/>
  <c r="M90" i="12" s="1"/>
  <c r="I21" i="12" s="1" a="1"/>
  <c r="I21" i="12" s="1"/>
  <c r="S76" i="12"/>
  <c r="M76" i="12" s="1"/>
  <c r="G10" i="12" s="1"/>
  <c r="N33" i="10"/>
  <c r="N35" i="10" s="1"/>
  <c r="N132" i="10"/>
  <c r="O93" i="10"/>
  <c r="O130" i="10"/>
  <c r="O133" i="10" s="1"/>
  <c r="O105" i="10" s="1"/>
  <c r="O129" i="10"/>
  <c r="O85" i="10" s="1"/>
  <c r="N85" i="10"/>
  <c r="N87" i="10" s="1"/>
  <c r="S66" i="12"/>
  <c r="M66" i="12" s="1"/>
  <c r="O224" i="10"/>
  <c r="P223" i="10" s="1"/>
  <c r="S81" i="12"/>
  <c r="M81" i="12" s="1"/>
  <c r="S46" i="12"/>
  <c r="M46" i="12" s="1"/>
  <c r="C8" i="12" s="1"/>
  <c r="O235" i="10"/>
  <c r="O186" i="10" s="1"/>
  <c r="O230" i="10"/>
  <c r="S79" i="12"/>
  <c r="M79" i="12" s="1"/>
  <c r="I227" i="10"/>
  <c r="I238" i="10"/>
  <c r="I239" i="10" s="1"/>
  <c r="I247" i="10" s="1"/>
  <c r="S52" i="12"/>
  <c r="M52" i="12" s="1"/>
  <c r="I226" i="10"/>
  <c r="J222" i="10" s="1"/>
  <c r="O216" i="10"/>
  <c r="O180" i="10" s="1"/>
  <c r="S162" i="12"/>
  <c r="M162" i="12" s="1"/>
  <c r="U11" i="12" s="1"/>
  <c r="N196" i="10"/>
  <c r="M165" i="12"/>
  <c r="U14" i="12" s="1"/>
  <c r="O195" i="10"/>
  <c r="J218" i="10"/>
  <c r="K213" i="10" s="1"/>
  <c r="J225" i="10"/>
  <c r="J219" i="10"/>
  <c r="G266" i="10"/>
  <c r="G264" i="10"/>
  <c r="J246" i="10"/>
  <c r="J214" i="10"/>
  <c r="S61" i="12"/>
  <c r="M61" i="12" s="1"/>
  <c r="S51" i="12"/>
  <c r="M51" i="12" s="1"/>
  <c r="S58" i="12"/>
  <c r="M58" i="12" s="1"/>
  <c r="S71" i="12"/>
  <c r="M71" i="12" s="1"/>
  <c r="N233" i="10"/>
  <c r="O229" i="10" s="1"/>
  <c r="S85" i="12"/>
  <c r="M85" i="12" s="1"/>
  <c r="H252" i="10"/>
  <c r="H253" i="10" s="1"/>
  <c r="H254" i="10" s="1"/>
  <c r="H261" i="10"/>
  <c r="G12" i="12"/>
  <c r="G23" i="12" a="1"/>
  <c r="G23" i="12" s="1"/>
  <c r="I8" i="12"/>
  <c r="I19" i="12" a="1"/>
  <c r="I19" i="12" s="1"/>
  <c r="H9" i="12"/>
  <c r="H20" i="12" a="1"/>
  <c r="H20" i="12" s="1"/>
  <c r="I123" i="10"/>
  <c r="I117" i="10"/>
  <c r="C22" i="12" a="1"/>
  <c r="C22" i="12" s="1"/>
  <c r="C11" i="12"/>
  <c r="E24" i="12" a="1"/>
  <c r="E24" i="12" s="1"/>
  <c r="E13" i="12"/>
  <c r="M186" i="10"/>
  <c r="M189" i="10" s="1"/>
  <c r="M207" i="10"/>
  <c r="R94" i="12"/>
  <c r="S94" i="12" s="1"/>
  <c r="M94" i="12" s="1"/>
  <c r="S87" i="12"/>
  <c r="M87" i="12" s="1"/>
  <c r="H136" i="10"/>
  <c r="H125" i="10"/>
  <c r="S74" i="12"/>
  <c r="M74" i="12" s="1"/>
  <c r="S68" i="12"/>
  <c r="M68" i="12" s="1"/>
  <c r="M33" i="10"/>
  <c r="S92" i="12"/>
  <c r="M92" i="12" s="1"/>
  <c r="S53" i="12"/>
  <c r="M53" i="12" s="1"/>
  <c r="D11" i="12"/>
  <c r="D22" i="12" a="1"/>
  <c r="D22" i="12" s="1"/>
  <c r="P100" i="10"/>
  <c r="P202" i="10"/>
  <c r="S73" i="12"/>
  <c r="M73" i="12" s="1"/>
  <c r="S19" i="12" a="1"/>
  <c r="S19" i="12" s="1"/>
  <c r="S8" i="12"/>
  <c r="B7" i="26"/>
  <c r="C11" i="16"/>
  <c r="N8" i="1"/>
  <c r="K7" i="26"/>
  <c r="R160" i="12"/>
  <c r="S160" i="12" s="1"/>
  <c r="R163" i="12"/>
  <c r="S163" i="12" s="1"/>
  <c r="K18" i="26"/>
  <c r="B18" i="26"/>
  <c r="R47" i="12"/>
  <c r="N187" i="10"/>
  <c r="N189" i="10" s="1"/>
  <c r="N234" i="10"/>
  <c r="S48" i="12"/>
  <c r="M48" i="12" s="1"/>
  <c r="S83" i="12"/>
  <c r="M83" i="12" s="1"/>
  <c r="H142" i="10"/>
  <c r="S59" i="12"/>
  <c r="M59" i="12" s="1"/>
  <c r="T25" i="12" a="1"/>
  <c r="T25" i="12" s="1"/>
  <c r="T14" i="12"/>
  <c r="P259" i="10"/>
  <c r="P260" i="10"/>
  <c r="D12" i="12"/>
  <c r="D23" i="12" a="1"/>
  <c r="D23" i="12" s="1"/>
  <c r="S161" i="12"/>
  <c r="M161" i="12" s="1"/>
  <c r="S75" i="12"/>
  <c r="M75" i="12" s="1"/>
  <c r="S93" i="12"/>
  <c r="M93" i="12" s="1"/>
  <c r="S69" i="12"/>
  <c r="M69" i="12" s="1"/>
  <c r="S50" i="12"/>
  <c r="M50" i="12" s="1"/>
  <c r="R60" i="12"/>
  <c r="S60" i="12" s="1"/>
  <c r="T13" i="12"/>
  <c r="T24" i="12" a="1"/>
  <c r="T24" i="12" s="1"/>
  <c r="N36" i="10"/>
  <c r="S164" i="12"/>
  <c r="M164" i="12" s="1"/>
  <c r="I118" i="10"/>
  <c r="L154" i="12"/>
  <c r="S77" i="12"/>
  <c r="M77" i="12" s="1"/>
  <c r="S89" i="12"/>
  <c r="M89" i="12" s="1"/>
  <c r="P143" i="10"/>
  <c r="M63" i="12"/>
  <c r="K38" i="10"/>
  <c r="I116" i="10"/>
  <c r="J111" i="10" s="1"/>
  <c r="I11" i="12"/>
  <c r="I22" i="12" a="1"/>
  <c r="I22" i="12" s="1"/>
  <c r="N77" i="10"/>
  <c r="N27" i="10"/>
  <c r="N180" i="10"/>
  <c r="P205" i="10"/>
  <c r="P204" i="10"/>
  <c r="P206" i="10"/>
  <c r="P216" i="10" s="1"/>
  <c r="P180" i="10" s="1"/>
  <c r="P158" i="10"/>
  <c r="F24" i="12" a="1"/>
  <c r="F24" i="12" s="1"/>
  <c r="F13" i="12"/>
  <c r="N207" i="10"/>
  <c r="P103" i="10"/>
  <c r="P102" i="10"/>
  <c r="P104" i="10"/>
  <c r="S55" i="12"/>
  <c r="M55" i="12" s="1"/>
  <c r="U8" i="12"/>
  <c r="U19" i="12" a="1"/>
  <c r="U19" i="12" s="1"/>
  <c r="G159" i="10"/>
  <c r="G150" i="10"/>
  <c r="O215" i="10"/>
  <c r="S84" i="12"/>
  <c r="M84" i="12" s="1"/>
  <c r="S86" i="12"/>
  <c r="M86" i="12" s="1"/>
  <c r="P244" i="10"/>
  <c r="P245" i="10"/>
  <c r="H124" i="10"/>
  <c r="I120" i="10" s="1"/>
  <c r="F19" i="12" l="1" a="1"/>
  <c r="F19" i="12" s="1"/>
  <c r="D20" i="12" a="1"/>
  <c r="D20" i="12" s="1"/>
  <c r="O234" i="10"/>
  <c r="O189" i="10"/>
  <c r="F22" i="12" a="1"/>
  <c r="F22" i="12" s="1"/>
  <c r="C19" i="12" a="1"/>
  <c r="C19" i="12" s="1"/>
  <c r="O77" i="10"/>
  <c r="E10" i="12"/>
  <c r="G14" i="12"/>
  <c r="N38" i="10"/>
  <c r="O233" i="10"/>
  <c r="P229" i="10" s="1"/>
  <c r="O94" i="10"/>
  <c r="I10" i="12"/>
  <c r="G21" i="12" a="1"/>
  <c r="G21" i="12" s="1"/>
  <c r="O83" i="10"/>
  <c r="O87" i="10" s="1"/>
  <c r="E23" i="12" a="1"/>
  <c r="E23" i="12" s="1"/>
  <c r="E12" i="12"/>
  <c r="O36" i="10"/>
  <c r="O33" i="10"/>
  <c r="O35" i="10" s="1"/>
  <c r="O132" i="10"/>
  <c r="O128" i="10"/>
  <c r="O131" i="10"/>
  <c r="P127" i="10" s="1"/>
  <c r="U25" i="12" a="1"/>
  <c r="U25" i="12" s="1"/>
  <c r="O196" i="10"/>
  <c r="P215" i="10"/>
  <c r="P195" i="10"/>
  <c r="D195" i="10" s="1"/>
  <c r="U22" i="12" a="1"/>
  <c r="U22" i="12" s="1"/>
  <c r="P232" i="10"/>
  <c r="P235" i="10" s="1"/>
  <c r="P186" i="10" s="1"/>
  <c r="D186" i="10" s="1"/>
  <c r="J226" i="10"/>
  <c r="K222" i="10" s="1"/>
  <c r="D13" i="12"/>
  <c r="D24" i="12" a="1"/>
  <c r="D24" i="12" s="1"/>
  <c r="P224" i="10"/>
  <c r="H262" i="10"/>
  <c r="H263" i="10" s="1"/>
  <c r="I258" i="10" s="1"/>
  <c r="O207" i="10"/>
  <c r="E20" i="12" a="1"/>
  <c r="E20" i="12" s="1"/>
  <c r="E9" i="12"/>
  <c r="F23" i="12" a="1"/>
  <c r="F23" i="12" s="1"/>
  <c r="F12" i="12"/>
  <c r="C13" i="12"/>
  <c r="C24" i="12" a="1"/>
  <c r="C24" i="12" s="1"/>
  <c r="I251" i="10"/>
  <c r="I249" i="10"/>
  <c r="I248" i="10"/>
  <c r="J243" i="10" s="1"/>
  <c r="H12" i="12"/>
  <c r="H23" i="12" a="1"/>
  <c r="H23" i="12" s="1"/>
  <c r="G267" i="10"/>
  <c r="G194" i="10" s="1"/>
  <c r="G198" i="10" s="1"/>
  <c r="G179" i="10"/>
  <c r="G182" i="10" s="1"/>
  <c r="P93" i="10"/>
  <c r="D93" i="10" s="1"/>
  <c r="J238" i="10"/>
  <c r="J239" i="10" s="1"/>
  <c r="J227" i="10"/>
  <c r="K220" i="10"/>
  <c r="K217" i="10"/>
  <c r="M60" i="12"/>
  <c r="E19" i="12" s="1" a="1"/>
  <c r="E19" i="12" s="1"/>
  <c r="H11" i="12"/>
  <c r="H22" i="12" a="1"/>
  <c r="H22" i="12" s="1"/>
  <c r="H24" i="12" a="1"/>
  <c r="H24" i="12" s="1"/>
  <c r="H13" i="12"/>
  <c r="U24" i="12" a="1"/>
  <c r="U24" i="12" s="1"/>
  <c r="U13" i="12"/>
  <c r="I9" i="12"/>
  <c r="I20" i="12" a="1"/>
  <c r="I20" i="12" s="1"/>
  <c r="C10" i="12"/>
  <c r="C21" i="12" a="1"/>
  <c r="C21" i="12" s="1"/>
  <c r="D14" i="12"/>
  <c r="D25" i="12" a="1"/>
  <c r="D25" i="12" s="1"/>
  <c r="C23" i="12" a="1"/>
  <c r="C23" i="12" s="1"/>
  <c r="C12" i="12"/>
  <c r="I25" i="12" a="1"/>
  <c r="I25" i="12" s="1"/>
  <c r="I14" i="12"/>
  <c r="F10" i="12"/>
  <c r="F21" i="12" a="1"/>
  <c r="F21" i="12" s="1"/>
  <c r="G11" i="12"/>
  <c r="G22" i="12" a="1"/>
  <c r="G22" i="12" s="1"/>
  <c r="I12" i="12"/>
  <c r="I23" i="12" a="1"/>
  <c r="I23" i="12" s="1"/>
  <c r="M35" i="10"/>
  <c r="M163" i="12"/>
  <c r="G20" i="12" a="1"/>
  <c r="G20" i="12" s="1"/>
  <c r="G9" i="12"/>
  <c r="H25" i="12" a="1"/>
  <c r="H25" i="12" s="1"/>
  <c r="H14" i="12"/>
  <c r="J113" i="10"/>
  <c r="J118" i="10" s="1"/>
  <c r="T10" i="12"/>
  <c r="T21" i="12" a="1"/>
  <c r="T21" i="12" s="1"/>
  <c r="M160" i="12"/>
  <c r="G8" i="12"/>
  <c r="G19" i="12" a="1"/>
  <c r="G19" i="12" s="1"/>
  <c r="S47" i="12"/>
  <c r="M47" i="12" s="1"/>
  <c r="F9" i="12"/>
  <c r="F20" i="12" a="1"/>
  <c r="F20" i="12" s="1"/>
  <c r="I13" i="12"/>
  <c r="I24" i="12" a="1"/>
  <c r="I24" i="12" s="1"/>
  <c r="P114" i="10"/>
  <c r="H10" i="12"/>
  <c r="H21" i="12" a="1"/>
  <c r="H21" i="12" s="1"/>
  <c r="D21" i="12" a="1"/>
  <c r="D21" i="12" s="1"/>
  <c r="D10" i="12"/>
  <c r="G151" i="10"/>
  <c r="H19" i="12" a="1"/>
  <c r="H19" i="12" s="1"/>
  <c r="H8" i="12"/>
  <c r="E11" i="12"/>
  <c r="E22" i="12" a="1"/>
  <c r="E22" i="12" s="1"/>
  <c r="H137" i="10"/>
  <c r="H145" i="10" s="1"/>
  <c r="I136" i="10"/>
  <c r="I125" i="10"/>
  <c r="F208" i="10"/>
  <c r="F209" i="10"/>
  <c r="E14" i="12"/>
  <c r="E25" i="12" a="1"/>
  <c r="E25" i="12" s="1"/>
  <c r="P129" i="10"/>
  <c r="D180" i="10"/>
  <c r="P122" i="10"/>
  <c r="I121" i="10"/>
  <c r="I124" i="10" s="1"/>
  <c r="J120" i="10" s="1"/>
  <c r="P130" i="10"/>
  <c r="F106" i="10"/>
  <c r="F107" i="10"/>
  <c r="I144" i="10"/>
  <c r="I112" i="10"/>
  <c r="U10" i="12"/>
  <c r="U21" i="12" a="1"/>
  <c r="U21" i="12" s="1"/>
  <c r="C25" i="12" a="1"/>
  <c r="C25" i="12" s="1"/>
  <c r="C14" i="12"/>
  <c r="P231" i="10"/>
  <c r="G13" i="12"/>
  <c r="G24" i="12" a="1"/>
  <c r="G24" i="12" s="1"/>
  <c r="D19" i="12" a="1"/>
  <c r="D19" i="12" s="1"/>
  <c r="D8" i="12"/>
  <c r="F14" i="12"/>
  <c r="F25" i="12" a="1"/>
  <c r="F25" i="12" s="1"/>
  <c r="O38" i="10" l="1"/>
  <c r="P207" i="10"/>
  <c r="H266" i="10"/>
  <c r="H179" i="10" s="1"/>
  <c r="H182" i="10" s="1"/>
  <c r="P230" i="10"/>
  <c r="F230" i="10" s="1"/>
  <c r="H264" i="10"/>
  <c r="E8" i="12"/>
  <c r="K218" i="10"/>
  <c r="L213" i="10" s="1"/>
  <c r="K225" i="10"/>
  <c r="K219" i="10"/>
  <c r="P196" i="10"/>
  <c r="D196" i="10" s="1"/>
  <c r="K246" i="10"/>
  <c r="K214" i="10"/>
  <c r="I261" i="10"/>
  <c r="I252" i="10"/>
  <c r="I253" i="10" s="1"/>
  <c r="I254" i="10" s="1"/>
  <c r="J247" i="10"/>
  <c r="G268" i="10"/>
  <c r="G269" i="10" s="1"/>
  <c r="J144" i="10"/>
  <c r="J112" i="10"/>
  <c r="C9" i="12"/>
  <c r="C20" i="12" a="1"/>
  <c r="C20" i="12" s="1"/>
  <c r="J121" i="10"/>
  <c r="H149" i="10"/>
  <c r="H147" i="10"/>
  <c r="H146" i="10"/>
  <c r="I141" i="10" s="1"/>
  <c r="U23" i="12" a="1"/>
  <c r="U23" i="12" s="1"/>
  <c r="U12" i="12"/>
  <c r="M38" i="10"/>
  <c r="J115" i="10"/>
  <c r="P233" i="10"/>
  <c r="P77" i="10"/>
  <c r="P27" i="10"/>
  <c r="U20" i="12" a="1"/>
  <c r="U20" i="12" s="1"/>
  <c r="U9" i="12"/>
  <c r="P94" i="10"/>
  <c r="P187" i="10"/>
  <c r="P234" i="10"/>
  <c r="E234" i="10" s="1"/>
  <c r="P48" i="10"/>
  <c r="P85" i="10"/>
  <c r="P36" i="10"/>
  <c r="P132" i="10"/>
  <c r="E132" i="10" s="1"/>
  <c r="P133" i="10"/>
  <c r="P128" i="10"/>
  <c r="F128" i="10" s="1"/>
  <c r="P131" i="10"/>
  <c r="I137" i="10"/>
  <c r="G152" i="10"/>
  <c r="G160" i="10" s="1"/>
  <c r="H267" i="10" l="1"/>
  <c r="H194" i="10" s="1"/>
  <c r="H198" i="10" s="1"/>
  <c r="I262" i="10"/>
  <c r="I263" i="10" s="1"/>
  <c r="J258" i="10" s="1"/>
  <c r="L220" i="10"/>
  <c r="L217" i="10"/>
  <c r="K227" i="10"/>
  <c r="K226" i="10"/>
  <c r="L222" i="10" s="1"/>
  <c r="K238" i="10"/>
  <c r="K239" i="10" s="1"/>
  <c r="L218" i="10"/>
  <c r="M213" i="10" s="1"/>
  <c r="M217" i="10" s="1"/>
  <c r="M218" i="10" s="1"/>
  <c r="N213" i="10" s="1"/>
  <c r="J251" i="10"/>
  <c r="J249" i="10"/>
  <c r="J248" i="10"/>
  <c r="K243" i="10" s="1"/>
  <c r="G164" i="10"/>
  <c r="G161" i="10"/>
  <c r="H156" i="10" s="1"/>
  <c r="G162" i="10"/>
  <c r="D85" i="10"/>
  <c r="H150" i="10"/>
  <c r="H159" i="10"/>
  <c r="D27" i="10"/>
  <c r="D94" i="10"/>
  <c r="D77" i="10"/>
  <c r="J123" i="10"/>
  <c r="J117" i="10"/>
  <c r="D48" i="10"/>
  <c r="D187" i="10"/>
  <c r="P189" i="10"/>
  <c r="D189" i="10" s="1"/>
  <c r="J116" i="10"/>
  <c r="K111" i="10" s="1"/>
  <c r="P33" i="10"/>
  <c r="P83" i="10"/>
  <c r="D83" i="10" s="1"/>
  <c r="P105" i="10"/>
  <c r="D36" i="10"/>
  <c r="I142" i="10"/>
  <c r="I145" i="10" s="1"/>
  <c r="H268" i="10" l="1"/>
  <c r="H269" i="10" s="1"/>
  <c r="I264" i="10"/>
  <c r="I266" i="10"/>
  <c r="I267" i="10" s="1"/>
  <c r="I194" i="10" s="1"/>
  <c r="I198" i="10" s="1"/>
  <c r="K247" i="10"/>
  <c r="K248" i="10" s="1"/>
  <c r="L243" i="10" s="1"/>
  <c r="L219" i="10"/>
  <c r="L225" i="10"/>
  <c r="L226" i="10" s="1"/>
  <c r="M222" i="10" s="1"/>
  <c r="J252" i="10"/>
  <c r="J253" i="10" s="1"/>
  <c r="J254" i="10" s="1"/>
  <c r="J261" i="10"/>
  <c r="M220" i="10"/>
  <c r="M214" i="10" s="1"/>
  <c r="K249" i="10"/>
  <c r="L246" i="10"/>
  <c r="L214" i="10"/>
  <c r="I149" i="10"/>
  <c r="I147" i="10"/>
  <c r="N217" i="10"/>
  <c r="N218" i="10" s="1"/>
  <c r="O213" i="10" s="1"/>
  <c r="N220" i="10"/>
  <c r="H157" i="10"/>
  <c r="M225" i="10"/>
  <c r="M219" i="10"/>
  <c r="P35" i="10"/>
  <c r="D33" i="10"/>
  <c r="K113" i="10"/>
  <c r="K118" i="10" s="1"/>
  <c r="P87" i="10"/>
  <c r="D87" i="10" s="1"/>
  <c r="D190" i="10"/>
  <c r="D188" i="10"/>
  <c r="I146" i="10"/>
  <c r="J141" i="10" s="1"/>
  <c r="D88" i="10"/>
  <c r="D86" i="10"/>
  <c r="J136" i="10"/>
  <c r="J125" i="10"/>
  <c r="J124" i="10"/>
  <c r="K120" i="10" s="1"/>
  <c r="T8" i="1"/>
  <c r="G165" i="10"/>
  <c r="G92" i="10" s="1"/>
  <c r="G76" i="10"/>
  <c r="H151" i="10"/>
  <c r="I268" i="10" l="1"/>
  <c r="I269" i="10" s="1"/>
  <c r="I179" i="10"/>
  <c r="I182" i="10" s="1"/>
  <c r="J262" i="10"/>
  <c r="J264" i="10" s="1"/>
  <c r="K251" i="10"/>
  <c r="K252" i="10" s="1"/>
  <c r="M246" i="10"/>
  <c r="G166" i="10"/>
  <c r="G167" i="10" s="1"/>
  <c r="K115" i="10"/>
  <c r="K116" i="10" s="1"/>
  <c r="L111" i="10" s="1"/>
  <c r="L238" i="10"/>
  <c r="L239" i="10" s="1"/>
  <c r="L247" i="10" s="1"/>
  <c r="L249" i="10" s="1"/>
  <c r="L227" i="10"/>
  <c r="K144" i="10"/>
  <c r="K112" i="10"/>
  <c r="K121" i="10"/>
  <c r="H152" i="10"/>
  <c r="H160" i="10" s="1"/>
  <c r="G46" i="10"/>
  <c r="G96" i="10"/>
  <c r="M238" i="10"/>
  <c r="M227" i="10"/>
  <c r="M226" i="10"/>
  <c r="N222" i="10" s="1"/>
  <c r="J142" i="10"/>
  <c r="J137" i="10"/>
  <c r="K117" i="10"/>
  <c r="N246" i="10"/>
  <c r="N214" i="10"/>
  <c r="O220" i="10"/>
  <c r="O217" i="10"/>
  <c r="O218" i="10" s="1"/>
  <c r="P213" i="10" s="1"/>
  <c r="N225" i="10"/>
  <c r="N219" i="10"/>
  <c r="G26" i="10"/>
  <c r="G79" i="10"/>
  <c r="K253" i="10"/>
  <c r="D35" i="10"/>
  <c r="P38" i="10"/>
  <c r="D38" i="10" s="1"/>
  <c r="C23" i="16" s="1"/>
  <c r="I159" i="10"/>
  <c r="I150" i="10"/>
  <c r="J266" i="10" l="1"/>
  <c r="J179" i="10" s="1"/>
  <c r="K123" i="10"/>
  <c r="K136" i="10" s="1"/>
  <c r="N226" i="10"/>
  <c r="O222" i="10" s="1"/>
  <c r="L248" i="10"/>
  <c r="M243" i="10" s="1"/>
  <c r="L251" i="10"/>
  <c r="L261" i="10" s="1"/>
  <c r="J263" i="10"/>
  <c r="K258" i="10" s="1"/>
  <c r="K261" i="10"/>
  <c r="K124" i="10"/>
  <c r="L120" i="10" s="1"/>
  <c r="L121" i="10" s="1"/>
  <c r="J145" i="10"/>
  <c r="J149" i="10" s="1"/>
  <c r="H164" i="10"/>
  <c r="H161" i="10"/>
  <c r="I156" i="10" s="1"/>
  <c r="H162" i="10"/>
  <c r="O246" i="10"/>
  <c r="O214" i="10"/>
  <c r="N238" i="10"/>
  <c r="N227" i="10"/>
  <c r="K125" i="10"/>
  <c r="P220" i="10"/>
  <c r="P217" i="10"/>
  <c r="K254" i="10"/>
  <c r="G29" i="10"/>
  <c r="G50" i="10"/>
  <c r="L113" i="10"/>
  <c r="L115" i="10" s="1"/>
  <c r="J267" i="10"/>
  <c r="J194" i="10" s="1"/>
  <c r="I151" i="10"/>
  <c r="M239" i="10"/>
  <c r="D37" i="10"/>
  <c r="D39" i="10"/>
  <c r="C24" i="16" s="1"/>
  <c r="O225" i="10"/>
  <c r="O226" i="10" s="1"/>
  <c r="P222" i="10" s="1"/>
  <c r="O219" i="10"/>
  <c r="L252" i="10" l="1"/>
  <c r="L253" i="10" s="1"/>
  <c r="L254" i="10" s="1"/>
  <c r="K262" i="10"/>
  <c r="K266" i="10" s="1"/>
  <c r="M247" i="10"/>
  <c r="M248" i="10" s="1"/>
  <c r="N243" i="10" s="1"/>
  <c r="J146" i="10"/>
  <c r="K141" i="10" s="1"/>
  <c r="K142" i="10" s="1"/>
  <c r="J147" i="10"/>
  <c r="L123" i="10"/>
  <c r="L117" i="10"/>
  <c r="L116" i="10"/>
  <c r="M111" i="10" s="1"/>
  <c r="K264" i="10"/>
  <c r="K263" i="10"/>
  <c r="L258" i="10" s="1"/>
  <c r="P246" i="10"/>
  <c r="P214" i="10"/>
  <c r="F214" i="10" s="1"/>
  <c r="N239" i="10"/>
  <c r="P225" i="10"/>
  <c r="P226" i="10" s="1"/>
  <c r="P219" i="10"/>
  <c r="E219" i="10" s="1"/>
  <c r="L118" i="10"/>
  <c r="I152" i="10"/>
  <c r="J159" i="10"/>
  <c r="J150" i="10"/>
  <c r="M251" i="10"/>
  <c r="M249" i="10"/>
  <c r="J182" i="10"/>
  <c r="P218" i="10"/>
  <c r="J268" i="10"/>
  <c r="J269" i="10" s="1"/>
  <c r="K137" i="10"/>
  <c r="I157" i="10"/>
  <c r="O227" i="10"/>
  <c r="O238" i="10"/>
  <c r="J198" i="10"/>
  <c r="H165" i="10"/>
  <c r="H92" i="10" s="1"/>
  <c r="H76" i="10"/>
  <c r="N247" i="10" l="1"/>
  <c r="N248" i="10" s="1"/>
  <c r="O243" i="10" s="1"/>
  <c r="I160" i="10"/>
  <c r="I161" i="10" s="1"/>
  <c r="J156" i="10" s="1"/>
  <c r="K145" i="10"/>
  <c r="K149" i="10" s="1"/>
  <c r="K147" i="10"/>
  <c r="K146" i="10"/>
  <c r="L141" i="10" s="1"/>
  <c r="H26" i="10"/>
  <c r="H79" i="10"/>
  <c r="L262" i="10"/>
  <c r="K267" i="10"/>
  <c r="K194" i="10" s="1"/>
  <c r="K179" i="10"/>
  <c r="N251" i="10"/>
  <c r="N249" i="10"/>
  <c r="L144" i="10"/>
  <c r="L112" i="10"/>
  <c r="H46" i="10"/>
  <c r="H96" i="10"/>
  <c r="M261" i="10"/>
  <c r="M252" i="10"/>
  <c r="H166" i="10"/>
  <c r="H167" i="10" s="1"/>
  <c r="P238" i="10"/>
  <c r="P227" i="10"/>
  <c r="E227" i="10" s="1"/>
  <c r="M113" i="10"/>
  <c r="O239" i="10"/>
  <c r="O247" i="10" s="1"/>
  <c r="J151" i="10"/>
  <c r="L136" i="10"/>
  <c r="L125" i="10"/>
  <c r="L124" i="10"/>
  <c r="M120" i="10" s="1"/>
  <c r="I162" i="10" l="1"/>
  <c r="I164" i="10"/>
  <c r="M115" i="10"/>
  <c r="M116" i="10" s="1"/>
  <c r="N111" i="10" s="1"/>
  <c r="N113" i="10" s="1"/>
  <c r="N118" i="10" s="1"/>
  <c r="O251" i="10"/>
  <c r="O249" i="10"/>
  <c r="O248" i="10"/>
  <c r="P243" i="10" s="1"/>
  <c r="P239" i="10"/>
  <c r="K198" i="10"/>
  <c r="N252" i="10"/>
  <c r="N253" i="10" s="1"/>
  <c r="N261" i="10"/>
  <c r="M123" i="10"/>
  <c r="M117" i="10"/>
  <c r="M118" i="10"/>
  <c r="J157" i="10"/>
  <c r="L137" i="10"/>
  <c r="J152" i="10"/>
  <c r="K182" i="10"/>
  <c r="K268" i="10"/>
  <c r="K269" i="10" s="1"/>
  <c r="L266" i="10"/>
  <c r="L264" i="10"/>
  <c r="H29" i="10"/>
  <c r="L142" i="10"/>
  <c r="M253" i="10"/>
  <c r="K150" i="10"/>
  <c r="K151" i="10" s="1"/>
  <c r="K159" i="10"/>
  <c r="M121" i="10"/>
  <c r="H50" i="10"/>
  <c r="L263" i="10"/>
  <c r="M258" i="10" s="1"/>
  <c r="I165" i="10"/>
  <c r="I92" i="10" s="1"/>
  <c r="I76" i="10"/>
  <c r="L145" i="10" l="1"/>
  <c r="L149" i="10" s="1"/>
  <c r="L159" i="10" s="1"/>
  <c r="I166" i="10"/>
  <c r="I167" i="10" s="1"/>
  <c r="J160" i="10"/>
  <c r="J164" i="10" s="1"/>
  <c r="N254" i="10"/>
  <c r="K152" i="10"/>
  <c r="N144" i="10"/>
  <c r="N112" i="10"/>
  <c r="I46" i="10"/>
  <c r="I96" i="10"/>
  <c r="L267" i="10"/>
  <c r="L194" i="10" s="1"/>
  <c r="L179" i="10"/>
  <c r="L150" i="10"/>
  <c r="L151" i="10" s="1"/>
  <c r="M254" i="10"/>
  <c r="M262" i="10" s="1"/>
  <c r="M144" i="10"/>
  <c r="M112" i="10"/>
  <c r="M125" i="10"/>
  <c r="M136" i="10"/>
  <c r="P247" i="10"/>
  <c r="P248" i="10" s="1"/>
  <c r="M124" i="10"/>
  <c r="N120" i="10" s="1"/>
  <c r="N115" i="10"/>
  <c r="N116" i="10" s="1"/>
  <c r="O111" i="10" s="1"/>
  <c r="O252" i="10"/>
  <c r="O253" i="10" s="1"/>
  <c r="O261" i="10"/>
  <c r="I26" i="10"/>
  <c r="I79" i="10"/>
  <c r="L146" i="10" l="1"/>
  <c r="M141" i="10" s="1"/>
  <c r="M142" i="10" s="1"/>
  <c r="L147" i="10"/>
  <c r="J161" i="10"/>
  <c r="K156" i="10" s="1"/>
  <c r="K157" i="10" s="1"/>
  <c r="K160" i="10" s="1"/>
  <c r="J162" i="10"/>
  <c r="O113" i="10"/>
  <c r="O115" i="10" s="1"/>
  <c r="M266" i="10"/>
  <c r="M264" i="10"/>
  <c r="M263" i="10"/>
  <c r="N258" i="10" s="1"/>
  <c r="L152" i="10"/>
  <c r="L268" i="10"/>
  <c r="L269" i="10" s="1"/>
  <c r="O254" i="10"/>
  <c r="L198" i="10"/>
  <c r="N121" i="10"/>
  <c r="N123" i="10"/>
  <c r="N117" i="10"/>
  <c r="L182" i="10"/>
  <c r="P251" i="10"/>
  <c r="P249" i="10"/>
  <c r="E249" i="10" s="1"/>
  <c r="J165" i="10"/>
  <c r="J92" i="10" s="1"/>
  <c r="J76" i="10"/>
  <c r="I50" i="10"/>
  <c r="M137" i="10"/>
  <c r="M145" i="10" s="1"/>
  <c r="M149" i="10" s="1"/>
  <c r="I29" i="10"/>
  <c r="N124" i="10" l="1"/>
  <c r="O120" i="10" s="1"/>
  <c r="O121" i="10" s="1"/>
  <c r="J166" i="10"/>
  <c r="J167" i="10" s="1"/>
  <c r="O116" i="10"/>
  <c r="P111" i="10" s="1"/>
  <c r="P113" i="10" s="1"/>
  <c r="P118" i="10" s="1"/>
  <c r="J46" i="10"/>
  <c r="J96" i="10"/>
  <c r="P252" i="10"/>
  <c r="P261" i="10"/>
  <c r="K164" i="10"/>
  <c r="K162" i="10"/>
  <c r="M159" i="10"/>
  <c r="M150" i="10"/>
  <c r="M151" i="10" s="1"/>
  <c r="M146" i="10"/>
  <c r="N141" i="10" s="1"/>
  <c r="K161" i="10"/>
  <c r="L156" i="10" s="1"/>
  <c r="M267" i="10"/>
  <c r="M194" i="10" s="1"/>
  <c r="M198" i="10" s="1"/>
  <c r="M179" i="10"/>
  <c r="M182" i="10" s="1"/>
  <c r="O123" i="10"/>
  <c r="O117" i="10"/>
  <c r="O118" i="10"/>
  <c r="N262" i="10"/>
  <c r="N263" i="10" s="1"/>
  <c r="O258" i="10" s="1"/>
  <c r="J26" i="10"/>
  <c r="J79" i="10"/>
  <c r="N136" i="10"/>
  <c r="N125" i="10"/>
  <c r="M147" i="10"/>
  <c r="P144" i="10" l="1"/>
  <c r="P112" i="10"/>
  <c r="N137" i="10"/>
  <c r="O136" i="10"/>
  <c r="O125" i="10"/>
  <c r="P253" i="10"/>
  <c r="K165" i="10"/>
  <c r="K92" i="10" s="1"/>
  <c r="K76" i="10"/>
  <c r="J29" i="10"/>
  <c r="O262" i="10"/>
  <c r="O263" i="10" s="1"/>
  <c r="P258" i="10" s="1"/>
  <c r="N142" i="10"/>
  <c r="N145" i="10" s="1"/>
  <c r="M152" i="10"/>
  <c r="M268" i="10"/>
  <c r="M269" i="10" s="1"/>
  <c r="L157" i="10"/>
  <c r="N266" i="10"/>
  <c r="N264" i="10"/>
  <c r="O124" i="10"/>
  <c r="P120" i="10" s="1"/>
  <c r="J50" i="10"/>
  <c r="O144" i="10"/>
  <c r="O112" i="10"/>
  <c r="P115" i="10"/>
  <c r="P116" i="10" s="1"/>
  <c r="N149" i="10" l="1"/>
  <c r="N147" i="10"/>
  <c r="N146" i="10"/>
  <c r="O141" i="10" s="1"/>
  <c r="O266" i="10"/>
  <c r="O264" i="10"/>
  <c r="K46" i="10"/>
  <c r="K96" i="10"/>
  <c r="P121" i="10"/>
  <c r="P254" i="10"/>
  <c r="P262" i="10" s="1"/>
  <c r="P263" i="10" s="1"/>
  <c r="O137" i="10"/>
  <c r="P123" i="10"/>
  <c r="P117" i="10"/>
  <c r="E117" i="10" s="1"/>
  <c r="L160" i="10"/>
  <c r="K26" i="10"/>
  <c r="K79" i="10"/>
  <c r="F112" i="10"/>
  <c r="N267" i="10"/>
  <c r="N194" i="10" s="1"/>
  <c r="N198" i="10" s="1"/>
  <c r="N268" i="10"/>
  <c r="N269" i="10" s="1"/>
  <c r="N179" i="10"/>
  <c r="N182" i="10" s="1"/>
  <c r="K166" i="10"/>
  <c r="K167" i="10" s="1"/>
  <c r="P124" i="10" l="1"/>
  <c r="L164" i="10"/>
  <c r="L162" i="10"/>
  <c r="C32" i="16"/>
  <c r="K50" i="10"/>
  <c r="O142" i="10"/>
  <c r="O145" i="10" s="1"/>
  <c r="L161" i="10"/>
  <c r="M156" i="10" s="1"/>
  <c r="P266" i="10"/>
  <c r="P264" i="10"/>
  <c r="E264" i="10" s="1"/>
  <c r="N12" i="1"/>
  <c r="K29" i="12"/>
  <c r="C18" i="16"/>
  <c r="K29" i="10"/>
  <c r="P136" i="10"/>
  <c r="P125" i="10"/>
  <c r="E125" i="10" s="1"/>
  <c r="O267" i="10"/>
  <c r="O194" i="10" s="1"/>
  <c r="O198" i="10" s="1"/>
  <c r="O179" i="10"/>
  <c r="O182" i="10" s="1"/>
  <c r="N159" i="10"/>
  <c r="N150" i="10"/>
  <c r="O146" i="10" l="1"/>
  <c r="P141" i="10" s="1"/>
  <c r="P142" i="10" s="1"/>
  <c r="P137" i="10"/>
  <c r="M157" i="10"/>
  <c r="M160" i="10" s="1"/>
  <c r="N151" i="10"/>
  <c r="P267" i="10"/>
  <c r="P194" i="10" s="1"/>
  <c r="P179" i="10"/>
  <c r="O149" i="10"/>
  <c r="O147" i="10"/>
  <c r="O268" i="10"/>
  <c r="O269" i="10" s="1"/>
  <c r="L165" i="10"/>
  <c r="L92" i="10" s="1"/>
  <c r="L76" i="10"/>
  <c r="P145" i="10" l="1"/>
  <c r="P149" i="10" s="1"/>
  <c r="M161" i="10"/>
  <c r="N156" i="10" s="1"/>
  <c r="N157" i="10" s="1"/>
  <c r="L166" i="10"/>
  <c r="L167" i="10" s="1"/>
  <c r="L46" i="10"/>
  <c r="L96" i="10"/>
  <c r="N152" i="10"/>
  <c r="L26" i="10"/>
  <c r="L79" i="10"/>
  <c r="O150" i="10"/>
  <c r="O151" i="10" s="1"/>
  <c r="O159" i="10"/>
  <c r="P198" i="10"/>
  <c r="D198" i="10" s="1"/>
  <c r="D194" i="10"/>
  <c r="M164" i="10"/>
  <c r="M162" i="10"/>
  <c r="P182" i="10"/>
  <c r="D182" i="10" s="1"/>
  <c r="D179" i="10"/>
  <c r="P268" i="10"/>
  <c r="P269" i="10" s="1"/>
  <c r="N160" i="10" l="1"/>
  <c r="N162" i="10" s="1"/>
  <c r="P146" i="10"/>
  <c r="P147" i="10"/>
  <c r="E147" i="10" s="1"/>
  <c r="N164" i="10"/>
  <c r="M165" i="10"/>
  <c r="M92" i="10" s="1"/>
  <c r="M76" i="10"/>
  <c r="D183" i="10"/>
  <c r="Q172" i="10"/>
  <c r="Q171" i="10" s="1"/>
  <c r="D181" i="10"/>
  <c r="L50" i="10"/>
  <c r="D197" i="10"/>
  <c r="D199" i="10"/>
  <c r="L29" i="10"/>
  <c r="O152" i="10"/>
  <c r="P159" i="10"/>
  <c r="P150" i="10"/>
  <c r="P151" i="10" s="1"/>
  <c r="N161" i="10" l="1"/>
  <c r="O156" i="10" s="1"/>
  <c r="P152" i="10"/>
  <c r="M26" i="10"/>
  <c r="M79" i="10"/>
  <c r="M46" i="10"/>
  <c r="M96" i="10"/>
  <c r="M166" i="10"/>
  <c r="M167" i="10" s="1"/>
  <c r="O157" i="10"/>
  <c r="O160" i="10" s="1"/>
  <c r="N165" i="10"/>
  <c r="N92" i="10" s="1"/>
  <c r="N76" i="10"/>
  <c r="N166" i="10" l="1"/>
  <c r="N167" i="10" s="1"/>
  <c r="O164" i="10"/>
  <c r="O162" i="10"/>
  <c r="O161" i="10"/>
  <c r="P156" i="10" s="1"/>
  <c r="M50" i="10"/>
  <c r="M29" i="10"/>
  <c r="N26" i="10"/>
  <c r="N79" i="10"/>
  <c r="N46" i="10"/>
  <c r="N96" i="10"/>
  <c r="N50" i="10" l="1"/>
  <c r="N29" i="10"/>
  <c r="P157" i="10"/>
  <c r="P160" i="10" s="1"/>
  <c r="O165" i="10"/>
  <c r="O92" i="10" s="1"/>
  <c r="O76" i="10"/>
  <c r="P164" i="10" l="1"/>
  <c r="P162" i="10"/>
  <c r="E162" i="10" s="1"/>
  <c r="P161" i="10"/>
  <c r="O26" i="10"/>
  <c r="O79" i="10"/>
  <c r="O46" i="10"/>
  <c r="O96" i="10"/>
  <c r="O166" i="10"/>
  <c r="O167" i="10" s="1"/>
  <c r="O50" i="10" l="1"/>
  <c r="O29" i="10"/>
  <c r="N13" i="1"/>
  <c r="P165" i="10"/>
  <c r="P92" i="10" s="1"/>
  <c r="P76" i="10"/>
  <c r="P166" i="10" l="1"/>
  <c r="P167" i="10" s="1"/>
  <c r="P26" i="10"/>
  <c r="P79" i="10"/>
  <c r="D79" i="10" s="1"/>
  <c r="D76" i="10"/>
  <c r="P46" i="10"/>
  <c r="P96" i="10"/>
  <c r="D96" i="10" s="1"/>
  <c r="D92" i="10"/>
  <c r="D95" i="10" l="1"/>
  <c r="D97" i="10"/>
  <c r="P50" i="10"/>
  <c r="D50" i="10" s="1"/>
  <c r="C30" i="16" s="1"/>
  <c r="D46" i="10"/>
  <c r="D78" i="10"/>
  <c r="Q69" i="10"/>
  <c r="Q68" i="10" s="1"/>
  <c r="D80" i="10"/>
  <c r="P29" i="10"/>
  <c r="D29" i="10" s="1"/>
  <c r="D26" i="10"/>
  <c r="S8" i="1" a="1"/>
  <c r="S8" i="1" s="1"/>
  <c r="R8" i="1" a="1"/>
  <c r="R8" i="1" s="1"/>
  <c r="M12" i="10" l="1"/>
  <c r="M9" i="10" s="1"/>
  <c r="D30" i="10"/>
  <c r="D28" i="10"/>
  <c r="D24" i="10"/>
  <c r="D43" i="10"/>
  <c r="D51" i="10"/>
  <c r="C31" i="16" s="1"/>
  <c r="D49" i="10"/>
  <c r="B7" i="12"/>
  <c r="N10" i="1"/>
  <c r="Q8" i="1" s="1"/>
  <c r="K7" i="12"/>
  <c r="C16" i="16"/>
  <c r="D42" i="10" l="1"/>
  <c r="D23" i="10"/>
  <c r="N11" i="1"/>
  <c r="P8" i="1" s="1"/>
  <c r="C17" i="16"/>
  <c r="K18" i="12"/>
  <c r="B18" i="12"/>
  <c r="F23" i="10" l="1"/>
  <c r="F24" i="10" s="1"/>
  <c r="D25" i="10"/>
  <c r="F42" i="10"/>
  <c r="F43" i="10" s="1"/>
  <c r="G23" i="10" l="1"/>
  <c r="H23" i="10" s="1"/>
  <c r="I23" i="10" s="1"/>
  <c r="J23" i="10" s="1"/>
  <c r="G42" i="10"/>
  <c r="H42" i="10" s="1"/>
  <c r="F25" i="10"/>
  <c r="F45" i="10" s="1"/>
  <c r="F44" i="10" s="1"/>
  <c r="D45" i="10"/>
  <c r="G24" i="10" l="1"/>
  <c r="G25" i="10" s="1"/>
  <c r="G45" i="10" s="1"/>
  <c r="G43" i="10"/>
  <c r="H43" i="10" s="1"/>
  <c r="I42" i="10"/>
  <c r="J42" i="10" s="1"/>
  <c r="K42" i="10" s="1"/>
  <c r="L42" i="10" s="1"/>
  <c r="M42" i="10" s="1"/>
  <c r="K23" i="10"/>
  <c r="L23" i="10" s="1"/>
  <c r="M23" i="10" s="1"/>
  <c r="N23" i="10" s="1"/>
  <c r="D44" i="10"/>
  <c r="H24" i="10" l="1"/>
  <c r="H25" i="10" s="1"/>
  <c r="H45" i="10" s="1"/>
  <c r="H44" i="10" s="1"/>
  <c r="I43" i="10"/>
  <c r="J43" i="10" s="1"/>
  <c r="K43" i="10" s="1"/>
  <c r="G44" i="10"/>
  <c r="O23" i="10"/>
  <c r="P23" i="10" s="1"/>
  <c r="C23" i="10" s="1"/>
  <c r="N42" i="10"/>
  <c r="O42" i="10" s="1"/>
  <c r="I24" i="10" l="1"/>
  <c r="I25" i="10" s="1"/>
  <c r="I45" i="10" s="1"/>
  <c r="I44" i="10" s="1"/>
  <c r="P42" i="10"/>
  <c r="C42" i="10" s="1"/>
  <c r="L43" i="10"/>
  <c r="M43" i="10" s="1"/>
  <c r="N43" i="10" s="1"/>
  <c r="O43" i="10" s="1"/>
  <c r="P43" i="10" l="1"/>
  <c r="C43" i="10" s="1"/>
  <c r="J24" i="10"/>
  <c r="J25" i="10" s="1"/>
  <c r="J45" i="10" s="1"/>
  <c r="J44" i="10" s="1"/>
  <c r="K24" i="10" l="1"/>
  <c r="K25" i="10" s="1"/>
  <c r="K45" i="10" s="1"/>
  <c r="K44" i="10" s="1"/>
  <c r="L24" i="10" l="1"/>
  <c r="L25" i="10" s="1"/>
  <c r="L45" i="10" s="1"/>
  <c r="L44" i="10" s="1"/>
  <c r="M24" i="10" l="1"/>
  <c r="M25" i="10" s="1"/>
  <c r="M45" i="10" s="1"/>
  <c r="M44" i="10" s="1"/>
  <c r="N24" i="10" l="1"/>
  <c r="N25" i="10" s="1"/>
  <c r="N45" i="10" s="1"/>
  <c r="N44" i="10" s="1"/>
  <c r="O24" i="10" l="1"/>
  <c r="O25" i="10" s="1"/>
  <c r="O45" i="10" s="1"/>
  <c r="O44" i="10" s="1"/>
  <c r="P24" i="10" l="1"/>
  <c r="P25" i="10" s="1"/>
  <c r="C24" i="10" l="1"/>
  <c r="C25" i="10"/>
  <c r="P45" i="10"/>
  <c r="P44" i="10" l="1"/>
  <c r="C44" i="10" s="1"/>
  <c r="C45" i="10"/>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<sst xmlns="http://schemas.openxmlformats.org/spreadsheetml/2006/main" count="1402" uniqueCount="804">
  <si>
    <t>INPUTS</t>
  </si>
  <si>
    <t>Property</t>
  </si>
  <si>
    <t>Address</t>
  </si>
  <si>
    <t>Keys</t>
  </si>
  <si>
    <t>Year Built</t>
  </si>
  <si>
    <t>Franchise/Brand</t>
  </si>
  <si>
    <t>Acquisition Assumptions</t>
  </si>
  <si>
    <t>Acquisition Fee</t>
  </si>
  <si>
    <t>Transfer Tax</t>
  </si>
  <si>
    <t>Closing Costs</t>
  </si>
  <si>
    <t>Senior Debt</t>
  </si>
  <si>
    <t>Term (Years)</t>
  </si>
  <si>
    <t>Interest Rate</t>
  </si>
  <si>
    <t>IO Period (Years)</t>
  </si>
  <si>
    <t>Financing Fees</t>
  </si>
  <si>
    <t>Stabilization Assumptions</t>
  </si>
  <si>
    <t>Exit Assumptions</t>
  </si>
  <si>
    <t xml:space="preserve">Asset Management Fee </t>
  </si>
  <si>
    <t>GP Fees</t>
  </si>
  <si>
    <t xml:space="preserve">Exit Calculator </t>
  </si>
  <si>
    <t>RRM</t>
  </si>
  <si>
    <t>Cap Rate</t>
  </si>
  <si>
    <t>Price Per Key</t>
  </si>
  <si>
    <t>Commission/Legal/Title</t>
  </si>
  <si>
    <t>Hold Period (Years)</t>
  </si>
  <si>
    <t>DIRTY P&amp;L</t>
  </si>
  <si>
    <t>INCOME</t>
  </si>
  <si>
    <t>Room Revenue</t>
  </si>
  <si>
    <t>Other Revenue</t>
  </si>
  <si>
    <t>Total Income</t>
  </si>
  <si>
    <t>Adjustments</t>
  </si>
  <si>
    <t>EXPENSES</t>
  </si>
  <si>
    <t xml:space="preserve">Description </t>
  </si>
  <si>
    <t>% of GR</t>
  </si>
  <si>
    <t>P&amp;L</t>
  </si>
  <si>
    <t>Year 1</t>
  </si>
  <si>
    <t>2024 T12</t>
  </si>
  <si>
    <t>Comments</t>
  </si>
  <si>
    <t>Total Expenses</t>
  </si>
  <si>
    <t>EBITDA</t>
  </si>
  <si>
    <t>Capital Reserves</t>
  </si>
  <si>
    <t>NOI</t>
  </si>
  <si>
    <t>ALLOCATION</t>
  </si>
  <si>
    <t>Code</t>
  </si>
  <si>
    <t>Departments</t>
  </si>
  <si>
    <t>Food &amp; Beverage</t>
  </si>
  <si>
    <t>Other Income</t>
  </si>
  <si>
    <t>RM</t>
  </si>
  <si>
    <t>OI</t>
  </si>
  <si>
    <t>Custom</t>
  </si>
  <si>
    <t>X</t>
  </si>
  <si>
    <t>MAKE ALL ADJUSTMENTS FOR PRIOR YEARS DIRECTLY IN THE COLUMN</t>
  </si>
  <si>
    <t>Rooms</t>
  </si>
  <si>
    <t xml:space="preserve">Other </t>
  </si>
  <si>
    <t>Administrative &amp; General</t>
  </si>
  <si>
    <t>Franchise Fees</t>
  </si>
  <si>
    <t>Utilities</t>
  </si>
  <si>
    <t>Property Operations &amp; Maintenance</t>
  </si>
  <si>
    <t>Property Taxes</t>
  </si>
  <si>
    <t>Insurance</t>
  </si>
  <si>
    <t>FF</t>
  </si>
  <si>
    <t>UT</t>
  </si>
  <si>
    <t>PM</t>
  </si>
  <si>
    <t>PR</t>
  </si>
  <si>
    <t>PT</t>
  </si>
  <si>
    <t>IN</t>
  </si>
  <si>
    <t>CLEAN P&amp;L</t>
  </si>
  <si>
    <t>Year</t>
  </si>
  <si>
    <t>TOTAL INCOME</t>
  </si>
  <si>
    <t>STR INPUT</t>
  </si>
  <si>
    <t>Subject</t>
  </si>
  <si>
    <t>Occupancy</t>
  </si>
  <si>
    <t>JAN</t>
  </si>
  <si>
    <t>FEB</t>
  </si>
  <si>
    <t>MAR</t>
  </si>
  <si>
    <t>APR</t>
  </si>
  <si>
    <t>MAY</t>
  </si>
  <si>
    <t>JUN</t>
  </si>
  <si>
    <t>JUL</t>
  </si>
  <si>
    <t>AUG</t>
  </si>
  <si>
    <t>SEP</t>
  </si>
  <si>
    <t>OCT</t>
  </si>
  <si>
    <t>DEC</t>
  </si>
  <si>
    <t>TOTAL</t>
  </si>
  <si>
    <t>Rooms Sold</t>
  </si>
  <si>
    <t>ADR</t>
  </si>
  <si>
    <t>RevPAR</t>
  </si>
  <si>
    <t>PROJECTIONS</t>
  </si>
  <si>
    <t>% Change</t>
  </si>
  <si>
    <t>Year 2</t>
  </si>
  <si>
    <t>Year 3</t>
  </si>
  <si>
    <t>Year 4</t>
  </si>
  <si>
    <t xml:space="preserve">Year 5 </t>
  </si>
  <si>
    <t>Year 6</t>
  </si>
  <si>
    <t>Year 7</t>
  </si>
  <si>
    <t>Year 8</t>
  </si>
  <si>
    <t xml:space="preserve">Year 9 </t>
  </si>
  <si>
    <t>Year 10</t>
  </si>
  <si>
    <t>Other Revenue &amp; Expenses</t>
  </si>
  <si>
    <t>Metric</t>
  </si>
  <si>
    <t>Food and Beverage</t>
  </si>
  <si>
    <t>Departmental Expenses</t>
  </si>
  <si>
    <t>% of Room Rev</t>
  </si>
  <si>
    <t>Undistributed Expenses</t>
  </si>
  <si>
    <t>Utility Costs</t>
  </si>
  <si>
    <t>Fixed Costs</t>
  </si>
  <si>
    <t>Front Desk</t>
  </si>
  <si>
    <t>Front Desk Manager</t>
  </si>
  <si>
    <t>House Keeping</t>
  </si>
  <si>
    <t>Kitchen</t>
  </si>
  <si>
    <t>Interest</t>
  </si>
  <si>
    <t>ASSUMPTIONS</t>
  </si>
  <si>
    <t>RESULTS</t>
  </si>
  <si>
    <t>Purchase Price</t>
  </si>
  <si>
    <t>Loan Payoff at Maturity</t>
  </si>
  <si>
    <t>LTV</t>
  </si>
  <si>
    <t>Interest + Fees Paid</t>
  </si>
  <si>
    <t>Down Payment</t>
  </si>
  <si>
    <t>Lender Yield</t>
  </si>
  <si>
    <t>Loan Amount</t>
  </si>
  <si>
    <t>Annual Debt Service</t>
  </si>
  <si>
    <t>Loan Fees</t>
  </si>
  <si>
    <t>Monthly PMT</t>
  </si>
  <si>
    <t>Fixed Interest Rate</t>
  </si>
  <si>
    <t>DSCR</t>
  </si>
  <si>
    <t>Amortization (Months)</t>
  </si>
  <si>
    <t>Loan Term (Months)</t>
  </si>
  <si>
    <t>INTEREST CALCULATION</t>
  </si>
  <si>
    <t>Interest-Only Period (Months)</t>
  </si>
  <si>
    <t>Method</t>
  </si>
  <si>
    <t>30/360</t>
  </si>
  <si>
    <t>Amortizing Payment</t>
  </si>
  <si>
    <t>Days in Year</t>
  </si>
  <si>
    <t>Interest-Only Payment</t>
  </si>
  <si>
    <t>Days in Month</t>
  </si>
  <si>
    <t>Period</t>
  </si>
  <si>
    <t>Date</t>
  </si>
  <si>
    <t>Days in Yr</t>
  </si>
  <si>
    <t>Days in Mo</t>
  </si>
  <si>
    <t>Start. Bal.</t>
  </si>
  <si>
    <t>Payment</t>
  </si>
  <si>
    <t>Principal</t>
  </si>
  <si>
    <t>Payoff</t>
  </si>
  <si>
    <t>End. Bal.</t>
  </si>
  <si>
    <t>Lender CF</t>
  </si>
  <si>
    <t/>
  </si>
  <si>
    <t>Refinance Loan</t>
  </si>
  <si>
    <t xml:space="preserve">Refinance Value </t>
  </si>
  <si>
    <t>Remaining Equity</t>
  </si>
  <si>
    <t xml:space="preserve">Refi Calculator </t>
  </si>
  <si>
    <t>Value</t>
  </si>
  <si>
    <t xml:space="preserve">Metric </t>
  </si>
  <si>
    <t>PIP Budget</t>
  </si>
  <si>
    <t>Interior</t>
  </si>
  <si>
    <t>Quantity</t>
  </si>
  <si>
    <t>Category</t>
  </si>
  <si>
    <t>Cost Per</t>
  </si>
  <si>
    <t>Description of Work to be Completed</t>
  </si>
  <si>
    <t>Budget</t>
  </si>
  <si>
    <t>TOTAL INTERIOR COSTS</t>
  </si>
  <si>
    <t>Exterior</t>
  </si>
  <si>
    <t>TOTAL EXTERIOR COSTS</t>
  </si>
  <si>
    <t>Sub-Total of Renovation Costs</t>
  </si>
  <si>
    <t>Reserves</t>
  </si>
  <si>
    <t>Construction Management Fee</t>
  </si>
  <si>
    <t xml:space="preserve">Simple Estimate Calculation </t>
  </si>
  <si>
    <t>Time to Complete (Months)</t>
  </si>
  <si>
    <t>TOTAL PIP COSTS</t>
  </si>
  <si>
    <t>Amortization (Years)</t>
  </si>
  <si>
    <t>Refi RRM</t>
  </si>
  <si>
    <t>Yes</t>
  </si>
  <si>
    <t>NO</t>
  </si>
  <si>
    <t>PIP Reserves %</t>
  </si>
  <si>
    <t>Property Summary</t>
  </si>
  <si>
    <t>Project Summary</t>
  </si>
  <si>
    <t>Returns Summary</t>
  </si>
  <si>
    <t xml:space="preserve">Total Equity </t>
  </si>
  <si>
    <t>Enter Investment Size --&gt;</t>
  </si>
  <si>
    <t>Hold Period</t>
  </si>
  <si>
    <t>Stabilized Yield on Cost</t>
  </si>
  <si>
    <t>Cash Flow</t>
  </si>
  <si>
    <t>Refi/Sale</t>
  </si>
  <si>
    <t>CapEx &amp; Reserves</t>
  </si>
  <si>
    <t>Acquisition Debt</t>
  </si>
  <si>
    <t>Net of Fees Returns</t>
  </si>
  <si>
    <t>Loan To Value</t>
  </si>
  <si>
    <t>Exterior &amp; Amenities</t>
  </si>
  <si>
    <t>Target Exit Price</t>
  </si>
  <si>
    <t>Interest Only Period</t>
  </si>
  <si>
    <t>Sponsorship Structure</t>
  </si>
  <si>
    <t>Key Assumptions</t>
  </si>
  <si>
    <t>Asset Management Fee</t>
  </si>
  <si>
    <t>IRR Hurdle</t>
  </si>
  <si>
    <t>Exit Cap Rate</t>
  </si>
  <si>
    <t>Promote</t>
  </si>
  <si>
    <t>Sources &amp; Uses</t>
  </si>
  <si>
    <t>Pro Forma</t>
  </si>
  <si>
    <t>Sponsor Equity</t>
  </si>
  <si>
    <t>SUMMARY</t>
  </si>
  <si>
    <t xml:space="preserve">PIP/Key Estimate </t>
  </si>
  <si>
    <t xml:space="preserve">PIP Total </t>
  </si>
  <si>
    <t>Franchise Assumptions</t>
  </si>
  <si>
    <t>Application Fee</t>
  </si>
  <si>
    <t>Change of Ownership PIP Cost</t>
  </si>
  <si>
    <t>Other Franchise Costs</t>
  </si>
  <si>
    <t>Refinance Assumptions</t>
  </si>
  <si>
    <t>Financing Fees - Payoff</t>
  </si>
  <si>
    <t>"Key Money" (Franchise)</t>
  </si>
  <si>
    <t>Error Check</t>
  </si>
  <si>
    <t>Total</t>
  </si>
  <si>
    <t>"Key Money"/Key</t>
  </si>
  <si>
    <t>Asking Price</t>
  </si>
  <si>
    <t xml:space="preserve">Payroll Calculator </t>
  </si>
  <si>
    <t>Assistant GM</t>
  </si>
  <si>
    <t>Maintenance</t>
  </si>
  <si>
    <t>Terminal RRM</t>
  </si>
  <si>
    <t>Property Management Fee</t>
  </si>
  <si>
    <t xml:space="preserve">Monthly Revenue Distribution </t>
  </si>
  <si>
    <t>Current Monthly Revenue Distribution</t>
  </si>
  <si>
    <t>Financing Fees - Origination</t>
  </si>
  <si>
    <t>Other</t>
  </si>
  <si>
    <t>Payroll</t>
  </si>
  <si>
    <t>Simple</t>
  </si>
  <si>
    <t>Detailed</t>
  </si>
  <si>
    <t>Detailed PIP Estimate</t>
  </si>
  <si>
    <t>GM/Operator</t>
  </si>
  <si>
    <t xml:space="preserve">Property Tax Calculator </t>
  </si>
  <si>
    <t>Good Will</t>
  </si>
  <si>
    <t>Current Taxes</t>
  </si>
  <si>
    <t>Price/Key</t>
  </si>
  <si>
    <t>Stabilized Profit Margin</t>
  </si>
  <si>
    <t>PIP Timeline</t>
  </si>
  <si>
    <t>Term</t>
  </si>
  <si>
    <t>Current ADR</t>
  </si>
  <si>
    <t>Current Occ</t>
  </si>
  <si>
    <t>Current RevPAR</t>
  </si>
  <si>
    <t>Current Profit Margin</t>
  </si>
  <si>
    <t>Annualized</t>
  </si>
  <si>
    <t>Item</t>
  </si>
  <si>
    <t>%'s</t>
  </si>
  <si>
    <t>Available Rooms</t>
  </si>
  <si>
    <t>Revenue/Room</t>
  </si>
  <si>
    <t>Expense/Occupied Room</t>
  </si>
  <si>
    <t>METRICS</t>
  </si>
  <si>
    <t>Debt Service</t>
  </si>
  <si>
    <t>Renovations (PIP)</t>
  </si>
  <si>
    <t>Sale Proceeds</t>
  </si>
  <si>
    <t>Refi Proceeds</t>
  </si>
  <si>
    <t>Reserves/CapEx Account Balance</t>
  </si>
  <si>
    <t>Cost Per Key</t>
  </si>
  <si>
    <t>INVESTMENT  ANALYSIS</t>
  </si>
  <si>
    <t>Refi Year (Year End)</t>
  </si>
  <si>
    <t>DISCLAIMER</t>
  </si>
  <si>
    <t xml:space="preserve">Creator Contact </t>
  </si>
  <si>
    <t>Name</t>
  </si>
  <si>
    <t>Cell</t>
  </si>
  <si>
    <t>Email</t>
  </si>
  <si>
    <t>Reed Gizinski</t>
  </si>
  <si>
    <t>(952) 228-4208</t>
  </si>
  <si>
    <t>Reed.Gizinski@marcusmillichap.com</t>
  </si>
  <si>
    <t>INSTRUCTIONS</t>
  </si>
  <si>
    <t xml:space="preserve">Dirty P&amp;L Tab </t>
  </si>
  <si>
    <t xml:space="preserve">Start by copying over the P&amp;Ls.  </t>
  </si>
  <si>
    <t>Workflow Overview</t>
  </si>
  <si>
    <t>Step 1. Historical Financials</t>
  </si>
  <si>
    <t>Step 3. Proforma Assumptions</t>
  </si>
  <si>
    <t>Step 5. Outputs</t>
  </si>
  <si>
    <t>Workbook Organization</t>
  </si>
  <si>
    <t>Allocation Tab</t>
  </si>
  <si>
    <t>Data from Dirty P&amp;L will flow through to this tab before it is able to flow through the rest of the sheet.</t>
  </si>
  <si>
    <t>There are preset codes for common line items, however there is also the ability to add custom line items if needed</t>
  </si>
  <si>
    <t>Clean P&amp;L Tab</t>
  </si>
  <si>
    <t>This is an output tab, hide rows with 0s for a clean exportable look</t>
  </si>
  <si>
    <t>Step 2. Market Data</t>
  </si>
  <si>
    <t>STR Input Tab</t>
  </si>
  <si>
    <t>If there are unused columns, hide them for both subject and comp.</t>
  </si>
  <si>
    <t>STR Charts Tab</t>
  </si>
  <si>
    <t>This is an output tab, make sure unused columns from the input tab are hidden for the best charts</t>
  </si>
  <si>
    <t>PIP Tab</t>
  </si>
  <si>
    <t>Just add a line item in either Exterior, or Interior, to reflect that calculation. PIP Costs calculate from cell G69</t>
  </si>
  <si>
    <t>Projections Tab</t>
  </si>
  <si>
    <t>Inputs Tab</t>
  </si>
  <si>
    <t xml:space="preserve">Legend </t>
  </si>
  <si>
    <t>For the current Year make adjustments in the Adjustments Column.</t>
  </si>
  <si>
    <t>For all other years make adjustments in line. To not lose to original data you can enter =Value*0 to clear a value</t>
  </si>
  <si>
    <t>There are two input tables, one for the subject property and one for the comp set.</t>
  </si>
  <si>
    <t>There is a simple per key calculator, in the case that there is no PIP available.</t>
  </si>
  <si>
    <t>Text Colors</t>
  </si>
  <si>
    <t xml:space="preserve">Calculated Value - Don’t Edit </t>
  </si>
  <si>
    <t>Input Cells - Edit</t>
  </si>
  <si>
    <t>Values pulled from another sheet - Don't Edit</t>
  </si>
  <si>
    <t>Tab Colors</t>
  </si>
  <si>
    <t>Instructional Tab</t>
  </si>
  <si>
    <t>Input Tab</t>
  </si>
  <si>
    <t>Output Tab/Printable</t>
  </si>
  <si>
    <t>Output Summary Tab</t>
  </si>
  <si>
    <t xml:space="preserve">Sales Manager </t>
  </si>
  <si>
    <t>2025 T12</t>
  </si>
  <si>
    <t xml:space="preserve">Other Operated Depts. </t>
  </si>
  <si>
    <t>OT</t>
  </si>
  <si>
    <t>AG</t>
  </si>
  <si>
    <t>RME</t>
  </si>
  <si>
    <t>FB</t>
  </si>
  <si>
    <t>FBE</t>
  </si>
  <si>
    <t>A&amp;G Credit Card Comm</t>
  </si>
  <si>
    <t>AGC</t>
  </si>
  <si>
    <t>OTE</t>
  </si>
  <si>
    <t>Rent Expense</t>
  </si>
  <si>
    <t>RT</t>
  </si>
  <si>
    <t>Info &amp; Telecom Systems</t>
  </si>
  <si>
    <t>IT</t>
  </si>
  <si>
    <t>Management</t>
  </si>
  <si>
    <t xml:space="preserve">NOI Before Reserves &amp; Management </t>
  </si>
  <si>
    <t>EBITDA Before Reserves &amp; Management</t>
  </si>
  <si>
    <t>Total Dept Expenses</t>
  </si>
  <si>
    <t>Total Departmental Profit</t>
  </si>
  <si>
    <t>Total Undistributed Expenses</t>
  </si>
  <si>
    <t>Gross Operating Profit</t>
  </si>
  <si>
    <t>Non-Operating Expenses</t>
  </si>
  <si>
    <t>Total Non-Operating Expenses</t>
  </si>
  <si>
    <t xml:space="preserve">STR: Response Report </t>
  </si>
  <si>
    <t>STR#</t>
  </si>
  <si>
    <t>City, State</t>
  </si>
  <si>
    <t>Zip</t>
  </si>
  <si>
    <t>Phone</t>
  </si>
  <si>
    <t>Open Date</t>
  </si>
  <si>
    <t>P</t>
  </si>
  <si>
    <t xml:space="preserve">Most Recent Month STR </t>
  </si>
  <si>
    <t>Most Recent Year End STR</t>
  </si>
  <si>
    <t>STR: Comp</t>
  </si>
  <si>
    <t>Paste Most Recent Month End</t>
  </si>
  <si>
    <t>Paste Most Recent Year End</t>
  </si>
  <si>
    <t>NOV</t>
  </si>
  <si>
    <t xml:space="preserve">PIP Cost Approach </t>
  </si>
  <si>
    <t>Charts Year End</t>
  </si>
  <si>
    <t>Comp</t>
  </si>
  <si>
    <t>OCC</t>
  </si>
  <si>
    <t>RevPar</t>
  </si>
  <si>
    <t>STR: RESPONSE REPORT</t>
  </si>
  <si>
    <t>City</t>
  </si>
  <si>
    <t>State</t>
  </si>
  <si>
    <t>Opened</t>
  </si>
  <si>
    <t>Source:  Smith Travel Research, Inc.</t>
  </si>
  <si>
    <t>Subject Rooms:</t>
  </si>
  <si>
    <t>Total Rooms:</t>
  </si>
  <si>
    <t>p</t>
  </si>
  <si>
    <t>column F can be hidden</t>
  </si>
  <si>
    <t>GP &amp; Outside Fees</t>
  </si>
  <si>
    <t>STR PERFORMANCE</t>
  </si>
  <si>
    <t>SUBJECT vs. COMP HISTORICAL PERFORMANCE</t>
  </si>
  <si>
    <t>Comp. Set</t>
  </si>
  <si>
    <t>Penetration</t>
  </si>
  <si>
    <t>Yield</t>
  </si>
  <si>
    <t>Index</t>
  </si>
  <si>
    <t>CHANGE vs. PRIOR YEAR</t>
  </si>
  <si>
    <t>N/A</t>
  </si>
  <si>
    <t>Note:  Competitive Set data excludes the Subject Property</t>
  </si>
  <si>
    <t>TTM</t>
  </si>
  <si>
    <t>ARD</t>
  </si>
  <si>
    <t>YTD</t>
  </si>
  <si>
    <t>S</t>
  </si>
  <si>
    <t>C</t>
  </si>
  <si>
    <t>STR COMP TABLE</t>
  </si>
  <si>
    <t>Total Acquisition</t>
  </si>
  <si>
    <t>Proposed Financing</t>
  </si>
  <si>
    <t>New 1st</t>
  </si>
  <si>
    <t>Amortization (yrs)</t>
  </si>
  <si>
    <t>Monthly P&amp;I Payment</t>
  </si>
  <si>
    <t>Operating Summary</t>
  </si>
  <si>
    <t>Available Rentable Rooms</t>
  </si>
  <si>
    <t>Room Sold</t>
  </si>
  <si>
    <t>Other Operating Revenue</t>
  </si>
  <si>
    <t>Gross Revenue</t>
  </si>
  <si>
    <t>Operating Expense</t>
  </si>
  <si>
    <t>Reserves &amp; Mgmt</t>
  </si>
  <si>
    <t>Net Operating Income (NOI)</t>
  </si>
  <si>
    <t>Add In Potential Lease Income</t>
  </si>
  <si>
    <t>Effective NOI</t>
  </si>
  <si>
    <t>Less Debt Service</t>
  </si>
  <si>
    <t>Debt Coverage Ratio</t>
  </si>
  <si>
    <t>Investment Summary</t>
  </si>
  <si>
    <t>Net Cash Flow after Debt Service</t>
  </si>
  <si>
    <t>Plus Principal Reduction</t>
  </si>
  <si>
    <t>Total Return on Investment</t>
  </si>
  <si>
    <t>Cash on Cash Return</t>
  </si>
  <si>
    <t>CAP Rate Before Reserves &amp; Mgmt</t>
  </si>
  <si>
    <t>Room Revenue Multiplier</t>
  </si>
  <si>
    <t>Room Revenue Multiplier Post PIP</t>
  </si>
  <si>
    <t>Price per Room</t>
  </si>
  <si>
    <t>Price per Room - Post PIP</t>
  </si>
  <si>
    <t>NOTE</t>
  </si>
  <si>
    <t>Total Other Acquisition &amp; PIP Costs</t>
  </si>
  <si>
    <t>Disclaimer</t>
  </si>
  <si>
    <t>This Excel model is provided as a general analytical tool for informational purposes only. While reasonable efforts have been made to ensure that the formulas and calculations within this model function as intended, the creator makes no representations or warranties, express or implied, regarding the accuracy, completeness, or reliability of the model or its outputs. Users are solely responsible for verifying all calculations, assumptions, inputs, and results generated by the model. The creator assumes no responsibility or liability for any errors, omissions, or inaccuracies within the model, or for any decisions, actions, or outcomes resulting from its use. By using this model, the user acknowledges that it is provided “as-is” and agrees that the creator shall not be held liable for any direct, indirect, incidental, or consequential damages arising from the use of this model.</t>
  </si>
  <si>
    <t>STR CHARTS</t>
  </si>
  <si>
    <t>DEBT</t>
  </si>
  <si>
    <t>INVESTMENT SUMMARY - PRINT</t>
  </si>
  <si>
    <t>POR</t>
  </si>
  <si>
    <t>Sales &amp; Marketing</t>
  </si>
  <si>
    <t>Fixed Expenses</t>
  </si>
  <si>
    <t xml:space="preserve">A&amp;G Credit Card Commissions </t>
  </si>
  <si>
    <t>% of Gross</t>
  </si>
  <si>
    <t>% Growth YoY</t>
  </si>
  <si>
    <t>% of Room Revenue</t>
  </si>
  <si>
    <t>%</t>
  </si>
  <si>
    <t>% of F&amp;B</t>
  </si>
  <si>
    <t xml:space="preserve">% of Custom </t>
  </si>
  <si>
    <t>% of Gross (Or break and match with Payroll Calculator)</t>
  </si>
  <si>
    <t>Per Key</t>
  </si>
  <si>
    <t>SM</t>
  </si>
  <si>
    <t>"Key Money" Received</t>
  </si>
  <si>
    <t>PIP</t>
  </si>
  <si>
    <t>Franchise/PIP/CapEx</t>
  </si>
  <si>
    <t>Amount</t>
  </si>
  <si>
    <t>GP Promote</t>
  </si>
  <si>
    <t>Tier 2</t>
  </si>
  <si>
    <t>Tier 3</t>
  </si>
  <si>
    <t>IRR</t>
  </si>
  <si>
    <t>Equity Multiple</t>
  </si>
  <si>
    <t>Levered IRR</t>
  </si>
  <si>
    <t>GP IRR</t>
  </si>
  <si>
    <t>WATERFALL</t>
  </si>
  <si>
    <t>Management Fee</t>
  </si>
  <si>
    <t>Promote Hurdle Method</t>
  </si>
  <si>
    <t>GP Catch Up?</t>
  </si>
  <si>
    <t># of Tiers</t>
  </si>
  <si>
    <t>3-Tier</t>
  </si>
  <si>
    <t>Return of Capital</t>
  </si>
  <si>
    <t>Equity Contributions</t>
  </si>
  <si>
    <t>General Partner (GP)</t>
  </si>
  <si>
    <t>Error Check:</t>
  </si>
  <si>
    <t>Limited Partner - Class A (LP-A/MP)</t>
  </si>
  <si>
    <t>Limited Partner - Class B (LP-B)</t>
  </si>
  <si>
    <t>All Dist:</t>
  </si>
  <si>
    <t>Total Equity</t>
  </si>
  <si>
    <t>Hurdle Rate Method Used:</t>
  </si>
  <si>
    <t>Promote Structure Incentive Breakdown</t>
  </si>
  <si>
    <t>Distribution as %</t>
  </si>
  <si>
    <t>GP %</t>
  </si>
  <si>
    <t>LP %</t>
  </si>
  <si>
    <t>Notes</t>
  </si>
  <si>
    <t>Tier 1 (Pref + Return of Capital)</t>
  </si>
  <si>
    <t>Return of capital and Pref NOT pro rata</t>
  </si>
  <si>
    <t>Tier 2 (Promote)</t>
  </si>
  <si>
    <t>Tier 3 (Promote)</t>
  </si>
  <si>
    <t>Summary of Partnership-Level Returns</t>
  </si>
  <si>
    <t>Analysis Period</t>
  </si>
  <si>
    <t>Limited Partner - Class B (LP-B) Returns</t>
  </si>
  <si>
    <t>Check</t>
  </si>
  <si>
    <t>Preferred Return</t>
  </si>
  <si>
    <t>Excess Cash Flow</t>
  </si>
  <si>
    <t>Total LP-B Distributions</t>
  </si>
  <si>
    <t>Total LP-B Contributions</t>
  </si>
  <si>
    <t>Total LP-B Profit</t>
  </si>
  <si>
    <t>LP-B IRR</t>
  </si>
  <si>
    <t>LP-B Equity Multiple</t>
  </si>
  <si>
    <t>Limited Partner - Class A (LP-A/MP) Returns</t>
  </si>
  <si>
    <t>LP-A/MP Pro-Rata Distributions</t>
  </si>
  <si>
    <t>LP-A/MP Fees</t>
  </si>
  <si>
    <t>Total LP-A/MP Distributions</t>
  </si>
  <si>
    <t>Total LP-A/MP Contributions</t>
  </si>
  <si>
    <t>Total LP-A/MP Profit</t>
  </si>
  <si>
    <t>LP-A/MP IRR</t>
  </si>
  <si>
    <t>LP-A/MP Equity Multiple</t>
  </si>
  <si>
    <t>GP Returns</t>
  </si>
  <si>
    <t>Total GP Distributions</t>
  </si>
  <si>
    <t>Total GP Fees</t>
  </si>
  <si>
    <t>Total GP Contributions</t>
  </si>
  <si>
    <t>Total GP Profit (Including Fees)</t>
  </si>
  <si>
    <t>GP Equity Multiple</t>
  </si>
  <si>
    <t>Property-Level Cash, GP Fees &amp; LP-A/MP Fees</t>
  </si>
  <si>
    <t>Year 0</t>
  </si>
  <si>
    <t>Year Ending</t>
  </si>
  <si>
    <t>Net Property-Level Cash Flow</t>
  </si>
  <si>
    <t>Asset Management Fees</t>
  </si>
  <si>
    <t>Adjusted Net Property-Level Cash Flow</t>
  </si>
  <si>
    <t>PARTNERSHIP LEVEL RETURNS - IRR EQUITY WATERFALL</t>
  </si>
  <si>
    <t>Profit Dist.:</t>
  </si>
  <si>
    <t>Prorata to LP-B/GP to 10.0%, then 72.3%/27.8% to 999.0%</t>
  </si>
  <si>
    <t>Total GP Profit</t>
  </si>
  <si>
    <t>Property-Level Cash and GP Fees</t>
  </si>
  <si>
    <t>Adj. CF After LP-A/MP Pro-Rata Payout</t>
  </si>
  <si>
    <t>Tier 1 - Preferred Return + Return of Capital</t>
  </si>
  <si>
    <t>Return Threshold - Up to:</t>
  </si>
  <si>
    <t>Beginning Balance (LP-B Capital Account)</t>
  </si>
  <si>
    <t>LP-B Return of Capital</t>
  </si>
  <si>
    <t>Req'd Return by LP-B to hit Hurdle 1</t>
  </si>
  <si>
    <t>Contributions from LP-B</t>
  </si>
  <si>
    <t>Distributions to LP-B (Hurdle 1)</t>
  </si>
  <si>
    <t>Ending Balance (LP-B Capital Account)</t>
  </si>
  <si>
    <t>Distribution to LP-B</t>
  </si>
  <si>
    <t>Beginning Balance (GP Capital Account)</t>
  </si>
  <si>
    <t>Req'd Return by GP (Pref)</t>
  </si>
  <si>
    <t>Contributions from GP</t>
  </si>
  <si>
    <t>Distribution to GP</t>
  </si>
  <si>
    <t>Ending Balance (GP Capital Account)</t>
  </si>
  <si>
    <t>Beginning Balance (LP-A/MP Capital Account)</t>
  </si>
  <si>
    <t>LP-A/MP Pro-Rata Share</t>
  </si>
  <si>
    <t>Contributions from LP-A/MP</t>
  </si>
  <si>
    <t>Distributions to LP-A/MP (Pro-Rata - Tier 1)</t>
  </si>
  <si>
    <t>Ending Balance (LP-A/MP Capital Account)</t>
  </si>
  <si>
    <t>LP-A/MP Check</t>
  </si>
  <si>
    <t>Distribution to LP-A/MP</t>
  </si>
  <si>
    <t>Cash Flow Remaining</t>
  </si>
  <si>
    <t>Req'd Return by LP-B to hit Hurdle 2</t>
  </si>
  <si>
    <t>Prior Distributions</t>
  </si>
  <si>
    <t>Return Threshold - Greater than:</t>
  </si>
  <si>
    <t>Req'd Return by LP-B to hit Hurdle 3</t>
  </si>
  <si>
    <t>PARTNERSHIP LEVEL RETURNS - EMx EQUITY WATERFALL</t>
  </si>
  <si>
    <t>2-Tier</t>
  </si>
  <si>
    <t>Construction Fee</t>
  </si>
  <si>
    <t>Asset Mgmt</t>
  </si>
  <si>
    <t>Property Mgmt</t>
  </si>
  <si>
    <t>The Total Fees input should equal the total listed in row 12</t>
  </si>
  <si>
    <t>Video Overview</t>
  </si>
  <si>
    <t>Link</t>
  </si>
  <si>
    <t>Recommended Reserves</t>
  </si>
  <si>
    <t>LP-B Equity</t>
  </si>
  <si>
    <t>LP-A/MP Equity</t>
  </si>
  <si>
    <t>Financing PIP</t>
  </si>
  <si>
    <t>No</t>
  </si>
  <si>
    <t>LTV/LTC</t>
  </si>
  <si>
    <t>Purchase Price/Total Project Cost</t>
  </si>
  <si>
    <t>Total LP-A/MP Fees</t>
  </si>
  <si>
    <t>Levered Cash Flow</t>
  </si>
  <si>
    <t>Total Cash Flow for Distributions</t>
  </si>
  <si>
    <t>LP-A/MP</t>
  </si>
  <si>
    <t>LP-B %</t>
  </si>
  <si>
    <t>LP-A/MP %</t>
  </si>
  <si>
    <t>LP-B</t>
  </si>
  <si>
    <t>Tier 1 (Preferred Return)</t>
  </si>
  <si>
    <t>Hurdle</t>
  </si>
  <si>
    <t>Fee</t>
  </si>
  <si>
    <t>Emx</t>
  </si>
  <si>
    <t>Capital Calls</t>
  </si>
  <si>
    <t>Year 1 Projected Taxes</t>
  </si>
  <si>
    <t>FF&amp;E Allocation</t>
  </si>
  <si>
    <t>Current Assessed Value</t>
  </si>
  <si>
    <t>Effective Tax Rate</t>
  </si>
  <si>
    <t>Suggested Year 1</t>
  </si>
  <si>
    <t>Year 3 Pro Forma</t>
  </si>
  <si>
    <t>Equity</t>
  </si>
  <si>
    <t>Occupancy × ADR</t>
  </si>
  <si>
    <t>Project IRR</t>
  </si>
  <si>
    <t>Exit RRM × Hold Period</t>
  </si>
  <si>
    <t>Base Case Values</t>
  </si>
  <si>
    <t>Room Revenue (Yr1)</t>
  </si>
  <si>
    <t>Other Income (Yr1)</t>
  </si>
  <si>
    <t>Days</t>
  </si>
  <si>
    <t>Dept Expenses</t>
  </si>
  <si>
    <t>Undist Expenses</t>
  </si>
  <si>
    <t>Non-Op Expenses</t>
  </si>
  <si>
    <t>Reserves + Mgmt</t>
  </si>
  <si>
    <t>Base Occ</t>
  </si>
  <si>
    <t>Base ADR</t>
  </si>
  <si>
    <t>Exit RRM</t>
  </si>
  <si>
    <t>Commission+Fees</t>
  </si>
  <si>
    <t>Franchise Fee %</t>
  </si>
  <si>
    <t>CC Commission %</t>
  </si>
  <si>
    <t>Variable Exp Ratio</t>
  </si>
  <si>
    <t>Loan Payoff (Exit)</t>
  </si>
  <si>
    <t>Project IRR          ADR ↓  /  Occupancy →</t>
  </si>
  <si>
    <t>INVESTMENT SUMMARY</t>
  </si>
  <si>
    <t>Term (years)</t>
  </si>
  <si>
    <t>Current Occupancy</t>
  </si>
  <si>
    <t>Hold Period (years)</t>
  </si>
  <si>
    <t xml:space="preserve">   Interior</t>
  </si>
  <si>
    <t xml:space="preserve">   Exterior &amp; Amenities</t>
  </si>
  <si>
    <t xml:space="preserve">   Reserves</t>
  </si>
  <si>
    <t>Target Exit RRM</t>
  </si>
  <si>
    <t>Target Exit Price/Key</t>
  </si>
  <si>
    <t>Total Equity Needed</t>
  </si>
  <si>
    <t>Sources</t>
  </si>
  <si>
    <t>$</t>
  </si>
  <si>
    <t>Uses</t>
  </si>
  <si>
    <t>Fee Structure</t>
  </si>
  <si>
    <t>Promote Structure</t>
  </si>
  <si>
    <t>Number of Keys</t>
  </si>
  <si>
    <t>LP RETURNS SUMMARY</t>
  </si>
  <si>
    <t>Deal Overview</t>
  </si>
  <si>
    <t>Project Returns</t>
  </si>
  <si>
    <t>LP-B Returns</t>
  </si>
  <si>
    <t>LP-B Equity Investment</t>
  </si>
  <si>
    <t>LP-B Equity Share</t>
  </si>
  <si>
    <t>LP-A/MP Returns</t>
  </si>
  <si>
    <t>LP-A/MP Equity Investment</t>
  </si>
  <si>
    <t>LP-A/MP Equity Share</t>
  </si>
  <si>
    <t>Sponsor (GP) Returns</t>
  </si>
  <si>
    <t>Sponsor Equity Investment</t>
  </si>
  <si>
    <t>Sponsor Equity Share</t>
  </si>
  <si>
    <t>Sponsor IRR</t>
  </si>
  <si>
    <t>Sponsor Equity Multiple</t>
  </si>
  <si>
    <t>SPONSORSHIP STRUCTURE</t>
  </si>
  <si>
    <t>Equity Structure</t>
  </si>
  <si>
    <t>Partner</t>
  </si>
  <si>
    <t>Equity Share</t>
  </si>
  <si>
    <t>Equity ($)</t>
  </si>
  <si>
    <t>Sponsor (GP)</t>
  </si>
  <si>
    <t>Tier</t>
  </si>
  <si>
    <t>Tier 1 — Preferred Return</t>
  </si>
  <si>
    <t>Tier 2 — Promote</t>
  </si>
  <si>
    <t>Tier 3 — Promote</t>
  </si>
  <si>
    <t>Month</t>
  </si>
  <si>
    <t>Axis Step Sizes</t>
  </si>
  <si>
    <t>Occupancy Step</t>
  </si>
  <si>
    <t>ADR Step ($)</t>
  </si>
  <si>
    <t>Exit RRM Step</t>
  </si>
  <si>
    <t>Project IRR          RRM ↓  /  Year →</t>
  </si>
  <si>
    <t>Year-by-Year Helpers</t>
  </si>
  <si>
    <t>RR Ratio to Sale Yr</t>
  </si>
  <si>
    <t>IRR Helper - Annual Cash Flows (Occ×ADR)</t>
  </si>
  <si>
    <t>Yr 0</t>
  </si>
  <si>
    <t>Yr 1</t>
  </si>
  <si>
    <t>Yr 2</t>
  </si>
  <si>
    <t>Yr 3</t>
  </si>
  <si>
    <t>Yr 4</t>
  </si>
  <si>
    <t>Yr 5</t>
  </si>
  <si>
    <t>Yr 6</t>
  </si>
  <si>
    <t>Yr 7</t>
  </si>
  <si>
    <t>Yr 8</t>
  </si>
  <si>
    <t>Yr 9</t>
  </si>
  <si>
    <t>Yr 10</t>
  </si>
  <si>
    <t>PROPERTY-LEVEL SENSITIVITY ANALYSIS</t>
  </si>
  <si>
    <t>LP-B SENSITIVITY ANALYSIS</t>
  </si>
  <si>
    <t>LP-B IRR          ADR ↓  /  Occupancy →</t>
  </si>
  <si>
    <t>LP-B Equity Multiple          ADR ↓  /  Occupancy →</t>
  </si>
  <si>
    <t>LP-B IRR          RRM ↓  /  Year →</t>
  </si>
  <si>
    <t>LP-B Equity Multiple          RRM ↓  /  Year →</t>
  </si>
  <si>
    <t>LP-B Waterfall Helpers</t>
  </si>
  <si>
    <t>Tier 1 LP-B %</t>
  </si>
  <si>
    <t>Tier 2 LP-B %</t>
  </si>
  <si>
    <t>Tier 3 LP-B %</t>
  </si>
  <si>
    <t>Tier 1 EMx Hurdle</t>
  </si>
  <si>
    <t>Tier 2 EMx Hurdle</t>
  </si>
  <si>
    <t>Project Equity Multiple          ADR ↓  /  Occupancy →</t>
  </si>
  <si>
    <t>Project Equity Multiple          RRM ↓  /  Year →</t>
  </si>
  <si>
    <t>AM Fee %</t>
  </si>
  <si>
    <t>Net Fixed Items</t>
  </si>
  <si>
    <t>Right-Side Helpers (RRM × Hold Period)</t>
  </si>
  <si>
    <t>HP=1, RRM=2.25</t>
  </si>
  <si>
    <t>HP=1, RRM=2.50</t>
  </si>
  <si>
    <t>HP=1, RRM=2.75</t>
  </si>
  <si>
    <t>HP=1, RRM=3.00</t>
  </si>
  <si>
    <t>HP=1, RRM=3.25</t>
  </si>
  <si>
    <t>HP=1, RRM=3.50</t>
  </si>
  <si>
    <t>HP=1, RRM=3.75</t>
  </si>
  <si>
    <t>HP=2, RRM=2.25</t>
  </si>
  <si>
    <t>HP=3, RRM=2.25</t>
  </si>
  <si>
    <t xml:space="preserve">PIP Financing </t>
  </si>
  <si>
    <t>LTC</t>
  </si>
  <si>
    <t>PIP Construction Loan</t>
  </si>
  <si>
    <t>Total PIP Cost</t>
  </si>
  <si>
    <t>Key Money (Total)</t>
  </si>
  <si>
    <t>PIP Basis (Net of Key Money)</t>
  </si>
  <si>
    <t>Total PIP Loan Commitment</t>
  </si>
  <si>
    <t>Annual Debt Service (Full Draw)</t>
  </si>
  <si>
    <t>Monthly PMT (Full Draw)</t>
  </si>
  <si>
    <t>DRAW SCHEDULE</t>
  </si>
  <si>
    <t>PIP Spend</t>
  </si>
  <si>
    <t>Key Money</t>
  </si>
  <si>
    <t>Net PIP Need</t>
  </si>
  <si>
    <t>Draw (LTC%)</t>
  </si>
  <si>
    <t>Cumul. Drawn</t>
  </si>
  <si>
    <t>PIP LOAN AMORTIZATION</t>
  </si>
  <si>
    <t>Draw</t>
  </si>
  <si>
    <t>Adj. Bal.</t>
  </si>
  <si>
    <t>Annual DS</t>
  </si>
  <si>
    <t>Year-End Bal</t>
  </si>
  <si>
    <t>PIP Debt Service</t>
  </si>
  <si>
    <t>PIP Financing</t>
  </si>
  <si>
    <t>PIP Financing Remaining - Available to Draw</t>
  </si>
  <si>
    <t>Total Pos CF:</t>
  </si>
  <si>
    <t>Loan Payoff</t>
  </si>
  <si>
    <t>Step 4. Financial Model &amp; Analysis</t>
  </si>
  <si>
    <t>Pro Forma Tab</t>
  </si>
  <si>
    <t>Output tab that compiles the Projections and Inputs into a 10 year operating proforma with NOI, debt service, and cash flow</t>
  </si>
  <si>
    <t>Waterfall Tab</t>
  </si>
  <si>
    <t>Debt Tab</t>
  </si>
  <si>
    <t>Sensitivity Tabs</t>
  </si>
  <si>
    <t>Investment Analysis Tab</t>
  </si>
  <si>
    <t>DCF analysis, cap rate valuation, and IRR analysis. Summarizes key return metrics</t>
  </si>
  <si>
    <t>Investment Summary Tab</t>
  </si>
  <si>
    <t>Printable one-page deal overview with property details, returns, and key assumptions</t>
  </si>
  <si>
    <t>LP Summary Tab</t>
  </si>
  <si>
    <t>Printable LP-B investor summary with equity multiple, IRR, and distribution breakdown</t>
  </si>
  <si>
    <t>Sponsorship Structure Tab</t>
  </si>
  <si>
    <t>Printable overview of the GP/LP structure, promote tiers, and fee schedule</t>
  </si>
  <si>
    <t>Monthly Revenue Chart Tab</t>
  </si>
  <si>
    <t>Printable monthly revenue visualization for trailing 12-month performance</t>
  </si>
  <si>
    <t>Tab Name</t>
  </si>
  <si>
    <t>Type</t>
  </si>
  <si>
    <t>Description</t>
  </si>
  <si>
    <t>Reference</t>
  </si>
  <si>
    <t>Legal disclaimer and usage terms</t>
  </si>
  <si>
    <t>This tab — workflow guide, legend, and workbook organization</t>
  </si>
  <si>
    <t>Output Summary</t>
  </si>
  <si>
    <t>Input</t>
  </si>
  <si>
    <t>Raw historical P&amp;L data entry with adjustment columns for current year</t>
  </si>
  <si>
    <t>Maps Dirty P&amp;L line items to standardized USALI categories via preset codes</t>
  </si>
  <si>
    <t>Output</t>
  </si>
  <si>
    <t>Formatted historical financials output — hide zero rows for a clean export</t>
  </si>
  <si>
    <t>INVESTMENT ANALYSIS</t>
  </si>
  <si>
    <t>DCF analysis, cap rate valuation, and IRR return metrics</t>
  </si>
  <si>
    <t>Subject property and comp set STR data entry (hide unused columns)</t>
  </si>
  <si>
    <t>STR performance metrics and index comparisons</t>
  </si>
  <si>
    <t>Side-by-side comp set data table</t>
  </si>
  <si>
    <t>Occupancy, ADR, and RevPAR charts — hide unused input columns for best display</t>
  </si>
  <si>
    <t>10-year revenue and expense growth assumptions driving the Pro Forma</t>
  </si>
  <si>
    <t>PRO FORMA</t>
  </si>
  <si>
    <t>Compiled 10-year operating proforma with NOI, debt service, and cash flow</t>
  </si>
  <si>
    <t>LP-B SENSITIVITY - PRINT</t>
  </si>
  <si>
    <t>PROPERTY SENSITIVITY - PRINT</t>
  </si>
  <si>
    <t>LP SUMMARY - PRINT</t>
  </si>
  <si>
    <t>One-page printable LP investor summary</t>
  </si>
  <si>
    <t>SPONSORSHIP STRUCTURE - PRINT</t>
  </si>
  <si>
    <t>Printable GP/LP structure, promote schedule, and fee overview</t>
  </si>
  <si>
    <t>MONTHLY REVENUE CHART - PRINT</t>
  </si>
  <si>
    <t>Printable trailing 12-month revenue chart</t>
  </si>
  <si>
    <t>Key Tips</t>
  </si>
  <si>
    <t>Blue text cells are the only cells you should be editing. Black text is calculated, green text is pulled from another sheet</t>
  </si>
  <si>
    <t>The Projections tab drives the Pro Forma. For years 6-10, a flat inflation rate is typically applied to all growth inputs</t>
  </si>
  <si>
    <t>Output tabs marked "PRINT" are formatted for one-page PDF export. Use Print Preview to confirm layout before printing</t>
  </si>
  <si>
    <t>1.</t>
  </si>
  <si>
    <t>2.</t>
  </si>
  <si>
    <t>3.</t>
  </si>
  <si>
    <t>4.</t>
  </si>
  <si>
    <t>5.</t>
  </si>
  <si>
    <t>6.</t>
  </si>
  <si>
    <t>Tier 1 Pref Rate</t>
  </si>
  <si>
    <t>Tier 2 Pref Rate</t>
  </si>
  <si>
    <t>GP Overhead %</t>
  </si>
  <si>
    <t>GP Catch-up T1 %</t>
  </si>
  <si>
    <t>Op CF Only</t>
  </si>
  <si>
    <t>There are also calculators for Loan Sizing (debt service coverage), Per-Key metrics, and a Cap Rate solver</t>
  </si>
  <si>
    <t>Distributes cash flows through a 3-tier IRR waterfall: Tier 1 (10% pref), Tier 2 (12% hurdle), and residual GP/LP split</t>
  </si>
  <si>
    <t>LP-B and Property-level sensitivity tables. Each scenario runs full waterfall distributions — center cells tie exactly to base case</t>
  </si>
  <si>
    <t>3-tier IRR-based waterfall: 10% preferred return, 12% second hurdle, GP catch-up, and residual promote split</t>
  </si>
  <si>
    <t>LP-B sensitivity: Occ × ADR (left) and RRM × Hold Period (right). Runs actual waterfall per scenario; center = base case</t>
  </si>
  <si>
    <t>Property-level (unlevered) IRR and EMx sensitivity. Uses actual Pro Forma cash flows with revenue scaling per scenario</t>
  </si>
  <si>
    <t>Sensitivity tables run actual waterfall distributions per scenario. Center cells tie exactly to the WATERFALL tab base case returns</t>
  </si>
  <si>
    <t>7.</t>
  </si>
  <si>
    <t>8.</t>
  </si>
  <si>
    <t>9.</t>
  </si>
  <si>
    <t>10.</t>
  </si>
  <si>
    <t>Last Updated: March 2026 V1</t>
  </si>
  <si>
    <t>RevPAR Step ($)</t>
  </si>
  <si>
    <t>LP-B Cash-on-Cash          RevPAR ↓  /  Year →</t>
  </si>
  <si>
    <t>LP-B Cash-on-Cash (Yr 5)</t>
  </si>
  <si>
    <t>LP-A/MP Cash-on-Cash (Yr 5)</t>
  </si>
  <si>
    <t>Sponsor Cash-on-Cash (Yr 5)</t>
  </si>
  <si>
    <t>Fixed Exp $</t>
  </si>
  <si>
    <t>Var% RoomRev</t>
  </si>
  <si>
    <t>Var% GrossRev</t>
  </si>
  <si>
    <t>OtherDept % of RR</t>
  </si>
  <si>
    <t>Util AdjPOR</t>
  </si>
  <si>
    <t>OthInc AdjPOR</t>
  </si>
  <si>
    <t>(unused)</t>
  </si>
  <si>
    <t>Project Cash-on-Cash          RevPAR ↓  /  Year →</t>
  </si>
  <si>
    <t>Always start with the Inputs tab - most assumptions cascade from there through the entire model</t>
  </si>
  <si>
    <t>Hide unused columns on the STR Input tab before reviewing the STR Charts - chart ranges follow visible columns</t>
  </si>
  <si>
    <t>PIP Timeline (Months)</t>
  </si>
  <si>
    <t>PIP Cost Distribution</t>
  </si>
  <si>
    <t>PIP - Monthly Schedule &amp; Debt</t>
  </si>
  <si>
    <t>Year Start Cost</t>
  </si>
  <si>
    <t>Even Dist. Cost</t>
  </si>
  <si>
    <t>Custom Cost</t>
  </si>
  <si>
    <t>Active PIP Cost</t>
  </si>
  <si>
    <t>Even Distribution</t>
  </si>
  <si>
    <t>Draw Amount</t>
  </si>
  <si>
    <t>Start Bal.</t>
  </si>
  <si>
    <t>End Bal.</t>
  </si>
  <si>
    <t>Year-End Bal.</t>
  </si>
  <si>
    <t>PIP Fin. Remaining</t>
  </si>
  <si>
    <t>Adjust PIP Cost Approach on Inputs Tab</t>
  </si>
  <si>
    <t>PIP/Conversion Start (Month)</t>
  </si>
  <si>
    <t>Key Money Payout % PIP Start</t>
  </si>
  <si>
    <t>Net PIP Outflow (Helper)</t>
  </si>
  <si>
    <t>PIP LTC</t>
  </si>
  <si>
    <t>PIP Term</t>
  </si>
  <si>
    <t>PIP Interest Rate</t>
  </si>
  <si>
    <t>Refinance</t>
  </si>
  <si>
    <t>Refi LTV</t>
  </si>
  <si>
    <t>Refi Interest Rate</t>
  </si>
  <si>
    <t>Refi Term</t>
  </si>
  <si>
    <t>Stabilized ADR</t>
  </si>
  <si>
    <t>Stabilized OCC</t>
  </si>
  <si>
    <t>Stabilized RevPAR</t>
  </si>
  <si>
    <t>Stabilized Occupancy</t>
  </si>
  <si>
    <t>LP-A/MP is a pro-rata equity partner</t>
  </si>
  <si>
    <t>If a PIP is available, upload it to the table with estimated cost values</t>
  </si>
  <si>
    <t>The right side of the PIP tab (columns N–Z) contains a monthly draw schedule and PIP debt amortization.</t>
  </si>
  <si>
    <t>This is where you will input Property Details, Acquisition Assumptions, Franchise assumptions, GP Fees,</t>
  </si>
  <si>
    <t>Debt Assumptions, Cap Ex/PIP Timelines (in months), PIP Cost Distribution method, and Exit Assumptions</t>
  </si>
  <si>
    <t>Senior loan amortization and refi schedules. PIP financing driven by the PIP tab monthly draw schedule</t>
  </si>
  <si>
    <t>Executive summary: deal metrics, returns, PIP financing, refi terms, exit cap rate, and stabilized performance</t>
  </si>
  <si>
    <t>Property details, acquisition assumptions, debt terms, GP fees, PIP timeline (months), distribution method toggle, and exit assumptions</t>
  </si>
  <si>
    <t>PIP scope and cost estimates (left); monthly draw schedule, debt amortization, and three distribution methods (right)</t>
  </si>
  <si>
    <t>Senior and refi loan amortization schedules. PIP financing driven by PIP tab monthly draw schedule</t>
  </si>
  <si>
    <t>One-page printable deal summary with PIP financing, exit cap rate, and stabilized performance metrics</t>
  </si>
  <si>
    <t>The SUMMARY tab is the single source of truth for deal metrics. The INVESTMENT SUMMARY - PRINT tab references SUMMARY — do not edit PRINT tabs directly</t>
  </si>
  <si>
    <t>PIP Cost Distribution (INPUTS tab) controls how PIP costs are drawn: Year Start (month 1 of each year), Even Distribution (spread monthly), or Custom (manual monthly inputs on PIP tab). Year Start and Even Distribution produce the same annual PIP cost; only financing timing changes</t>
  </si>
  <si>
    <t>PIP Timeline is set in months (e.g. 30 months), not years. The monthly schedule on the PIP tab (columns N–Z) calculates draws, Key Money offsets, and debt service. Key Money carries forward year-to-year if not fully used</t>
  </si>
  <si>
    <t>Exit Cap Rate and Stabilized metrics (ADR, OCC, RevPAR, Profit Margin) on the SUMMARY tab are dynamic — they automatically pull from the Pro Forma year matching the Hold Period. This model requires Excel 365 or Excel 2021+</t>
  </si>
  <si>
    <t>Senior and refi loan amortization schedules. PIP financing is driven by the PIP tab's monthly draw schedule and distribution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</si>
</sst>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5" formatCode="&quot;$&quot;#,##0_);\(&quot;$&quot;#,##0\)"/>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0\ &quot;Adjusted&quot;"/>
    <numFmt numFmtId="165" formatCode="0.0%"/>
    <numFmt numFmtId="166" formatCode="&quot;$&quot;#,##0.00"/>
    <numFmt numFmtId="167" formatCode="&quot;$&quot;#,##0"/>
    <numFmt numFmtId="168" formatCode="0.0\ &quot;Years&quot;"/>
    <numFmt numFmtId="169" formatCode="0\ &quot;Months&quot;"/>
    <numFmt numFmtId="170" formatCode="&quot;Year&quot;\ 0"/>
    <numFmt numFmtId="171" formatCode="&quot;Month&quot;\ 0"/>
    <numFmt numFmtId="172" formatCode="0&quot; Years&quot;"/>
    <numFmt numFmtId="173" formatCode="0.00\x"/>
    <numFmt numFmtId="174" formatCode="0&quot;X&quot;"/>
    <numFmt numFmtId="175" formatCode="0.00&quot;X&quot;"/>
    <numFmt numFmtId="176" formatCode="_(* #,##0_);_(* \(#,##0\);_(* &quot;-&quot;??_);_(@_)"/>
    <numFmt numFmtId="177" formatCode="0\ &quot;Years&quot;"/>
    <numFmt numFmtId="178" formatCode="_(* #,##0.0_);_(* \(#,##0.0\);_(* &quot;-&quot;?_);_(@_)"/>
    <numFmt numFmtId="179" formatCode="00000"/>
    <numFmt numFmtId="180" formatCode="mmmm\ yyyy"/>
    <numFmt numFmtId="181" formatCode="0.0"/>
    <numFmt numFmtId="182" formatCode="0.0000"/>
    <numFmt numFmtId="183" formatCode="0.00000"/>
    <numFmt numFmtId="184" formatCode="_(* #,##0.0_);_(* \(#,##0.0\);_(* &quot;-&quot;??_);_(@_)"/>
    <numFmt numFmtId="185" formatCode="00.0%\ &quot;Total Rooms&quot;"/>
    <numFmt numFmtId="186" formatCode="&quot;YE &quot;0000"/>
    <numFmt numFmtId="187" formatCode="0.0%;[Red]\(0.0%\)\ \ "/>
    <numFmt numFmtId="188" formatCode="#,##0.0"/>
    <numFmt numFmtId="189" formatCode="_(* #,##0.000_);_(* \(#,##0.000\);_(* &quot;-&quot;??_);_(@_)"/>
    <numFmt numFmtId="190" formatCode="#,##0.0_);[Red]\(#,##0.0\)"/>
    <numFmt numFmtId="191" formatCode="&quot;v&quot;0.00"/>
    <numFmt numFmtId="192" formatCode="0.000&quot;MM&quot;"/>
    <numFmt numFmtId="193" formatCode="&quot; Up to &quot;0.0%\ \I\R\R&quot; to LP&quot;"/>
    <numFmt numFmtId="194" formatCode="&quot;&gt;&quot;\ 0.00&quot;X EM to LP&quot;"/>
    <numFmt numFmtId="195" formatCode="&quot;&gt;&quot;\ 0.0%\ \I\R\R&quot; to LP&quot;"/>
    <numFmt numFmtId="196" formatCode="&quot; up to &quot;0.0%\ \I\R\R&quot; to LP&quot;"/>
    <numFmt numFmtId="197" formatCode="0\ &quot;years&quot;"/>
    <numFmt numFmtId="198" formatCode="0.00&quot;x&quot;"/>
    <numFmt numFmtId="199" formatCode="[$-409]d\-mmm\-yy;@"/>
    <numFmt numFmtId="200" formatCode="&quot;IRR Error Check -&quot;\ 0.0%"/>
    <numFmt numFmtId="201" formatCode="&quot; Up to &quot;0.00\X&quot; EMx to LP&quot;"/>
    <numFmt numFmtId="202" formatCode="0.0&quot;x&quot;"/>
    <numFmt numFmtId="203" formatCode="0.0%;\(0.0%\);&quot;NA&quot;"/>
    <numFmt numFmtId="204" formatCode="0.0\x"/>
    <numFmt numFmtId="205" formatCode="&quot;$&quot;#,##0;\(&quot;$&quot;#,##0\);\-"/>
    <numFmt numFmtId="206" formatCode="0.0\x;\(0.0\x\);&quot;NA&quot;"/>
    <numFmt numFmtId="207" formatCode="&quot;$&quot;#,##0.0000"/>
    <numFmt numFmtId="213" formatCode="0\ &quot;Year End&quot;"/>
  </numFmts>
  <fonts count="154">
    <font>
      <sz val="12"/>
      <color theme="1"/>
      <name val="Aptos Narrow"/>
      <family val="2"/>
      <scheme val="minor"/>
    </font>
    <font>
      <sz val="12"/>
      <color theme="1"/>
      <name val="Aptos Narrow"/>
      <family val="2"/>
      <scheme val="minor"/>
    </font>
    <font>
      <sz val="12"/>
      <color rgb="FFFF0000"/>
      <name val="Aptos Narrow"/>
      <family val="2"/>
      <scheme val="minor"/>
    </font>
    <font>
      <b/>
      <sz val="12"/>
      <color theme="1"/>
      <name val="Aptos Narrow"/>
      <family val="2"/>
      <scheme val="minor"/>
    </font>
    <font>
      <sz val="12"/>
      <color theme="0"/>
      <name val="Aptos Narrow"/>
      <family val="2"/>
      <scheme val="minor"/>
    </font>
    <font>
      <sz val="16"/>
      <color theme="0"/>
      <name val="Arial"/>
      <family val="2"/>
    </font>
    <font>
      <b/>
      <sz val="12"/>
      <name val="Aptos Narrow"/>
      <family val="2"/>
      <scheme val="minor"/>
    </font>
    <font>
      <b/>
      <sz val="12"/>
      <color theme="1"/>
      <name val="Aptos Narrow"/>
      <scheme val="minor"/>
    </font>
    <font>
      <b/>
      <u/>
      <sz val="12"/>
      <color theme="1"/>
      <name val="Aptos Narrow"/>
      <scheme val="minor"/>
    </font>
    <font>
      <b/>
      <sz val="14"/>
      <name val="Aptos Narrow"/>
      <family val="2"/>
      <scheme val="minor"/>
    </font>
    <font>
      <sz val="12"/>
      <color theme="3" tint="0.249977111117893"/>
      <name val="Aptos Narrow"/>
      <family val="2"/>
      <scheme val="minor"/>
    </font>
    <font>
      <sz val="12"/>
      <color theme="1"/>
      <name val="Aptos Narrow"/>
      <scheme val="minor"/>
    </font>
    <font>
      <sz val="12"/>
      <color theme="4" tint="-0.249977111117893"/>
      <name val="Aptos Narrow"/>
      <family val="2"/>
      <scheme val="minor"/>
    </font>
    <font>
      <b/>
      <sz val="14"/>
      <name val="Aptos Narrow"/>
      <scheme val="minor"/>
    </font>
    <font>
      <sz val="12"/>
      <color theme="1"/>
      <name val="Helvetica"/>
      <family val="2"/>
    </font>
    <font>
      <sz val="11"/>
      <color theme="1"/>
      <name val="Aptos Narrow"/>
      <family val="2"/>
      <scheme val="minor"/>
    </font>
    <font>
      <sz val="12"/>
      <name val="Arial"/>
      <family val="2"/>
    </font>
    <font>
      <sz val="12"/>
      <color theme="1"/>
      <name val="Al Nile"/>
      <charset val="178"/>
    </font>
    <font>
      <sz val="12"/>
      <color theme="1"/>
      <name val="Arial"/>
      <family val="2"/>
    </font>
    <font>
      <sz val="11"/>
      <color theme="1"/>
      <name val="Al Nile"/>
      <charset val="178"/>
    </font>
    <font>
      <sz val="12"/>
      <color indexed="12"/>
      <name val="Arial"/>
      <family val="2"/>
    </font>
    <font>
      <i/>
      <sz val="12"/>
      <color theme="1"/>
      <name val="Al Nile"/>
      <charset val="178"/>
    </font>
    <font>
      <sz val="10"/>
      <color theme="1"/>
      <name val="Aptos Narrow"/>
      <family val="2"/>
      <scheme val="minor"/>
    </font>
    <font>
      <i/>
      <sz val="12"/>
      <color theme="1"/>
      <name val="Arial"/>
      <family val="2"/>
    </font>
    <font>
      <sz val="10"/>
      <color theme="3" tint="0.499984740745262"/>
      <name val="Aptos Narrow"/>
      <family val="2"/>
      <scheme val="minor"/>
    </font>
    <font>
      <b/>
      <sz val="11"/>
      <name val="Aptos Narrow"/>
      <family val="2"/>
      <scheme val="minor"/>
    </font>
    <font>
      <b/>
      <sz val="16"/>
      <color theme="1"/>
      <name val="Aptos Narrow"/>
      <family val="2"/>
      <scheme val="minor"/>
    </font>
    <font>
      <b/>
      <sz val="14"/>
      <color theme="1"/>
      <name val="Aptos Narrow"/>
      <family val="2"/>
      <scheme val="minor"/>
    </font>
    <font>
      <sz val="14"/>
      <color theme="1"/>
      <name val="Aptos Narrow"/>
      <family val="2"/>
      <scheme val="minor"/>
    </font>
    <font>
      <b/>
      <sz val="14"/>
      <color theme="0"/>
      <name val="Aptos Narrow"/>
      <family val="2"/>
      <scheme val="minor"/>
    </font>
    <font>
      <sz val="12"/>
      <color theme="5"/>
      <name val="Aptos Narrow"/>
      <family val="2"/>
      <scheme val="minor"/>
    </font>
    <font>
      <sz val="12"/>
      <name val="Aptos Narrow"/>
      <family val="2"/>
      <scheme val="minor"/>
    </font>
    <font>
      <sz val="12"/>
      <color theme="0"/>
      <name val="Arial"/>
      <family val="2"/>
    </font>
    <font>
      <b/>
      <sz val="12"/>
      <color theme="6" tint="0.39997558519241921"/>
      <name val="Aptos Narrow"/>
      <scheme val="minor"/>
    </font>
    <font>
      <u/>
      <sz val="12"/>
      <color theme="10"/>
      <name val="Aptos Narrow"/>
      <family val="2"/>
      <scheme val="minor"/>
    </font>
    <font>
      <b/>
      <u/>
      <sz val="12"/>
      <color theme="10"/>
      <name val="Aptos Narrow"/>
      <scheme val="minor"/>
    </font>
    <font>
      <b/>
      <sz val="14"/>
      <color rgb="FF002855"/>
      <name val="Aptos Display"/>
      <scheme val="major"/>
    </font>
    <font>
      <sz val="11"/>
      <color theme="1"/>
      <name val="Aptos Display"/>
      <scheme val="major"/>
    </font>
    <font>
      <b/>
      <sz val="11"/>
      <color theme="1"/>
      <name val="Aptos Narrow"/>
      <family val="2"/>
      <scheme val="minor"/>
    </font>
    <font>
      <sz val="12"/>
      <color theme="1" tint="4.9989318521683403E-2"/>
      <name val="Aptos Narrow"/>
      <family val="2"/>
      <scheme val="minor"/>
    </font>
    <font>
      <sz val="12"/>
      <color theme="6" tint="0.39997558519241921"/>
      <name val="Aptos Narrow"/>
      <family val="2"/>
      <scheme val="minor"/>
    </font>
    <font>
      <b/>
      <sz val="12"/>
      <color theme="1" tint="4.9989318521683403E-2"/>
      <name val="Aptos Narrow"/>
      <scheme val="minor"/>
    </font>
    <font>
      <sz val="10"/>
      <name val="Arial"/>
      <family val="2"/>
    </font>
    <font>
      <b/>
      <sz val="11"/>
      <color theme="0"/>
      <name val="Aptos Display"/>
      <scheme val="major"/>
    </font>
    <font>
      <sz val="10"/>
      <name val="Aptos Display"/>
      <scheme val="major"/>
    </font>
    <font>
      <sz val="11"/>
      <color theme="3" tint="0.249977111117893"/>
      <name val="Aptos Display"/>
      <scheme val="major"/>
    </font>
    <font>
      <b/>
      <sz val="14"/>
      <color indexed="9"/>
      <name val="Arial"/>
      <family val="2"/>
    </font>
    <font>
      <b/>
      <sz val="10"/>
      <name val="Arial"/>
      <family val="2"/>
    </font>
    <font>
      <b/>
      <sz val="10"/>
      <color indexed="8"/>
      <name val="Arial"/>
      <family val="2"/>
    </font>
    <font>
      <sz val="11"/>
      <name val="Arial"/>
      <family val="2"/>
    </font>
    <font>
      <b/>
      <sz val="14"/>
      <name val="Arial"/>
      <family val="2"/>
    </font>
    <font>
      <b/>
      <i/>
      <sz val="10"/>
      <color rgb="FFFF7F32"/>
      <name val="Aptos Display"/>
      <scheme val="major"/>
    </font>
    <font>
      <i/>
      <sz val="8"/>
      <color theme="1"/>
      <name val="Aptos Display"/>
      <scheme val="major"/>
    </font>
    <font>
      <b/>
      <i/>
      <sz val="10"/>
      <name val="Aptos Display"/>
      <scheme val="major"/>
    </font>
    <font>
      <b/>
      <sz val="10"/>
      <name val="Aptos Display"/>
      <scheme val="major"/>
    </font>
    <font>
      <sz val="10"/>
      <color theme="1"/>
      <name val="Aptos Display"/>
      <scheme val="major"/>
    </font>
    <font>
      <b/>
      <sz val="10"/>
      <color theme="1"/>
      <name val="Aptos Display"/>
      <scheme val="major"/>
    </font>
    <font>
      <b/>
      <sz val="14"/>
      <color theme="4" tint="-0.249977111117893"/>
      <name val="Aptos Narrow"/>
      <family val="2"/>
      <scheme val="minor"/>
    </font>
    <font>
      <i/>
      <sz val="8"/>
      <color theme="1"/>
      <name val="Frank Ruhl Libre"/>
    </font>
    <font>
      <b/>
      <sz val="11"/>
      <color theme="1"/>
      <name val="Aptos Display"/>
      <scheme val="major"/>
    </font>
    <font>
      <sz val="12"/>
      <color theme="9"/>
      <name val="Aptos Narrow"/>
      <family val="2"/>
      <scheme val="minor"/>
    </font>
    <font>
      <sz val="10"/>
      <name val="Poppins"/>
    </font>
    <font>
      <sz val="11"/>
      <name val="Poppins"/>
    </font>
    <font>
      <b/>
      <i/>
      <sz val="11"/>
      <name val="Poppins"/>
    </font>
    <font>
      <b/>
      <sz val="11"/>
      <name val="Poppins"/>
    </font>
    <font>
      <b/>
      <i/>
      <sz val="11"/>
      <name val="Frank Ruhl Libre"/>
      <charset val="177"/>
    </font>
    <font>
      <sz val="11"/>
      <name val="Frank Ruhl Libre"/>
      <charset val="177"/>
    </font>
    <font>
      <sz val="10"/>
      <name val="Frank Ruhl Libre"/>
      <charset val="177"/>
    </font>
    <font>
      <b/>
      <sz val="11"/>
      <name val="Frank Ruhl Libre"/>
      <charset val="177"/>
    </font>
    <font>
      <sz val="10"/>
      <name val="Helv"/>
    </font>
    <font>
      <b/>
      <sz val="10"/>
      <name val="Poppins"/>
    </font>
    <font>
      <b/>
      <sz val="10"/>
      <name val="Frank Ruhl Libre"/>
      <charset val="177"/>
    </font>
    <font>
      <i/>
      <sz val="11"/>
      <name val="Poppins"/>
    </font>
    <font>
      <i/>
      <sz val="10"/>
      <name val="Poppins"/>
    </font>
    <font>
      <i/>
      <sz val="11"/>
      <name val="Frank Ruhl Libre"/>
      <charset val="177"/>
    </font>
    <font>
      <i/>
      <sz val="10"/>
      <name val="Frank Ruhl Libre"/>
      <charset val="177"/>
    </font>
    <font>
      <u/>
      <sz val="11"/>
      <name val="Poppins"/>
    </font>
    <font>
      <u/>
      <sz val="11"/>
      <name val="Frank Ruhl Libre"/>
      <charset val="177"/>
    </font>
    <font>
      <i/>
      <sz val="10"/>
      <name val="Arial"/>
      <family val="2"/>
    </font>
    <font>
      <sz val="8"/>
      <name val="Times New Roman"/>
      <family val="1"/>
    </font>
    <font>
      <b/>
      <sz val="12"/>
      <name val="Poppins"/>
    </font>
    <font>
      <b/>
      <sz val="14"/>
      <name val="Poppins"/>
    </font>
    <font>
      <sz val="8"/>
      <name val="Poppins"/>
    </font>
    <font>
      <b/>
      <sz val="14"/>
      <name val="Times New Roman"/>
      <family val="1"/>
    </font>
    <font>
      <b/>
      <sz val="12"/>
      <name val="Times New Roman"/>
      <family val="1"/>
    </font>
    <font>
      <sz val="12"/>
      <name val="Times New Roman"/>
      <family val="1"/>
    </font>
    <font>
      <b/>
      <sz val="12"/>
      <name val="Arial"/>
      <family val="2"/>
    </font>
    <font>
      <i/>
      <sz val="10"/>
      <name val="Times New Roman"/>
      <family val="1"/>
    </font>
    <font>
      <sz val="12"/>
      <color theme="1"/>
      <name val="Poppins"/>
    </font>
    <font>
      <b/>
      <i/>
      <sz val="12"/>
      <color theme="1"/>
      <name val="Poppins"/>
    </font>
    <font>
      <b/>
      <sz val="12"/>
      <color theme="1"/>
      <name val="Poppins"/>
    </font>
    <font>
      <sz val="10"/>
      <color theme="1"/>
      <name val="Poppins"/>
    </font>
    <font>
      <b/>
      <sz val="11"/>
      <color theme="1"/>
      <name val="Poppins"/>
    </font>
    <font>
      <sz val="11"/>
      <color theme="1"/>
      <name val="Poppins"/>
    </font>
    <font>
      <b/>
      <sz val="11"/>
      <color theme="1"/>
      <name val="Frank Ruhl Libre"/>
      <charset val="177"/>
    </font>
    <font>
      <sz val="10"/>
      <color theme="1"/>
      <name val="Frank Ruhl Libre"/>
      <charset val="177"/>
    </font>
    <font>
      <sz val="16"/>
      <color theme="1"/>
      <name val="Aptos Narrow"/>
      <family val="2"/>
      <scheme val="minor"/>
    </font>
    <font>
      <b/>
      <sz val="20"/>
      <color rgb="FFFF0000"/>
      <name val="Aptos Narrow"/>
      <family val="2"/>
      <scheme val="minor"/>
    </font>
    <font>
      <b/>
      <i/>
      <sz val="10"/>
      <color theme="3" tint="0.499984740745262"/>
      <name val="Aptos Display"/>
      <scheme val="major"/>
    </font>
    <font>
      <b/>
      <sz val="10"/>
      <color theme="3" tint="0.499984740745262"/>
      <name val="Aptos Display"/>
      <scheme val="major"/>
    </font>
    <font>
      <b/>
      <sz val="12"/>
      <color theme="4" tint="-0.249977111117893"/>
      <name val="Aptos Narrow"/>
      <scheme val="minor"/>
    </font>
    <font>
      <sz val="12"/>
      <color theme="4" tint="-0.249977111117893"/>
      <name val="Aptos Narrow"/>
      <scheme val="minor"/>
    </font>
    <font>
      <sz val="16"/>
      <color theme="1"/>
      <name val="Arial"/>
      <family val="2"/>
    </font>
    <font>
      <sz val="9"/>
      <color theme="1"/>
      <name val="Aptos Narrow"/>
      <family val="2"/>
      <scheme val="minor"/>
    </font>
    <font>
      <b/>
      <sz val="14"/>
      <color theme="0"/>
      <name val="Arial"/>
      <family val="2"/>
    </font>
    <font>
      <b/>
      <sz val="12"/>
      <name val="Aptos Narrow"/>
      <scheme val="minor"/>
    </font>
    <font>
      <sz val="12"/>
      <color theme="0"/>
      <name val="Aptos Narrow"/>
      <scheme val="minor"/>
    </font>
    <font>
      <b/>
      <sz val="11"/>
      <color theme="1"/>
      <name val="Aptos Narrow"/>
      <scheme val="minor"/>
    </font>
    <font>
      <sz val="9"/>
      <color theme="1"/>
      <name val="Aptos Narrow"/>
      <scheme val="minor"/>
    </font>
    <font>
      <sz val="11"/>
      <color theme="1"/>
      <name val="Aptos Narrow"/>
      <scheme val="minor"/>
    </font>
    <font>
      <sz val="12"/>
      <color indexed="12"/>
      <name val="Aptos Narrow"/>
      <scheme val="minor"/>
    </font>
    <font>
      <u/>
      <sz val="12"/>
      <color rgb="FF000000"/>
      <name val="Aptos Narrow"/>
      <scheme val="minor"/>
    </font>
    <font>
      <sz val="12"/>
      <name val="Aptos Narrow"/>
      <scheme val="minor"/>
    </font>
    <font>
      <b/>
      <sz val="12"/>
      <color rgb="FFFF0000"/>
      <name val="Aptos Narrow"/>
      <scheme val="minor"/>
    </font>
    <font>
      <u/>
      <sz val="12"/>
      <color theme="1"/>
      <name val="Aptos Narrow"/>
      <scheme val="minor"/>
    </font>
    <font>
      <sz val="12"/>
      <color rgb="FF000000"/>
      <name val="Aptos Narrow"/>
      <scheme val="minor"/>
    </font>
    <font>
      <u val="singleAccounting"/>
      <sz val="12"/>
      <name val="Aptos Narrow"/>
      <scheme val="minor"/>
    </font>
    <font>
      <b/>
      <sz val="12"/>
      <color rgb="FF000000"/>
      <name val="Aptos Narrow"/>
      <scheme val="minor"/>
    </font>
    <font>
      <sz val="12"/>
      <color rgb="FFFF0000"/>
      <name val="Aptos Narrow"/>
      <scheme val="minor"/>
    </font>
    <font>
      <sz val="12"/>
      <color theme="9"/>
      <name val="Aptos Narrow"/>
      <scheme val="minor"/>
    </font>
    <font>
      <sz val="12"/>
      <color theme="3" tint="0.249977111117893"/>
      <name val="Aptos Narrow"/>
      <scheme val="minor"/>
    </font>
    <font>
      <sz val="16"/>
      <color rgb="FFFFFFFF"/>
      <name val="Arial"/>
      <family val="2"/>
    </font>
    <font>
      <sz val="12"/>
      <color rgb="FF000000"/>
      <name val="Aptos Narrow"/>
      <family val="2"/>
      <scheme val="minor"/>
    </font>
    <font>
      <sz val="12"/>
      <color rgb="FF0000FF"/>
      <name val="Aptos Narrow"/>
      <family val="2"/>
      <scheme val="minor"/>
    </font>
    <font>
      <b/>
      <sz val="16"/>
      <color rgb="FFFFFFFF"/>
      <name val="Arial"/>
      <family val="2"/>
    </font>
    <font>
      <b/>
      <sz val="13"/>
      <color theme="1"/>
      <name val="Aptos Narrow"/>
      <family val="2"/>
      <scheme val="minor"/>
    </font>
    <font>
      <b/>
      <sz val="10"/>
      <color theme="1"/>
      <name val="Aptos Narrow"/>
      <family val="2"/>
      <scheme val="minor"/>
    </font>
    <font>
      <b/>
      <sz val="9"/>
      <color theme="1"/>
      <name val="Aptos Narrow"/>
      <family val="2"/>
      <scheme val="minor"/>
    </font>
    <font>
      <b/>
      <sz val="12"/>
      <color rgb="FFFFFFFF"/>
      <name val="Aptos Narrow"/>
      <scheme val="minor"/>
    </font>
    <font>
      <b/>
      <sz val="11"/>
      <color rgb="FFFFFFFF"/>
      <name val="Aptos Narrow"/>
      <scheme val="minor"/>
    </font>
    <font>
      <sz val="16"/>
      <color rgb="FFFFFFFF"/>
      <name val="Aptos Narrow"/>
    </font>
    <font>
      <i/>
      <sz val="10"/>
      <color theme="1"/>
      <name val="Aptos Narrow"/>
      <scheme val="minor"/>
    </font>
    <font>
      <b/>
      <sz val="11"/>
      <color rgb="FFFFFFFF"/>
      <name val="Aptos Narrow"/>
    </font>
    <font>
      <sz val="11"/>
      <color theme="0"/>
      <name val="Aptos Narrow"/>
    </font>
    <font>
      <b/>
      <sz val="9"/>
      <color theme="1"/>
      <name val="Aptos Narrow"/>
      <scheme val="minor"/>
    </font>
    <font>
      <b/>
      <sz val="10"/>
      <color theme="1"/>
      <name val="Aptos Narrow"/>
      <scheme val="minor"/>
    </font>
    <font>
      <b/>
      <sz val="9"/>
      <color rgb="FF0000FF"/>
      <name val="Aptos Narrow"/>
      <scheme val="minor"/>
    </font>
    <font>
      <b/>
      <sz val="9"/>
      <color rgb="FFFFFFFF"/>
      <name val="Aptos Narrow"/>
      <scheme val="minor"/>
    </font>
    <font>
      <sz val="9"/>
      <color rgb="FF0000FF"/>
      <name val="Aptos Narrow"/>
      <scheme val="minor"/>
    </font>
    <font>
      <sz val="8"/>
      <color theme="1"/>
      <name val="Aptos Narrow"/>
      <family val="2"/>
      <scheme val="minor"/>
    </font>
    <font>
      <b/>
      <sz val="8"/>
      <color rgb="FF666666"/>
      <name val="Aptos Narrow"/>
      <scheme val="minor"/>
    </font>
    <font>
      <sz val="8"/>
      <color rgb="FF666666"/>
      <name val="Aptos Narrow"/>
      <scheme val="minor"/>
    </font>
    <font>
      <sz val="12"/>
      <color theme="1"/>
      <name val="Aptos Narrow"/>
    </font>
    <font>
      <b/>
      <sz val="12"/>
      <color theme="1"/>
      <name val="Aptos Narrow"/>
    </font>
    <font>
      <b/>
      <u/>
      <sz val="12"/>
      <color theme="1"/>
      <name val="Aptos Narrow"/>
    </font>
    <font>
      <u/>
      <sz val="11"/>
      <color theme="1"/>
      <name val="Aptos Display"/>
      <scheme val="major"/>
    </font>
    <font>
      <sz val="11"/>
      <color theme="4" tint="-0.249977111117893"/>
      <name val="Aptos Narrow"/>
      <scheme val="minor"/>
    </font>
    <font>
      <b/>
      <sz val="11"/>
      <color theme="0"/>
      <name val="Aptos Narrow"/>
      <scheme val="minor"/>
    </font>
    <font>
      <sz val="11"/>
      <color theme="0"/>
      <name val="Aptos Narrow"/>
      <scheme val="minor"/>
    </font>
    <font>
      <b/>
      <sz val="16"/>
      <color theme="0"/>
      <name val="Arial"/>
      <family val="2"/>
    </font>
    <font>
      <b/>
      <sz val="11"/>
      <color rgb="FFA0B8D0"/>
      <name val="Aptos Narrow"/>
    </font>
    <font>
      <b/>
      <sz val="14"/>
      <color rgb="FFFFFFFF"/>
      <name val="Aptos Narrow"/>
      <scheme val="minor"/>
    </font>
    <font>
      <sz val="12"/>
      <color theme="0"/>
      <name val="Aptos Narrow"/>
    </font>
    <font>
      <i/>
      <sz val="12"/>
      <color rgb="FF808080"/>
      <name val="Aptos Narrow"/>
      <family val="2"/>
      <scheme val="minor"/>
    </font>
  </fonts>
  <fills count="39">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FFFE74"/>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2"/>
        <bgColor indexed="64"/>
      </patternFill>
    </fill>
    <fill>
      <patternFill patternType="solid">
        <fgColor theme="1" tint="4.9989318521683403E-2"/>
        <bgColor indexed="64"/>
      </patternFill>
    </fill>
    <fill>
      <patternFill patternType="solid">
        <fgColor theme="3" tint="0.249977111117893"/>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FF7F32"/>
        <bgColor indexed="64"/>
      </patternFill>
    </fill>
    <fill>
      <patternFill patternType="solid">
        <fgColor rgb="FFFFFFFF"/>
      </patternFill>
    </fill>
    <fill>
      <patternFill patternType="solid">
        <fgColor rgb="FFEAEAEA"/>
      </patternFill>
    </fill>
    <fill>
      <patternFill patternType="solid">
        <fgColor indexed="9"/>
        <bgColor indexed="64"/>
      </patternFill>
    </fill>
    <fill>
      <patternFill patternType="solid">
        <fgColor rgb="FF1E3A6F"/>
        <bgColor indexed="64"/>
      </patternFill>
    </fill>
    <fill>
      <patternFill patternType="solid">
        <fgColor indexed="9"/>
      </patternFill>
    </fill>
    <fill>
      <patternFill patternType="solid">
        <fgColor indexed="22"/>
      </patternFill>
    </fill>
    <fill>
      <patternFill patternType="solid">
        <fgColor rgb="FFE7E9EB"/>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0E2841"/>
        <bgColor indexed="64"/>
      </patternFill>
    </fill>
    <fill>
      <patternFill patternType="solid">
        <fgColor rgb="FFC0E6F5"/>
        <bgColor indexed="64"/>
      </patternFill>
    </fill>
    <fill>
      <patternFill patternType="solid">
        <fgColor rgb="FFD9E2F3"/>
        <bgColor indexed="64"/>
      </patternFill>
    </fill>
    <fill>
      <patternFill patternType="solid">
        <fgColor rgb="FFFFFF00"/>
        <bgColor indexed="64"/>
      </patternFill>
    </fill>
    <fill>
      <patternFill patternType="solid">
        <fgColor rgb="FFF2F2F2"/>
        <bgColor indexed="64"/>
      </patternFill>
    </fill>
    <fill>
      <patternFill patternType="solid">
        <fgColor rgb="FF5B7FA3"/>
        <bgColor indexed="64"/>
      </patternFill>
    </fill>
    <fill>
      <patternFill patternType="solid">
        <fgColor rgb="FFF5F5F5"/>
        <bgColor indexed="64"/>
      </patternFill>
    </fill>
    <fill>
      <patternFill patternType="solid">
        <fgColor rgb="FFADADAD"/>
        <bgColor indexed="64"/>
      </patternFill>
    </fill>
    <fill>
      <patternFill patternType="solid">
        <fgColor rgb="FFD0D0D0"/>
        <bgColor indexed="64"/>
      </patternFill>
    </fill>
    <fill>
      <patternFill patternType="solid">
        <fgColor rgb="FFC1F0C8"/>
        <bgColor indexed="64"/>
      </patternFill>
    </fill>
    <fill>
      <patternFill patternType="solid">
        <fgColor rgb="FF94DCF8"/>
        <bgColor indexed="64"/>
      </patternFill>
    </fill>
    <fill>
      <patternFill patternType="solid">
        <fgColor rgb="FFF7C7AC"/>
        <bgColor indexed="64"/>
      </patternFill>
    </fill>
    <fill>
      <patternFill patternType="solid">
        <fgColor rgb="FFFFFFFF"/>
        <bgColor indexed="64"/>
      </patternFill>
    </fill>
  </fills>
  <borders count="142">
    <border>
      <left/>
      <right/>
      <top/>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theme="4" tint="0.39997558519241921"/>
      </bottom>
      <diagonal/>
    </border>
    <border>
      <left style="dotted">
        <color theme="0" tint="-0.14999847407452621"/>
      </left>
      <right/>
      <top style="dotted">
        <color theme="0" tint="-0.14999847407452621"/>
      </top>
      <bottom/>
      <diagonal/>
    </border>
    <border>
      <left/>
      <right/>
      <top style="dotted">
        <color theme="0" tint="-0.14999847407452621"/>
      </top>
      <bottom/>
      <diagonal/>
    </border>
    <border>
      <left/>
      <right style="dotted">
        <color theme="0" tint="-0.14999847407452621"/>
      </right>
      <top style="dotted">
        <color theme="0" tint="-0.14999847407452621"/>
      </top>
      <bottom/>
      <diagonal/>
    </border>
    <border>
      <left style="dotted">
        <color theme="0" tint="-0.14999847407452621"/>
      </left>
      <right/>
      <top/>
      <bottom/>
      <diagonal/>
    </border>
    <border>
      <left/>
      <right style="dotted">
        <color theme="0" tint="-0.14999847407452621"/>
      </right>
      <top/>
      <bottom/>
      <diagonal/>
    </border>
    <border>
      <left style="dotted">
        <color theme="0" tint="-0.14999847407452621"/>
      </left>
      <right/>
      <top/>
      <bottom style="dotted">
        <color theme="0" tint="-0.14999847407452621"/>
      </bottom>
      <diagonal/>
    </border>
    <border>
      <left/>
      <right/>
      <top/>
      <bottom style="dotted">
        <color theme="0" tint="-0.14999847407452621"/>
      </bottom>
      <diagonal/>
    </border>
    <border>
      <left/>
      <right style="dotted">
        <color theme="0" tint="-0.14999847407452621"/>
      </right>
      <top/>
      <bottom style="dotted">
        <color theme="0" tint="-0.14999847407452621"/>
      </bottom>
      <diagonal/>
    </border>
    <border>
      <left/>
      <right/>
      <top style="thin">
        <color indexed="64"/>
      </top>
      <bottom style="double">
        <color indexed="64"/>
      </bottom>
      <diagonal/>
    </border>
    <border diagonalUp="1" diagonalDown="1">
      <left style="thin">
        <color rgb="FFA0A0A0"/>
      </left>
      <right style="thin">
        <color rgb="FFA0A0A0"/>
      </right>
      <top style="thin">
        <color rgb="FFA0A0A0"/>
      </top>
      <bottom style="thin">
        <color rgb="FFA0A0A0"/>
      </bottom>
      <diagonal/>
    </border>
    <border>
      <left style="thin">
        <color indexed="64"/>
      </left>
      <right style="thin">
        <color rgb="FFD8DAD9"/>
      </right>
      <top style="thin">
        <color rgb="FFD8DAD9"/>
      </top>
      <bottom style="thin">
        <color rgb="FFD8DAD9"/>
      </bottom>
      <diagonal/>
    </border>
    <border>
      <left style="thin">
        <color rgb="FFD8DAD9"/>
      </left>
      <right style="thin">
        <color rgb="FFD8DAD9"/>
      </right>
      <top style="thin">
        <color rgb="FFD8DAD9"/>
      </top>
      <bottom style="thin">
        <color rgb="FFD8DAD9"/>
      </bottom>
      <diagonal/>
    </border>
    <border>
      <left style="thin">
        <color indexed="58"/>
      </left>
      <right style="thin">
        <color indexed="58"/>
      </right>
      <top style="thin">
        <color indexed="58"/>
      </top>
      <bottom style="thin">
        <color indexed="58"/>
      </bottom>
      <diagonal/>
    </border>
    <border>
      <left style="thin">
        <color indexed="64"/>
      </left>
      <right style="thin">
        <color rgb="FFD8DAD9"/>
      </right>
      <top style="thin">
        <color rgb="FFD8DAD9"/>
      </top>
      <bottom style="thin">
        <color indexed="64"/>
      </bottom>
      <diagonal/>
    </border>
    <border>
      <left style="thin">
        <color rgb="FFD8DAD9"/>
      </left>
      <right style="thin">
        <color rgb="FFD8DAD9"/>
      </right>
      <top style="thin">
        <color rgb="FFD8DAD9"/>
      </top>
      <bottom style="thin">
        <color indexed="64"/>
      </bottom>
      <diagonal/>
    </border>
    <border>
      <left style="thin">
        <color rgb="FFA0A0A0"/>
      </left>
      <right/>
      <top/>
      <bottom style="thin">
        <color rgb="FFA0A0A0"/>
      </bottom>
      <diagonal/>
    </border>
    <border>
      <left/>
      <right/>
      <top/>
      <bottom style="thin">
        <color rgb="FFA0A0A0"/>
      </bottom>
      <diagonal/>
    </border>
    <border>
      <left/>
      <right style="thin">
        <color rgb="FFA0A0A0"/>
      </right>
      <top/>
      <bottom style="thin">
        <color rgb="FFA0A0A0"/>
      </bottom>
      <diagonal/>
    </border>
    <border>
      <left style="thin">
        <color rgb="FFD8DAD9"/>
      </left>
      <right/>
      <top style="thin">
        <color rgb="FFD8DAD9"/>
      </top>
      <bottom style="thin">
        <color rgb="FFD8DAD9"/>
      </bottom>
      <diagonal/>
    </border>
    <border>
      <left style="thin">
        <color indexed="33"/>
      </left>
      <right/>
      <top style="thin">
        <color indexed="33"/>
      </top>
      <bottom style="thin">
        <color theme="0"/>
      </bottom>
      <diagonal/>
    </border>
    <border>
      <left/>
      <right/>
      <top style="thin">
        <color indexed="33"/>
      </top>
      <bottom style="thin">
        <color theme="0"/>
      </bottom>
      <diagonal/>
    </border>
    <border>
      <left/>
      <right style="thin">
        <color rgb="FFD3D3D3"/>
      </right>
      <top style="thin">
        <color indexed="33"/>
      </top>
      <bottom style="thin">
        <color theme="0"/>
      </bottom>
      <diagonal/>
    </border>
    <border>
      <left style="thin">
        <color theme="0"/>
      </left>
      <right/>
      <top style="thin">
        <color indexed="33"/>
      </top>
      <bottom style="thin">
        <color theme="0"/>
      </bottom>
      <diagonal/>
    </border>
    <border>
      <left style="thin">
        <color indexed="33"/>
      </left>
      <right style="thin">
        <color theme="0"/>
      </right>
      <top style="thin">
        <color theme="0"/>
      </top>
      <bottom style="thin">
        <color indexed="33"/>
      </bottom>
      <diagonal/>
    </border>
    <border>
      <left style="thin">
        <color theme="0"/>
      </left>
      <right style="thin">
        <color theme="0"/>
      </right>
      <top style="thin">
        <color theme="0"/>
      </top>
      <bottom style="thin">
        <color indexed="33"/>
      </bottom>
      <diagonal/>
    </border>
    <border>
      <left style="thin">
        <color theme="0"/>
      </left>
      <right style="thin">
        <color rgb="FFD3D3D3"/>
      </right>
      <top style="thin">
        <color theme="0"/>
      </top>
      <bottom style="thin">
        <color indexed="33"/>
      </bottom>
      <diagonal/>
    </border>
    <border>
      <left/>
      <right/>
      <top style="thin">
        <color theme="0"/>
      </top>
      <bottom style="thin">
        <color theme="0"/>
      </bottom>
      <diagonal/>
    </border>
    <border>
      <left style="thin">
        <color theme="0"/>
      </left>
      <right style="thin">
        <color indexed="33"/>
      </right>
      <top style="thin">
        <color theme="0"/>
      </top>
      <bottom style="thin">
        <color indexed="33"/>
      </bottom>
      <diagonal/>
    </border>
    <border>
      <left style="thin">
        <color indexed="33"/>
      </left>
      <right/>
      <top style="thin">
        <color indexed="33"/>
      </top>
      <bottom/>
      <diagonal/>
    </border>
    <border>
      <left/>
      <right/>
      <top style="thin">
        <color indexed="33"/>
      </top>
      <bottom/>
      <diagonal/>
    </border>
    <border>
      <left/>
      <right style="thin">
        <color rgb="FFD3D3D3"/>
      </right>
      <top style="thin">
        <color indexed="33"/>
      </top>
      <bottom/>
      <diagonal/>
    </border>
    <border>
      <left/>
      <right style="thin">
        <color indexed="33"/>
      </right>
      <top style="thin">
        <color indexed="33"/>
      </top>
      <bottom/>
      <diagonal/>
    </border>
    <border>
      <left style="thin">
        <color indexed="33"/>
      </left>
      <right/>
      <top/>
      <bottom/>
      <diagonal/>
    </border>
    <border>
      <left/>
      <right style="thin">
        <color rgb="FFD3D3D3"/>
      </right>
      <top/>
      <bottom/>
      <diagonal/>
    </border>
    <border>
      <left/>
      <right style="thin">
        <color indexed="33"/>
      </right>
      <top/>
      <bottom/>
      <diagonal/>
    </border>
    <border>
      <left style="thin">
        <color indexed="33"/>
      </left>
      <right/>
      <top/>
      <bottom style="thin">
        <color indexed="33"/>
      </bottom>
      <diagonal/>
    </border>
    <border>
      <left/>
      <right/>
      <top/>
      <bottom style="thin">
        <color indexed="33"/>
      </bottom>
      <diagonal/>
    </border>
    <border>
      <left/>
      <right style="thin">
        <color rgb="FFD3D3D3"/>
      </right>
      <top/>
      <bottom style="thin">
        <color indexed="33"/>
      </bottom>
      <diagonal/>
    </border>
    <border>
      <left/>
      <right style="thin">
        <color indexed="33"/>
      </right>
      <top/>
      <bottom style="thin">
        <color indexed="33"/>
      </bottom>
      <diagonal/>
    </border>
    <border>
      <left style="thin">
        <color theme="0"/>
      </left>
      <right style="thin">
        <color theme="0"/>
      </right>
      <top/>
      <bottom/>
      <diagonal/>
    </border>
    <border>
      <left style="thin">
        <color theme="0"/>
      </left>
      <right style="thin">
        <color theme="0"/>
      </right>
      <top/>
      <bottom style="thin">
        <color indexed="55"/>
      </bottom>
      <diagonal/>
    </border>
    <border>
      <left style="thin">
        <color theme="0"/>
      </left>
      <right style="thin">
        <color theme="0"/>
      </right>
      <top style="thin">
        <color theme="0"/>
      </top>
      <bottom style="thin">
        <color theme="0"/>
      </bottom>
      <diagonal/>
    </border>
    <border>
      <left style="thin">
        <color indexed="33"/>
      </left>
      <right style="thin">
        <color theme="0"/>
      </right>
      <top style="thin">
        <color indexed="55"/>
      </top>
      <bottom style="thin">
        <color theme="0"/>
      </bottom>
      <diagonal/>
    </border>
    <border>
      <left style="thin">
        <color theme="0"/>
      </left>
      <right style="thin">
        <color theme="0"/>
      </right>
      <top style="thin">
        <color indexed="55"/>
      </top>
      <bottom style="thin">
        <color theme="0"/>
      </bottom>
      <diagonal/>
    </border>
    <border>
      <left style="thin">
        <color theme="0"/>
      </left>
      <right style="thin">
        <color indexed="33"/>
      </right>
      <top style="thin">
        <color indexed="55"/>
      </top>
      <bottom style="thin">
        <color theme="0"/>
      </bottom>
      <diagonal/>
    </border>
    <border>
      <left/>
      <right/>
      <top style="medium">
        <color indexed="64"/>
      </top>
      <bottom/>
      <diagonal/>
    </border>
    <border>
      <left style="thin">
        <color indexed="64"/>
      </left>
      <right style="thin">
        <color indexed="33"/>
      </right>
      <top style="thin">
        <color indexed="64"/>
      </top>
      <bottom style="thin">
        <color indexed="33"/>
      </bottom>
      <diagonal/>
    </border>
    <border>
      <left style="thin">
        <color indexed="33"/>
      </left>
      <right/>
      <top style="thin">
        <color indexed="64"/>
      </top>
      <bottom style="thin">
        <color theme="0"/>
      </bottom>
      <diagonal/>
    </border>
    <border>
      <left/>
      <right/>
      <top style="thin">
        <color indexed="64"/>
      </top>
      <bottom style="thin">
        <color theme="0"/>
      </bottom>
      <diagonal/>
    </border>
    <border>
      <left/>
      <right style="thin">
        <color rgb="FFD3D3D3"/>
      </right>
      <top style="thin">
        <color indexed="64"/>
      </top>
      <bottom style="thin">
        <color theme="0"/>
      </bottom>
      <diagonal/>
    </border>
    <border>
      <left style="thin">
        <color theme="0"/>
      </left>
      <right/>
      <top style="thin">
        <color indexed="64"/>
      </top>
      <bottom style="thin">
        <color theme="0"/>
      </bottom>
      <diagonal/>
    </border>
    <border>
      <left style="thin">
        <color indexed="33"/>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33"/>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indexed="33"/>
      </right>
      <top style="thin">
        <color indexed="33"/>
      </top>
      <bottom style="thin">
        <color indexed="33"/>
      </bottom>
      <diagonal/>
    </border>
    <border>
      <left style="thin">
        <color theme="0"/>
      </left>
      <right style="thin">
        <color indexed="64"/>
      </right>
      <top style="thin">
        <color theme="0"/>
      </top>
      <bottom style="thin">
        <color indexed="33"/>
      </bottom>
      <diagonal/>
    </border>
    <border>
      <left/>
      <right style="thin">
        <color indexed="64"/>
      </right>
      <top style="thin">
        <color indexed="33"/>
      </top>
      <bottom/>
      <diagonal/>
    </border>
    <border>
      <left style="thin">
        <color indexed="64"/>
      </left>
      <right/>
      <top/>
      <bottom style="thin">
        <color indexed="22"/>
      </bottom>
      <diagonal/>
    </border>
    <border>
      <left/>
      <right style="thin">
        <color indexed="64"/>
      </right>
      <top/>
      <bottom style="thin">
        <color indexed="33"/>
      </bottom>
      <diagonal/>
    </border>
    <border>
      <left style="thin">
        <color indexed="64"/>
      </left>
      <right style="thin">
        <color theme="0"/>
      </right>
      <top/>
      <bottom/>
      <diagonal/>
    </border>
    <border>
      <left style="thin">
        <color theme="0"/>
      </left>
      <right style="thin">
        <color indexed="64"/>
      </right>
      <top/>
      <bottom style="thin">
        <color indexed="55"/>
      </bottom>
      <diagonal/>
    </border>
    <border>
      <left style="thin">
        <color indexed="64"/>
      </left>
      <right/>
      <top style="thin">
        <color indexed="22"/>
      </top>
      <bottom/>
      <diagonal/>
    </border>
    <border>
      <left style="thin">
        <color theme="0"/>
      </left>
      <right style="thin">
        <color indexed="64"/>
      </right>
      <top style="thin">
        <color indexed="55"/>
      </top>
      <bottom style="thin">
        <color theme="0"/>
      </bottom>
      <diagonal/>
    </border>
    <border>
      <left style="thin">
        <color indexed="33"/>
      </left>
      <right/>
      <top/>
      <bottom style="thin">
        <color indexed="64"/>
      </bottom>
      <diagonal/>
    </border>
    <border>
      <left/>
      <right style="thin">
        <color rgb="FFD3D3D3"/>
      </right>
      <top/>
      <bottom style="thin">
        <color indexed="64"/>
      </bottom>
      <diagonal/>
    </border>
    <border>
      <left/>
      <right/>
      <top style="thin">
        <color theme="0"/>
      </top>
      <bottom style="thin">
        <color indexed="64"/>
      </bottom>
      <diagonal/>
    </border>
    <border>
      <left/>
      <right style="thin">
        <color indexed="33"/>
      </right>
      <top/>
      <bottom style="thin">
        <color indexed="64"/>
      </bottom>
      <diagonal/>
    </border>
    <border>
      <left style="medium">
        <color indexed="64"/>
      </left>
      <right/>
      <top style="medium">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bottom style="thin">
        <color rgb="FF8F8F8F"/>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thin">
        <color rgb="FFD0D0D0"/>
      </top>
      <bottom style="thin">
        <color rgb="FFD0D0D0"/>
      </bottom>
      <diagonal/>
    </border>
    <border>
      <left/>
      <right/>
      <top style="thin">
        <color rgb="FFD0D0D0"/>
      </top>
      <bottom/>
      <diagonal/>
    </border>
    <border>
      <left/>
      <right/>
      <top style="double">
        <color rgb="FFD0D0D0"/>
      </top>
      <bottom style="medium">
        <color auto="1"/>
      </bottom>
      <diagonal/>
    </border>
    <border>
      <left/>
      <right/>
      <top/>
      <bottom style="thin">
        <color rgb="FFD0D0D0"/>
      </bottom>
      <diagonal/>
    </border>
    <border>
      <left/>
      <right/>
      <top style="double">
        <color rgb="FFD0D0D0"/>
      </top>
      <bottom style="medium">
        <color rgb="FFD0D0D0"/>
      </bottom>
      <diagonal/>
    </border>
    <border>
      <left style="thin">
        <color rgb="FFD0D0D0"/>
      </left>
      <right style="thin">
        <color rgb="FFD0D0D0"/>
      </right>
      <top style="thin">
        <color rgb="FFD0D0D0"/>
      </top>
      <bottom style="thin">
        <color rgb="FFD0D0D0"/>
      </bottom>
      <diagonal/>
    </border>
    <border>
      <left style="thin">
        <color rgb="FFD0D0D0"/>
      </left>
      <right style="thin">
        <color rgb="FFD0D0D0"/>
      </right>
      <top style="thin">
        <color rgb="FF000000"/>
      </top>
      <bottom style="thin">
        <color rgb="FFD0D0D0"/>
      </bottom>
      <diagonal/>
    </border>
    <border>
      <left style="thin">
        <color rgb="FFD0D0D0"/>
      </left>
      <right style="thin">
        <color rgb="FFD0D0D0"/>
      </right>
      <top style="thin">
        <color rgb="FFD0D0D0"/>
      </top>
      <bottom style="thin">
        <color auto="1"/>
      </bottom>
      <diagonal/>
    </border>
    <border>
      <left style="thin">
        <color rgb="FF000000"/>
      </left>
      <right style="thin">
        <color rgb="FFD0D0D0"/>
      </right>
      <top style="thin">
        <color rgb="FF000000"/>
      </top>
      <bottom style="thin">
        <color rgb="FFD0D0D0"/>
      </bottom>
      <diagonal/>
    </border>
    <border>
      <left style="thin">
        <color rgb="FF000000"/>
      </left>
      <right style="thin">
        <color rgb="FFD0D0D0"/>
      </right>
      <top style="thin">
        <color rgb="FFD0D0D0"/>
      </top>
      <bottom style="thin">
        <color rgb="FFD0D0D0"/>
      </bottom>
      <diagonal/>
    </border>
    <border>
      <left style="thin">
        <color rgb="FF000000"/>
      </left>
      <right style="thin">
        <color rgb="FFD0D0D0"/>
      </right>
      <top style="thin">
        <color rgb="FFD0D0D0"/>
      </top>
      <bottom style="thin">
        <color auto="1"/>
      </bottom>
      <diagonal/>
    </border>
    <border>
      <left style="thin">
        <color rgb="FFD0D0D0"/>
      </left>
      <right style="thin">
        <color auto="1"/>
      </right>
      <top style="thin">
        <color rgb="FF000000"/>
      </top>
      <bottom style="thin">
        <color rgb="FFD0D0D0"/>
      </bottom>
      <diagonal/>
    </border>
    <border>
      <left style="thin">
        <color rgb="FFD0D0D0"/>
      </left>
      <right style="thin">
        <color auto="1"/>
      </right>
      <top style="thin">
        <color rgb="FFD0D0D0"/>
      </top>
      <bottom style="thin">
        <color rgb="FFD0D0D0"/>
      </bottom>
      <diagonal/>
    </border>
    <border>
      <left style="thin">
        <color rgb="FFD0D0D0"/>
      </left>
      <right style="thin">
        <color auto="1"/>
      </right>
      <top style="thin">
        <color rgb="FFD0D0D0"/>
      </top>
      <bottom style="thin">
        <color auto="1"/>
      </bottom>
      <diagonal/>
    </border>
    <border>
      <left style="thin">
        <color rgb="FFD0D0D0"/>
      </left>
      <right style="thin">
        <color rgb="FFD0D0D0"/>
      </right>
      <top style="thin">
        <color rgb="FFD0D0D0"/>
      </top>
      <bottom style="thin">
        <color rgb="FF000000"/>
      </bottom>
      <diagonal/>
    </border>
    <border>
      <left style="thin">
        <color rgb="FF000000"/>
      </left>
      <right style="thin">
        <color rgb="FFD0D0D0"/>
      </right>
      <top style="thin">
        <color rgb="FFD0D0D0"/>
      </top>
      <bottom style="thin">
        <color rgb="FF000000"/>
      </bottom>
      <diagonal/>
    </border>
    <border>
      <left style="thin">
        <color rgb="FFD0D0D0"/>
      </left>
      <right style="thin">
        <color rgb="FF000000"/>
      </right>
      <top style="thin">
        <color rgb="FF000000"/>
      </top>
      <bottom style="thin">
        <color rgb="FFD0D0D0"/>
      </bottom>
      <diagonal/>
    </border>
    <border>
      <left style="thin">
        <color rgb="FFD0D0D0"/>
      </left>
      <right style="thin">
        <color rgb="FF000000"/>
      </right>
      <top style="thin">
        <color rgb="FFD0D0D0"/>
      </top>
      <bottom style="thin">
        <color rgb="FFD0D0D0"/>
      </bottom>
      <diagonal/>
    </border>
    <border>
      <left style="thin">
        <color rgb="FFD0D0D0"/>
      </left>
      <right style="thin">
        <color rgb="FF000000"/>
      </right>
      <top style="thin">
        <color rgb="FFD0D0D0"/>
      </top>
      <bottom style="thin">
        <color rgb="FF000000"/>
      </bottom>
      <diagonal/>
    </border>
    <border>
      <left/>
      <right/>
      <top style="dotted">
        <color rgb="FFD9D9D9"/>
      </top>
      <bottom/>
      <diagonal/>
    </border>
    <border>
      <left style="dotted">
        <color rgb="FFD9D9D9"/>
      </left>
      <right/>
      <top/>
      <bottom/>
      <diagonal/>
    </border>
    <border>
      <left style="thin">
        <color auto="1"/>
      </left>
      <right style="thin">
        <color rgb="FFD0D0D0"/>
      </right>
      <top style="thin">
        <color auto="1"/>
      </top>
      <bottom style="thin">
        <color rgb="FFD0D0D0"/>
      </bottom>
      <diagonal/>
    </border>
    <border>
      <left style="thin">
        <color rgb="FFD0D0D0"/>
      </left>
      <right style="thin">
        <color rgb="FFD0D0D0"/>
      </right>
      <top style="thin">
        <color auto="1"/>
      </top>
      <bottom style="thin">
        <color rgb="FFD0D0D0"/>
      </bottom>
      <diagonal/>
    </border>
    <border>
      <left style="thin">
        <color rgb="FFD0D0D0"/>
      </left>
      <right style="thin">
        <color auto="1"/>
      </right>
      <top style="thin">
        <color auto="1"/>
      </top>
      <bottom style="thin">
        <color rgb="FFD0D0D0"/>
      </bottom>
      <diagonal/>
    </border>
    <border>
      <left style="thin">
        <color auto="1"/>
      </left>
      <right style="thin">
        <color rgb="FFD0D0D0"/>
      </right>
      <top style="thin">
        <color rgb="FFD0D0D0"/>
      </top>
      <bottom style="thin">
        <color rgb="FFD0D0D0"/>
      </bottom>
      <diagonal/>
    </border>
    <border>
      <left style="thin">
        <color auto="1"/>
      </left>
      <right style="thin">
        <color rgb="FFD0D0D0"/>
      </right>
      <top style="thin">
        <color rgb="FFD0D0D0"/>
      </top>
      <bottom style="thin">
        <color auto="1"/>
      </bottom>
      <diagonal/>
    </border>
    <border>
      <left style="thin">
        <color indexed="64"/>
      </left>
      <right style="thin">
        <color rgb="FFD0D0D0"/>
      </right>
      <top style="thin">
        <color rgb="FF000000"/>
      </top>
      <bottom style="thin">
        <color rgb="FFD0D0D0"/>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thin">
        <color rgb="FFD0D0D0"/>
      </right>
      <top style="thin">
        <color rgb="FFD0D0D0"/>
      </top>
      <bottom style="thin">
        <color rgb="FF000000"/>
      </bottom>
      <diagonal/>
    </border>
    <border>
      <left style="thin">
        <color rgb="FFD0D0D0"/>
      </left>
      <right style="thin">
        <color indexed="64"/>
      </right>
      <top style="thin">
        <color rgb="FFD0D0D0"/>
      </top>
      <bottom style="thin">
        <color rgb="FF000000"/>
      </bottom>
      <diagonal/>
    </border>
    <border>
      <left/>
      <right/>
      <top/>
      <bottom style="thin">
        <color auto="1"/>
      </bottom>
      <diagonal/>
    </border>
    <border>
      <left/>
      <right/>
      <top style="thin">
        <color auto="1"/>
      </top>
      <bottom/>
      <diagonal/>
    </border>
    <border>
      <left style="thin">
        <color indexed="64"/>
      </left>
      <right/>
      <top style="thin">
        <color auto="1"/>
      </top>
      <bottom/>
      <diagonal/>
    </border>
    <border>
      <left/>
      <right style="thin">
        <color indexed="64"/>
      </right>
      <top style="thin">
        <color auto="1"/>
      </top>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5" fillId="0" borderId="0"/>
    <xf numFmtId="0" fontId="34" fillId="0" borderId="0" applyNumberFormat="0" applyFill="0" applyBorder="0" applyAlignment="0" applyProtection="0"/>
    <xf numFmtId="0" fontId="42" fillId="0" borderId="0"/>
    <xf numFmtId="0" fontId="42" fillId="18" borderId="40" applyNumberFormat="0" applyFont="0" applyProtection="0">
      <alignment horizontal="left" vertical="center"/>
    </xf>
    <xf numFmtId="0" fontId="42" fillId="0" borderId="0"/>
    <xf numFmtId="9" fontId="42" fillId="0" borderId="0" applyFont="0" applyFill="0" applyBorder="0" applyAlignment="0" applyProtection="0"/>
    <xf numFmtId="4" fontId="69" fillId="0" borderId="0" applyFont="0" applyFill="0" applyBorder="0" applyAlignment="0" applyProtection="0"/>
    <xf numFmtId="8" fontId="6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0" fontId="69" fillId="0" borderId="0"/>
  </cellStyleXfs>
  <cellXfs count="1224">
    <xf numFmtId="0" fontId="0" fillId="0" borderId="0" xfId="0"/>
    <xf numFmtId="1" fontId="6" fillId="3" borderId="2" xfId="0" applyNumberFormat="1" applyFont="1" applyFill="1" applyBorder="1" applyAlignment="1">
      <alignment horizontal="left"/>
    </xf>
    <xf numFmtId="1" fontId="6" fillId="3" borderId="2" xfId="0" applyNumberFormat="1" applyFont="1" applyFill="1" applyBorder="1" applyAlignment="1">
      <alignment horizontal="center"/>
    </xf>
    <xf numFmtId="0" fontId="7" fillId="0" borderId="0" xfId="0" applyFont="1"/>
    <xf numFmtId="0" fontId="0" fillId="0" borderId="3" xfId="0" applyBorder="1"/>
    <xf numFmtId="0" fontId="0" fillId="0" borderId="0" xfId="0" applyAlignment="1">
      <alignment horizontal="center"/>
    </xf>
    <xf numFmtId="0" fontId="0" fillId="0" borderId="0" xfId="0" applyAlignment="1">
      <alignment horizontal="left"/>
    </xf>
    <xf numFmtId="1" fontId="9" fillId="3" borderId="2" xfId="0" applyNumberFormat="1" applyFont="1" applyFill="1" applyBorder="1" applyAlignment="1">
      <alignment horizontal="left" vertical="center"/>
    </xf>
    <xf numFmtId="1" fontId="6" fillId="3" borderId="2" xfId="0" applyNumberFormat="1" applyFont="1" applyFill="1" applyBorder="1" applyAlignment="1">
      <alignment horizontal="left" vertical="center"/>
    </xf>
    <xf numFmtId="0" fontId="0" fillId="0" borderId="0" xfId="0" applyAlignment="1">
      <alignment horizontal="left" vertical="center"/>
    </xf>
    <xf numFmtId="0" fontId="0" fillId="4" borderId="0" xfId="0" applyFill="1"/>
    <xf numFmtId="1" fontId="6" fillId="3" borderId="5" xfId="0" applyNumberFormat="1" applyFont="1" applyFill="1" applyBorder="1" applyAlignment="1">
      <alignment horizontal="left" vertical="center"/>
    </xf>
    <xf numFmtId="1" fontId="6" fillId="3" borderId="6" xfId="0" applyNumberFormat="1" applyFont="1" applyFill="1" applyBorder="1" applyAlignment="1">
      <alignment horizontal="left" vertical="center"/>
    </xf>
    <xf numFmtId="0" fontId="11" fillId="0" borderId="0" xfId="0" applyFont="1"/>
    <xf numFmtId="0" fontId="0" fillId="0" borderId="10" xfId="0" applyBorder="1"/>
    <xf numFmtId="0" fontId="0" fillId="0" borderId="11" xfId="0" applyBorder="1"/>
    <xf numFmtId="0" fontId="4" fillId="0" borderId="0" xfId="0" applyFont="1"/>
    <xf numFmtId="0" fontId="0" fillId="0" borderId="13" xfId="0" applyBorder="1"/>
    <xf numFmtId="0" fontId="0" fillId="0" borderId="5" xfId="0" applyBorder="1"/>
    <xf numFmtId="0" fontId="0" fillId="0" borderId="12" xfId="0" applyBorder="1"/>
    <xf numFmtId="165" fontId="0" fillId="0" borderId="11" xfId="3" applyNumberFormat="1" applyFont="1" applyBorder="1"/>
    <xf numFmtId="1" fontId="13" fillId="3" borderId="2" xfId="0" applyNumberFormat="1" applyFont="1" applyFill="1" applyBorder="1" applyAlignment="1">
      <alignment horizontal="left" vertical="center"/>
    </xf>
    <xf numFmtId="1" fontId="13" fillId="3" borderId="2" xfId="0" applyNumberFormat="1" applyFont="1" applyFill="1" applyBorder="1" applyAlignment="1">
      <alignment horizontal="center" vertical="center"/>
    </xf>
    <xf numFmtId="10" fontId="0" fillId="0" borderId="7" xfId="0" applyNumberFormat="1" applyBorder="1"/>
    <xf numFmtId="43" fontId="0" fillId="0" borderId="3" xfId="0" applyNumberFormat="1" applyBorder="1"/>
    <xf numFmtId="0" fontId="0" fillId="5" borderId="0" xfId="0" applyFill="1"/>
    <xf numFmtId="43" fontId="0" fillId="0" borderId="0" xfId="0" applyNumberFormat="1"/>
    <xf numFmtId="41" fontId="16" fillId="0" borderId="0" xfId="4" applyNumberFormat="1" applyFont="1" applyAlignment="1">
      <alignment horizontal="right"/>
    </xf>
    <xf numFmtId="15" fontId="16" fillId="0" borderId="0" xfId="4" applyNumberFormat="1" applyFont="1" applyAlignment="1">
      <alignment horizontal="right"/>
    </xf>
    <xf numFmtId="3" fontId="16" fillId="0" borderId="0" xfId="4" applyNumberFormat="1" applyFont="1" applyAlignment="1">
      <alignment horizontal="right"/>
    </xf>
    <xf numFmtId="0" fontId="15" fillId="0" borderId="0" xfId="4" applyAlignment="1">
      <alignment horizontal="right"/>
    </xf>
    <xf numFmtId="0" fontId="17" fillId="0" borderId="0" xfId="0" applyFont="1" applyAlignment="1">
      <alignment horizontal="left" indent="1"/>
    </xf>
    <xf numFmtId="0" fontId="17" fillId="0" borderId="0" xfId="0" applyFont="1"/>
    <xf numFmtId="0" fontId="18" fillId="0" borderId="0" xfId="0" applyFont="1"/>
    <xf numFmtId="167" fontId="18" fillId="0" borderId="0" xfId="0" applyNumberFormat="1" applyFont="1"/>
    <xf numFmtId="0" fontId="15" fillId="0" borderId="0" xfId="4"/>
    <xf numFmtId="0" fontId="17" fillId="0" borderId="0" xfId="4" applyFont="1"/>
    <xf numFmtId="9" fontId="18" fillId="0" borderId="0" xfId="3" applyFont="1"/>
    <xf numFmtId="10" fontId="18" fillId="0" borderId="0" xfId="4" applyNumberFormat="1" applyFont="1" applyAlignment="1">
      <alignment horizontal="right"/>
    </xf>
    <xf numFmtId="0" fontId="19" fillId="0" borderId="0" xfId="4" applyFont="1" applyAlignment="1">
      <alignment horizontal="left" indent="1"/>
    </xf>
    <xf numFmtId="0" fontId="19" fillId="0" borderId="0" xfId="4" applyFont="1" applyAlignment="1">
      <alignment horizontal="left"/>
    </xf>
    <xf numFmtId="0" fontId="19" fillId="0" borderId="0" xfId="4" applyFont="1" applyAlignment="1">
      <alignment horizontal="right"/>
    </xf>
    <xf numFmtId="0" fontId="18" fillId="0" borderId="0" xfId="4" applyFont="1" applyAlignment="1">
      <alignment horizontal="right"/>
    </xf>
    <xf numFmtId="167" fontId="0" fillId="0" borderId="0" xfId="0" applyNumberFormat="1"/>
    <xf numFmtId="41" fontId="18" fillId="0" borderId="0" xfId="4" applyNumberFormat="1" applyFont="1"/>
    <xf numFmtId="2" fontId="18" fillId="0" borderId="0" xfId="4" applyNumberFormat="1" applyFont="1"/>
    <xf numFmtId="168" fontId="18" fillId="0" borderId="0" xfId="4" applyNumberFormat="1" applyFont="1" applyAlignment="1">
      <alignment horizontal="right"/>
    </xf>
    <xf numFmtId="169" fontId="18" fillId="0" borderId="0" xfId="4" applyNumberFormat="1" applyFont="1" applyAlignment="1">
      <alignment horizontal="right"/>
    </xf>
    <xf numFmtId="0" fontId="17" fillId="0" borderId="0" xfId="4" applyFont="1" applyAlignment="1">
      <alignment horizontal="right"/>
    </xf>
    <xf numFmtId="0" fontId="20" fillId="0" borderId="0" xfId="4" applyFont="1" applyAlignment="1">
      <alignment horizontal="right"/>
    </xf>
    <xf numFmtId="0" fontId="21" fillId="0" borderId="0" xfId="4" applyFont="1" applyAlignment="1">
      <alignment horizontal="left" indent="1"/>
    </xf>
    <xf numFmtId="0" fontId="22" fillId="0" borderId="0" xfId="4" applyFont="1" applyAlignment="1">
      <alignment horizontal="right"/>
    </xf>
    <xf numFmtId="0" fontId="23" fillId="0" borderId="0" xfId="4" applyFont="1" applyAlignment="1">
      <alignment horizontal="right"/>
    </xf>
    <xf numFmtId="0" fontId="24" fillId="0" borderId="0" xfId="4" applyFont="1" applyAlignment="1">
      <alignment horizontal="right"/>
    </xf>
    <xf numFmtId="0" fontId="15" fillId="0" borderId="0" xfId="4" applyAlignment="1">
      <alignment horizontal="left"/>
    </xf>
    <xf numFmtId="0" fontId="0" fillId="0" borderId="0" xfId="4" applyFont="1" applyAlignment="1">
      <alignment horizontal="right"/>
    </xf>
    <xf numFmtId="1" fontId="25" fillId="3" borderId="2" xfId="0" applyNumberFormat="1" applyFont="1" applyFill="1" applyBorder="1" applyAlignment="1">
      <alignment horizontal="center"/>
    </xf>
    <xf numFmtId="170" fontId="18" fillId="0" borderId="0" xfId="4" applyNumberFormat="1" applyFont="1" applyAlignment="1">
      <alignment horizontal="left"/>
    </xf>
    <xf numFmtId="171" fontId="18" fillId="0" borderId="0" xfId="4" applyNumberFormat="1" applyFont="1" applyAlignment="1">
      <alignment horizontal="left"/>
    </xf>
    <xf numFmtId="15" fontId="20" fillId="0" borderId="0" xfId="4" applyNumberFormat="1" applyFont="1" applyAlignment="1">
      <alignment horizontal="right"/>
    </xf>
    <xf numFmtId="41" fontId="18" fillId="0" borderId="0" xfId="4" applyNumberFormat="1" applyFont="1" applyAlignment="1">
      <alignment horizontal="right"/>
    </xf>
    <xf numFmtId="1" fontId="6" fillId="3" borderId="0" xfId="0" applyNumberFormat="1" applyFont="1" applyFill="1" applyAlignment="1">
      <alignment horizontal="left"/>
    </xf>
    <xf numFmtId="0" fontId="28" fillId="3" borderId="2" xfId="0" applyFont="1" applyFill="1" applyBorder="1" applyAlignment="1" applyProtection="1">
      <alignment horizontal="center" vertical="center"/>
      <protection locked="0"/>
    </xf>
    <xf numFmtId="167" fontId="28" fillId="3" borderId="2" xfId="0" applyNumberFormat="1" applyFont="1" applyFill="1" applyBorder="1" applyAlignment="1" applyProtection="1">
      <alignment horizontal="center" vertical="center"/>
      <protection locked="0"/>
    </xf>
    <xf numFmtId="0" fontId="28" fillId="3" borderId="2" xfId="0" applyFont="1" applyFill="1" applyBorder="1" applyAlignment="1" applyProtection="1">
      <alignment vertical="center"/>
      <protection locked="0"/>
    </xf>
    <xf numFmtId="167" fontId="27" fillId="3" borderId="2" xfId="0" applyNumberFormat="1" applyFont="1" applyFill="1" applyBorder="1" applyAlignment="1">
      <alignment horizontal="center" vertical="center"/>
    </xf>
    <xf numFmtId="1" fontId="6" fillId="3" borderId="2" xfId="0" applyNumberFormat="1" applyFont="1" applyFill="1" applyBorder="1" applyAlignment="1">
      <alignment horizontal="right" vertical="center"/>
    </xf>
    <xf numFmtId="43" fontId="6" fillId="3" borderId="2" xfId="0" applyNumberFormat="1" applyFont="1" applyFill="1" applyBorder="1" applyAlignment="1">
      <alignment horizontal="right" vertical="center"/>
    </xf>
    <xf numFmtId="0" fontId="6" fillId="0" borderId="0" xfId="0" applyFont="1" applyAlignment="1">
      <alignment horizontal="center"/>
    </xf>
    <xf numFmtId="165" fontId="31" fillId="0" borderId="0" xfId="3" applyNumberFormat="1" applyFont="1" applyBorder="1" applyAlignment="1" applyProtection="1">
      <alignment horizontal="center"/>
    </xf>
    <xf numFmtId="3" fontId="0" fillId="0" borderId="0" xfId="0" applyNumberFormat="1" applyAlignment="1">
      <alignment horizontal="center"/>
    </xf>
    <xf numFmtId="10" fontId="0" fillId="0" borderId="0" xfId="3" applyNumberFormat="1" applyFont="1" applyFill="1" applyAlignment="1" applyProtection="1">
      <alignment horizontal="center"/>
    </xf>
    <xf numFmtId="9" fontId="6" fillId="0" borderId="0" xfId="0" applyNumberFormat="1" applyFont="1" applyAlignment="1">
      <alignment horizontal="center"/>
    </xf>
    <xf numFmtId="167" fontId="6" fillId="0" borderId="0" xfId="0" applyNumberFormat="1" applyFont="1" applyAlignment="1">
      <alignment horizontal="center"/>
    </xf>
    <xf numFmtId="0" fontId="27" fillId="3" borderId="17" xfId="0" applyFont="1" applyFill="1" applyBorder="1" applyAlignment="1">
      <alignment vertical="center"/>
    </xf>
    <xf numFmtId="0" fontId="27" fillId="3" borderId="18" xfId="0" applyFont="1" applyFill="1" applyBorder="1" applyAlignment="1">
      <alignment vertical="center"/>
    </xf>
    <xf numFmtId="43" fontId="12" fillId="5" borderId="11" xfId="3" applyNumberFormat="1" applyFont="1" applyFill="1" applyBorder="1"/>
    <xf numFmtId="0" fontId="0" fillId="0" borderId="8" xfId="0" applyBorder="1"/>
    <xf numFmtId="43" fontId="0" fillId="0" borderId="9" xfId="0" applyNumberFormat="1" applyBorder="1"/>
    <xf numFmtId="1" fontId="6" fillId="3" borderId="19" xfId="0" applyNumberFormat="1" applyFont="1" applyFill="1" applyBorder="1" applyAlignment="1">
      <alignment horizontal="left"/>
    </xf>
    <xf numFmtId="1" fontId="6" fillId="3" borderId="18" xfId="0" applyNumberFormat="1" applyFont="1" applyFill="1" applyBorder="1" applyAlignment="1">
      <alignment horizontal="left"/>
    </xf>
    <xf numFmtId="0" fontId="26" fillId="0" borderId="10" xfId="0" applyFont="1" applyBorder="1"/>
    <xf numFmtId="0" fontId="26" fillId="0" borderId="0" xfId="0" applyFont="1" applyAlignment="1">
      <alignment horizontal="center"/>
    </xf>
    <xf numFmtId="0" fontId="26" fillId="0" borderId="11" xfId="0" applyFont="1" applyBorder="1" applyAlignment="1">
      <alignment horizontal="center"/>
    </xf>
    <xf numFmtId="0" fontId="1" fillId="7" borderId="10" xfId="0" applyFont="1" applyFill="1" applyBorder="1" applyAlignment="1" applyProtection="1">
      <alignment vertical="center"/>
      <protection locked="0"/>
    </xf>
    <xf numFmtId="0" fontId="1" fillId="7" borderId="0" xfId="0" applyFont="1" applyFill="1" applyAlignment="1" applyProtection="1">
      <alignment horizontal="center" vertical="center"/>
      <protection locked="0"/>
    </xf>
    <xf numFmtId="167" fontId="1" fillId="7" borderId="0" xfId="0" applyNumberFormat="1" applyFont="1" applyFill="1" applyAlignment="1" applyProtection="1">
      <alignment horizontal="center" vertical="center"/>
      <protection locked="0"/>
    </xf>
    <xf numFmtId="0" fontId="1" fillId="7" borderId="0" xfId="0" applyFont="1" applyFill="1" applyAlignment="1" applyProtection="1">
      <alignment vertical="center" wrapText="1"/>
      <protection locked="0"/>
    </xf>
    <xf numFmtId="167" fontId="1" fillId="7" borderId="0" xfId="0" applyNumberFormat="1" applyFont="1" applyFill="1" applyAlignment="1">
      <alignment horizontal="center" vertical="center"/>
    </xf>
    <xf numFmtId="0" fontId="1" fillId="7" borderId="11" xfId="0" applyFont="1" applyFill="1" applyBorder="1" applyAlignment="1" applyProtection="1">
      <alignment vertical="center" wrapText="1"/>
      <protection locked="0"/>
    </xf>
    <xf numFmtId="0" fontId="1" fillId="0" borderId="10" xfId="0" applyFont="1" applyBorder="1" applyAlignment="1" applyProtection="1">
      <alignment vertical="center"/>
      <protection locked="0"/>
    </xf>
    <xf numFmtId="0" fontId="1" fillId="0" borderId="0" xfId="0" applyFont="1" applyAlignment="1" applyProtection="1">
      <alignment horizontal="center" vertical="center"/>
      <protection locked="0"/>
    </xf>
    <xf numFmtId="167" fontId="1" fillId="0" borderId="0" xfId="0" applyNumberFormat="1" applyFont="1" applyAlignment="1" applyProtection="1">
      <alignment horizontal="center" vertical="center"/>
      <protection locked="0"/>
    </xf>
    <xf numFmtId="0" fontId="0" fillId="0" borderId="0" xfId="0" applyAlignment="1" applyProtection="1">
      <alignment vertical="center" wrapText="1"/>
      <protection locked="0"/>
    </xf>
    <xf numFmtId="167" fontId="1" fillId="0" borderId="0" xfId="0" applyNumberFormat="1" applyFont="1" applyAlignment="1">
      <alignment horizontal="center" vertical="center"/>
    </xf>
    <xf numFmtId="0" fontId="0" fillId="0" borderId="11" xfId="0" applyBorder="1" applyAlignment="1" applyProtection="1">
      <alignment vertical="center" wrapText="1"/>
      <protection locked="0"/>
    </xf>
    <xf numFmtId="0" fontId="0" fillId="7" borderId="0" xfId="0" applyFill="1" applyAlignment="1" applyProtection="1">
      <alignment vertical="center" wrapText="1"/>
      <protection locked="0"/>
    </xf>
    <xf numFmtId="0" fontId="0" fillId="7" borderId="11" xfId="0" applyFill="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11" xfId="0" applyFont="1" applyBorder="1" applyAlignment="1" applyProtection="1">
      <alignment vertical="center" wrapText="1"/>
      <protection locked="0"/>
    </xf>
    <xf numFmtId="0" fontId="0" fillId="7" borderId="10" xfId="0" applyFill="1" applyBorder="1" applyAlignment="1" applyProtection="1">
      <alignment vertical="center"/>
      <protection locked="0"/>
    </xf>
    <xf numFmtId="0" fontId="0" fillId="0" borderId="10" xfId="0" applyBorder="1" applyAlignment="1" applyProtection="1">
      <alignment vertical="center"/>
      <protection locked="0"/>
    </xf>
    <xf numFmtId="0" fontId="0" fillId="7" borderId="0" xfId="0" applyFill="1" applyAlignment="1" applyProtection="1">
      <alignment horizontal="center" vertical="center"/>
      <protection locked="0"/>
    </xf>
    <xf numFmtId="0" fontId="27" fillId="3" borderId="20" xfId="0" applyFont="1" applyFill="1" applyBorder="1" applyAlignment="1">
      <alignment vertical="center"/>
    </xf>
    <xf numFmtId="0" fontId="28" fillId="3" borderId="21" xfId="0" applyFont="1" applyFill="1" applyBorder="1" applyAlignment="1" applyProtection="1">
      <alignment vertical="center"/>
      <protection locked="0"/>
    </xf>
    <xf numFmtId="0" fontId="0" fillId="0" borderId="0" xfId="0" applyAlignment="1" applyProtection="1">
      <alignment vertical="center"/>
      <protection locked="0"/>
    </xf>
    <xf numFmtId="0" fontId="0" fillId="0" borderId="11" xfId="0" applyBorder="1" applyAlignment="1" applyProtection="1">
      <alignment vertical="center"/>
      <protection locked="0"/>
    </xf>
    <xf numFmtId="0" fontId="0" fillId="0" borderId="0" xfId="0" applyAlignment="1" applyProtection="1">
      <alignment horizontal="center" vertical="center"/>
      <protection locked="0"/>
    </xf>
    <xf numFmtId="0" fontId="3" fillId="0" borderId="10" xfId="0" applyFont="1" applyBorder="1" applyAlignment="1">
      <alignment vertical="center"/>
    </xf>
    <xf numFmtId="0" fontId="1" fillId="0" borderId="0" xfId="0" applyFont="1" applyAlignment="1" applyProtection="1">
      <alignment vertical="center"/>
      <protection locked="0"/>
    </xf>
    <xf numFmtId="167" fontId="3" fillId="0" borderId="0" xfId="0" applyNumberFormat="1" applyFont="1" applyAlignment="1">
      <alignment horizontal="center" vertical="center"/>
    </xf>
    <xf numFmtId="0" fontId="1" fillId="0" borderId="11" xfId="0" applyFont="1" applyBorder="1" applyAlignment="1" applyProtection="1">
      <alignment vertical="center"/>
      <protection locked="0"/>
    </xf>
    <xf numFmtId="0" fontId="0" fillId="0" borderId="10" xfId="0" applyBorder="1" applyAlignment="1">
      <alignment vertical="center"/>
    </xf>
    <xf numFmtId="9" fontId="1" fillId="0" borderId="0" xfId="0" applyNumberFormat="1" applyFont="1" applyAlignment="1" applyProtection="1">
      <alignment horizontal="center" vertical="center"/>
      <protection locked="0"/>
    </xf>
    <xf numFmtId="0" fontId="27" fillId="3" borderId="12" xfId="0" applyFont="1" applyFill="1" applyBorder="1" applyAlignment="1">
      <alignment vertical="center"/>
    </xf>
    <xf numFmtId="0" fontId="1" fillId="3" borderId="1" xfId="0" applyFont="1" applyFill="1" applyBorder="1" applyAlignment="1">
      <alignment horizontal="center" vertical="center"/>
    </xf>
    <xf numFmtId="167"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167" fontId="27" fillId="3" borderId="1" xfId="0" applyNumberFormat="1" applyFont="1" applyFill="1" applyBorder="1" applyAlignment="1">
      <alignment horizontal="center" vertical="center"/>
    </xf>
    <xf numFmtId="0" fontId="1" fillId="3" borderId="13" xfId="0" applyFont="1" applyFill="1" applyBorder="1" applyAlignment="1">
      <alignment vertical="center"/>
    </xf>
    <xf numFmtId="0" fontId="12" fillId="0" borderId="11" xfId="0" applyFont="1" applyBorder="1"/>
    <xf numFmtId="0" fontId="7" fillId="0" borderId="10" xfId="0" applyFont="1" applyBorder="1"/>
    <xf numFmtId="10" fontId="12" fillId="0" borderId="11" xfId="3" applyNumberFormat="1" applyFont="1" applyBorder="1"/>
    <xf numFmtId="10" fontId="12" fillId="0" borderId="13" xfId="3" applyNumberFormat="1" applyFont="1" applyBorder="1"/>
    <xf numFmtId="0" fontId="0" fillId="0" borderId="11" xfId="0" applyBorder="1" applyAlignment="1">
      <alignment horizontal="center"/>
    </xf>
    <xf numFmtId="43" fontId="0" fillId="0" borderId="11" xfId="0" applyNumberFormat="1" applyBorder="1"/>
    <xf numFmtId="43" fontId="12" fillId="0" borderId="11" xfId="0" applyNumberFormat="1" applyFont="1" applyBorder="1"/>
    <xf numFmtId="43" fontId="0" fillId="0" borderId="13" xfId="0" applyNumberFormat="1" applyBorder="1"/>
    <xf numFmtId="175" fontId="12" fillId="0" borderId="11" xfId="0" applyNumberFormat="1" applyFont="1" applyBorder="1"/>
    <xf numFmtId="1" fontId="12" fillId="0" borderId="11" xfId="3" applyNumberFormat="1" applyFont="1" applyBorder="1"/>
    <xf numFmtId="0" fontId="0" fillId="0" borderId="10" xfId="0" applyBorder="1" applyAlignment="1">
      <alignment horizontal="center"/>
    </xf>
    <xf numFmtId="0" fontId="3" fillId="0" borderId="10" xfId="0" applyFont="1" applyBorder="1"/>
    <xf numFmtId="0" fontId="3" fillId="0" borderId="0" xfId="0" applyFont="1"/>
    <xf numFmtId="0" fontId="0" fillId="0" borderId="10" xfId="0" applyBorder="1" applyAlignment="1">
      <alignment horizontal="left" indent="1"/>
    </xf>
    <xf numFmtId="167" fontId="0" fillId="0" borderId="11" xfId="0" applyNumberFormat="1" applyBorder="1" applyAlignment="1">
      <alignment horizontal="center"/>
    </xf>
    <xf numFmtId="165" fontId="0" fillId="0" borderId="11" xfId="3" applyNumberFormat="1" applyFont="1" applyBorder="1" applyAlignment="1" applyProtection="1">
      <alignment horizontal="center"/>
    </xf>
    <xf numFmtId="0" fontId="2" fillId="0" borderId="0" xfId="0" applyFont="1"/>
    <xf numFmtId="10" fontId="0" fillId="0" borderId="11" xfId="0" applyNumberFormat="1" applyBorder="1" applyAlignment="1">
      <alignment horizontal="center"/>
    </xf>
    <xf numFmtId="10" fontId="0" fillId="0" borderId="0" xfId="3" applyNumberFormat="1" applyFont="1" applyBorder="1" applyAlignment="1" applyProtection="1">
      <alignment horizontal="center"/>
    </xf>
    <xf numFmtId="0" fontId="0" fillId="0" borderId="1" xfId="0" applyBorder="1"/>
    <xf numFmtId="0" fontId="3" fillId="0" borderId="0" xfId="0" applyFont="1" applyAlignment="1">
      <alignment vertical="center"/>
    </xf>
    <xf numFmtId="167" fontId="0" fillId="0" borderId="0" xfId="0" applyNumberFormat="1" applyAlignment="1">
      <alignment horizontal="center"/>
    </xf>
    <xf numFmtId="0" fontId="3" fillId="0" borderId="0" xfId="0" applyFont="1" applyAlignment="1">
      <alignment horizontal="center" vertical="center"/>
    </xf>
    <xf numFmtId="167" fontId="30" fillId="0" borderId="11" xfId="0" applyNumberFormat="1" applyFont="1" applyBorder="1" applyAlignment="1" applyProtection="1">
      <alignment horizontal="center" vertical="center"/>
      <protection locked="0"/>
    </xf>
    <xf numFmtId="0" fontId="6" fillId="0" borderId="11" xfId="0" applyFont="1" applyBorder="1" applyAlignment="1">
      <alignment horizontal="center"/>
    </xf>
    <xf numFmtId="167" fontId="31" fillId="0" borderId="0" xfId="0" applyNumberFormat="1" applyFont="1" applyAlignment="1">
      <alignment horizontal="center"/>
    </xf>
    <xf numFmtId="167" fontId="6" fillId="3" borderId="1" xfId="0" applyNumberFormat="1" applyFont="1" applyFill="1" applyBorder="1" applyAlignment="1">
      <alignment horizontal="center"/>
    </xf>
    <xf numFmtId="167" fontId="6" fillId="3" borderId="13" xfId="0" applyNumberFormat="1" applyFont="1" applyFill="1" applyBorder="1" applyAlignment="1">
      <alignment horizontal="center"/>
    </xf>
    <xf numFmtId="165" fontId="31" fillId="0" borderId="11" xfId="3" applyNumberFormat="1" applyFont="1" applyBorder="1" applyAlignment="1" applyProtection="1">
      <alignment horizontal="center"/>
    </xf>
    <xf numFmtId="165" fontId="6" fillId="3" borderId="13" xfId="3" applyNumberFormat="1" applyFont="1" applyFill="1" applyBorder="1" applyAlignment="1" applyProtection="1">
      <alignment horizontal="center"/>
    </xf>
    <xf numFmtId="1" fontId="9" fillId="3" borderId="17" xfId="0" applyNumberFormat="1" applyFont="1" applyFill="1" applyBorder="1" applyAlignment="1">
      <alignment horizontal="left" vertical="center"/>
    </xf>
    <xf numFmtId="1" fontId="6" fillId="3" borderId="19" xfId="0" applyNumberFormat="1" applyFont="1" applyFill="1" applyBorder="1" applyAlignment="1">
      <alignment horizontal="left" vertical="center"/>
    </xf>
    <xf numFmtId="1" fontId="9" fillId="3" borderId="19" xfId="0" applyNumberFormat="1" applyFont="1" applyFill="1" applyBorder="1" applyAlignment="1">
      <alignment horizontal="center" vertical="center"/>
    </xf>
    <xf numFmtId="164" fontId="9" fillId="3" borderId="19" xfId="0" applyNumberFormat="1" applyFont="1" applyFill="1" applyBorder="1" applyAlignment="1">
      <alignment horizontal="center" vertical="center"/>
    </xf>
    <xf numFmtId="1" fontId="9" fillId="3" borderId="18" xfId="0" applyNumberFormat="1" applyFont="1" applyFill="1" applyBorder="1" applyAlignment="1">
      <alignment horizontal="center" vertical="center"/>
    </xf>
    <xf numFmtId="1" fontId="6" fillId="3" borderId="20" xfId="0" applyNumberFormat="1" applyFont="1" applyFill="1" applyBorder="1" applyAlignment="1">
      <alignment horizontal="left"/>
    </xf>
    <xf numFmtId="1" fontId="6" fillId="3" borderId="21" xfId="0" applyNumberFormat="1" applyFont="1" applyFill="1" applyBorder="1" applyAlignment="1">
      <alignment horizontal="center"/>
    </xf>
    <xf numFmtId="0" fontId="8" fillId="0" borderId="10" xfId="0" applyFont="1" applyBorder="1"/>
    <xf numFmtId="0" fontId="0" fillId="4" borderId="11" xfId="0" applyFill="1" applyBorder="1"/>
    <xf numFmtId="43" fontId="0" fillId="0" borderId="0" xfId="1" applyFont="1" applyBorder="1"/>
    <xf numFmtId="10" fontId="0" fillId="0" borderId="0" xfId="3" applyNumberFormat="1" applyFont="1" applyBorder="1"/>
    <xf numFmtId="0" fontId="7" fillId="0" borderId="8" xfId="0" applyFont="1" applyBorder="1"/>
    <xf numFmtId="0" fontId="14" fillId="0" borderId="10" xfId="0" applyFont="1" applyBorder="1"/>
    <xf numFmtId="10" fontId="0" fillId="4" borderId="0" xfId="3" applyNumberFormat="1" applyFont="1" applyFill="1" applyBorder="1"/>
    <xf numFmtId="1" fontId="6" fillId="3" borderId="20" xfId="0" applyNumberFormat="1" applyFont="1" applyFill="1" applyBorder="1" applyAlignment="1">
      <alignment horizontal="left" vertical="center"/>
    </xf>
    <xf numFmtId="0" fontId="0" fillId="4" borderId="10" xfId="0" applyFill="1" applyBorder="1"/>
    <xf numFmtId="0" fontId="0" fillId="5" borderId="10" xfId="0" applyFill="1" applyBorder="1" applyAlignment="1">
      <alignment horizontal="left"/>
    </xf>
    <xf numFmtId="0" fontId="10" fillId="5" borderId="11" xfId="0" applyFont="1" applyFill="1" applyBorder="1"/>
    <xf numFmtId="1" fontId="9" fillId="3" borderId="17" xfId="0" applyNumberFormat="1" applyFont="1" applyFill="1" applyBorder="1" applyAlignment="1">
      <alignment horizontal="center" vertical="center"/>
    </xf>
    <xf numFmtId="1" fontId="0" fillId="0" borderId="0" xfId="0" applyNumberFormat="1"/>
    <xf numFmtId="164" fontId="0" fillId="0" borderId="11" xfId="0" applyNumberFormat="1" applyBorder="1"/>
    <xf numFmtId="0" fontId="10" fillId="0" borderId="10" xfId="0" applyFont="1" applyBorder="1"/>
    <xf numFmtId="0" fontId="10" fillId="0" borderId="0" xfId="0" applyFont="1"/>
    <xf numFmtId="0" fontId="8" fillId="0" borderId="8" xfId="0" applyFont="1" applyBorder="1"/>
    <xf numFmtId="0" fontId="10" fillId="0" borderId="12" xfId="0" applyFont="1" applyBorder="1"/>
    <xf numFmtId="0" fontId="10" fillId="0" borderId="1" xfId="0" applyFont="1" applyBorder="1"/>
    <xf numFmtId="43" fontId="0" fillId="0" borderId="1" xfId="0" applyNumberFormat="1" applyBorder="1"/>
    <xf numFmtId="1" fontId="9" fillId="3" borderId="19" xfId="0" applyNumberFormat="1" applyFont="1" applyFill="1" applyBorder="1" applyAlignment="1">
      <alignment horizontal="left" vertical="center"/>
    </xf>
    <xf numFmtId="1" fontId="9" fillId="3" borderId="18" xfId="0" applyNumberFormat="1" applyFont="1" applyFill="1" applyBorder="1" applyAlignment="1">
      <alignment horizontal="left" vertical="center"/>
    </xf>
    <xf numFmtId="165" fontId="0" fillId="0" borderId="0" xfId="3" applyNumberFormat="1" applyFont="1" applyBorder="1"/>
    <xf numFmtId="43" fontId="0" fillId="0" borderId="0" xfId="0" applyNumberFormat="1" applyAlignment="1">
      <alignment horizontal="center"/>
    </xf>
    <xf numFmtId="165" fontId="7" fillId="0" borderId="0" xfId="3" applyNumberFormat="1" applyFont="1" applyBorder="1" applyAlignment="1">
      <alignment horizontal="center"/>
    </xf>
    <xf numFmtId="165" fontId="0" fillId="0" borderId="11" xfId="3" applyNumberFormat="1" applyFont="1" applyBorder="1" applyAlignment="1">
      <alignment horizontal="center"/>
    </xf>
    <xf numFmtId="0" fontId="0" fillId="0" borderId="13" xfId="0" applyBorder="1" applyAlignment="1">
      <alignment horizontal="right"/>
    </xf>
    <xf numFmtId="0" fontId="0" fillId="0" borderId="7" xfId="0" applyBorder="1" applyAlignment="1">
      <alignment horizontal="right"/>
    </xf>
    <xf numFmtId="10" fontId="1" fillId="0" borderId="11" xfId="3" applyNumberFormat="1" applyFont="1" applyBorder="1"/>
    <xf numFmtId="43" fontId="12" fillId="0" borderId="13" xfId="0" applyNumberFormat="1" applyFont="1" applyBorder="1"/>
    <xf numFmtId="176" fontId="12" fillId="0" borderId="11" xfId="0" applyNumberFormat="1" applyFont="1" applyBorder="1"/>
    <xf numFmtId="0" fontId="12" fillId="0" borderId="11" xfId="0" applyFont="1" applyBorder="1" applyAlignment="1">
      <alignment horizontal="right"/>
    </xf>
    <xf numFmtId="0" fontId="12" fillId="0" borderId="13" xfId="0" applyFont="1" applyBorder="1" applyAlignment="1">
      <alignment horizontal="right"/>
    </xf>
    <xf numFmtId="43" fontId="0" fillId="4" borderId="0" xfId="0" applyNumberFormat="1" applyFill="1"/>
    <xf numFmtId="43" fontId="6" fillId="3" borderId="6" xfId="0" applyNumberFormat="1" applyFont="1" applyFill="1" applyBorder="1" applyAlignment="1">
      <alignment horizontal="right" vertical="center"/>
    </xf>
    <xf numFmtId="10" fontId="6" fillId="3" borderId="6" xfId="3" applyNumberFormat="1" applyFont="1" applyFill="1" applyBorder="1" applyAlignment="1">
      <alignment horizontal="right" vertical="center"/>
    </xf>
    <xf numFmtId="10" fontId="6" fillId="3" borderId="7" xfId="3" applyNumberFormat="1" applyFont="1" applyFill="1" applyBorder="1" applyAlignment="1">
      <alignment horizontal="right" vertical="center"/>
    </xf>
    <xf numFmtId="10" fontId="6" fillId="3" borderId="2" xfId="3" applyNumberFormat="1" applyFont="1" applyFill="1" applyBorder="1" applyAlignment="1">
      <alignment horizontal="right" vertical="center"/>
    </xf>
    <xf numFmtId="10" fontId="0" fillId="0" borderId="0" xfId="3" applyNumberFormat="1" applyFont="1" applyFill="1" applyBorder="1"/>
    <xf numFmtId="1" fontId="9" fillId="3" borderId="22" xfId="0" applyNumberFormat="1" applyFont="1" applyFill="1" applyBorder="1" applyAlignment="1">
      <alignment horizontal="left" vertical="center"/>
    </xf>
    <xf numFmtId="1" fontId="9" fillId="3" borderId="23" xfId="0" applyNumberFormat="1" applyFont="1" applyFill="1" applyBorder="1" applyAlignment="1">
      <alignment horizontal="left" vertical="center"/>
    </xf>
    <xf numFmtId="1" fontId="9" fillId="3" borderId="24" xfId="0" applyNumberFormat="1" applyFont="1" applyFill="1" applyBorder="1" applyAlignment="1">
      <alignment horizontal="left" vertical="center"/>
    </xf>
    <xf numFmtId="10" fontId="18" fillId="0" borderId="0" xfId="3" applyNumberFormat="1" applyFont="1"/>
    <xf numFmtId="0" fontId="7" fillId="0" borderId="10" xfId="0" applyFont="1" applyBorder="1" applyAlignment="1">
      <alignment horizontal="left"/>
    </xf>
    <xf numFmtId="0" fontId="7" fillId="0" borderId="12" xfId="0" applyFont="1" applyBorder="1" applyAlignment="1">
      <alignment horizontal="left"/>
    </xf>
    <xf numFmtId="1" fontId="6" fillId="3" borderId="17" xfId="0" applyNumberFormat="1" applyFont="1" applyFill="1" applyBorder="1"/>
    <xf numFmtId="1" fontId="6" fillId="3" borderId="18" xfId="0" applyNumberFormat="1" applyFont="1" applyFill="1" applyBorder="1"/>
    <xf numFmtId="165" fontId="0" fillId="0" borderId="0" xfId="3" applyNumberFormat="1" applyFont="1" applyAlignment="1">
      <alignment horizontal="center"/>
    </xf>
    <xf numFmtId="0" fontId="7" fillId="0" borderId="6" xfId="0" applyFont="1" applyBorder="1"/>
    <xf numFmtId="165" fontId="0" fillId="0" borderId="13" xfId="0" applyNumberFormat="1" applyBorder="1" applyAlignment="1">
      <alignment horizontal="center"/>
    </xf>
    <xf numFmtId="1" fontId="6" fillId="3" borderId="19" xfId="0" applyNumberFormat="1" applyFont="1" applyFill="1" applyBorder="1"/>
    <xf numFmtId="178" fontId="0" fillId="0" borderId="0" xfId="0" applyNumberFormat="1" applyAlignment="1">
      <alignment horizontal="right"/>
    </xf>
    <xf numFmtId="178" fontId="0" fillId="0" borderId="0" xfId="3" applyNumberFormat="1" applyFont="1" applyBorder="1" applyAlignment="1">
      <alignment horizontal="right"/>
    </xf>
    <xf numFmtId="165" fontId="0" fillId="0" borderId="11" xfId="0" applyNumberFormat="1" applyBorder="1" applyAlignment="1">
      <alignment horizontal="center"/>
    </xf>
    <xf numFmtId="165" fontId="7" fillId="0" borderId="11" xfId="3" applyNumberFormat="1" applyFont="1" applyBorder="1" applyAlignment="1">
      <alignment horizontal="center"/>
    </xf>
    <xf numFmtId="165" fontId="0" fillId="0" borderId="11" xfId="0" applyNumberFormat="1" applyBorder="1"/>
    <xf numFmtId="165" fontId="0" fillId="0" borderId="0" xfId="3" applyNumberFormat="1" applyFont="1" applyBorder="1" applyAlignment="1">
      <alignment horizontal="center"/>
    </xf>
    <xf numFmtId="165" fontId="0" fillId="0" borderId="0" xfId="0" applyNumberFormat="1" applyAlignment="1">
      <alignment horizontal="center"/>
    </xf>
    <xf numFmtId="165" fontId="0" fillId="0" borderId="0" xfId="0" applyNumberFormat="1"/>
    <xf numFmtId="0" fontId="5" fillId="2" borderId="2" xfId="0" applyFont="1" applyFill="1" applyBorder="1" applyAlignment="1">
      <alignment horizontal="left" vertical="center"/>
    </xf>
    <xf numFmtId="3" fontId="7" fillId="0" borderId="0" xfId="0" applyNumberFormat="1" applyFont="1" applyAlignment="1">
      <alignment horizontal="center"/>
    </xf>
    <xf numFmtId="0" fontId="7" fillId="0" borderId="11" xfId="0" applyFont="1" applyBorder="1" applyAlignment="1">
      <alignment horizontal="center"/>
    </xf>
    <xf numFmtId="0" fontId="7" fillId="0" borderId="0" xfId="0" applyFont="1" applyAlignment="1">
      <alignment horizontal="left" vertical="center"/>
    </xf>
    <xf numFmtId="0" fontId="35" fillId="0" borderId="0" xfId="5" applyFont="1" applyAlignment="1"/>
    <xf numFmtId="0" fontId="35" fillId="0" borderId="0" xfId="5" applyFont="1" applyAlignment="1">
      <alignment wrapText="1"/>
    </xf>
    <xf numFmtId="0" fontId="36" fillId="0" borderId="27" xfId="0" applyFont="1" applyBorder="1"/>
    <xf numFmtId="0" fontId="0" fillId="0" borderId="28" xfId="0" applyBorder="1"/>
    <xf numFmtId="0" fontId="37" fillId="0" borderId="29" xfId="0" applyFont="1" applyBorder="1"/>
    <xf numFmtId="0" fontId="37" fillId="0" borderId="30" xfId="0" applyFont="1" applyBorder="1"/>
    <xf numFmtId="0" fontId="0" fillId="0" borderId="31" xfId="0" applyBorder="1"/>
    <xf numFmtId="0" fontId="37" fillId="0" borderId="0" xfId="0" applyFont="1"/>
    <xf numFmtId="0" fontId="37" fillId="0" borderId="32" xfId="0" applyFont="1" applyBorder="1"/>
    <xf numFmtId="0" fontId="0" fillId="0" borderId="0" xfId="0" applyAlignment="1">
      <alignment horizontal="left" vertical="center" indent="2"/>
    </xf>
    <xf numFmtId="0" fontId="38" fillId="0" borderId="0" xfId="0" applyFont="1" applyAlignment="1">
      <alignment horizontal="left" vertical="center" indent="1"/>
    </xf>
    <xf numFmtId="0" fontId="0" fillId="0" borderId="33" xfId="0" applyBorder="1"/>
    <xf numFmtId="0" fontId="37" fillId="0" borderId="34" xfId="0" applyFont="1" applyBorder="1"/>
    <xf numFmtId="0" fontId="37" fillId="0" borderId="35" xfId="0" applyFont="1" applyBorder="1"/>
    <xf numFmtId="0" fontId="37" fillId="0" borderId="1" xfId="0" applyFont="1" applyBorder="1"/>
    <xf numFmtId="0" fontId="37" fillId="0" borderId="6" xfId="0" applyFont="1" applyBorder="1"/>
    <xf numFmtId="0" fontId="3" fillId="0" borderId="8" xfId="0" applyFont="1" applyBorder="1" applyAlignment="1">
      <alignment vertical="center"/>
    </xf>
    <xf numFmtId="0" fontId="37" fillId="0" borderId="3" xfId="0" applyFont="1" applyBorder="1"/>
    <xf numFmtId="0" fontId="37" fillId="0" borderId="9" xfId="0" applyFont="1" applyBorder="1"/>
    <xf numFmtId="0" fontId="37" fillId="0" borderId="11" xfId="0" applyFont="1" applyBorder="1"/>
    <xf numFmtId="0" fontId="37" fillId="0" borderId="13" xfId="0" applyFont="1" applyBorder="1"/>
    <xf numFmtId="0" fontId="3" fillId="0" borderId="5" xfId="0" applyFont="1" applyBorder="1" applyAlignment="1">
      <alignment vertical="center"/>
    </xf>
    <xf numFmtId="0" fontId="37" fillId="0" borderId="7" xfId="0" applyFont="1" applyBorder="1"/>
    <xf numFmtId="0" fontId="0" fillId="0" borderId="10" xfId="0" applyBorder="1" applyAlignment="1">
      <alignment horizontal="left" vertical="center" indent="1"/>
    </xf>
    <xf numFmtId="0" fontId="0" fillId="0" borderId="12" xfId="0" applyBorder="1" applyAlignment="1">
      <alignment horizontal="left" vertical="center" indent="3"/>
    </xf>
    <xf numFmtId="0" fontId="7" fillId="0" borderId="5" xfId="0" applyFont="1" applyBorder="1"/>
    <xf numFmtId="0" fontId="0" fillId="0" borderId="9" xfId="0" applyBorder="1"/>
    <xf numFmtId="0" fontId="39" fillId="8" borderId="10" xfId="0" applyFont="1" applyFill="1" applyBorder="1"/>
    <xf numFmtId="0" fontId="0" fillId="9" borderId="10" xfId="0" applyFill="1" applyBorder="1"/>
    <xf numFmtId="0" fontId="40" fillId="10" borderId="12" xfId="0" applyFont="1" applyFill="1" applyBorder="1"/>
    <xf numFmtId="0" fontId="0" fillId="11" borderId="10" xfId="0" applyFill="1" applyBorder="1"/>
    <xf numFmtId="0" fontId="0" fillId="12" borderId="10" xfId="0" applyFill="1" applyBorder="1"/>
    <xf numFmtId="0" fontId="0" fillId="13" borderId="10" xfId="0" applyFill="1" applyBorder="1"/>
    <xf numFmtId="0" fontId="0" fillId="6" borderId="12" xfId="0" applyFill="1" applyBorder="1"/>
    <xf numFmtId="0" fontId="41" fillId="0" borderId="12" xfId="0" applyFont="1" applyBorder="1"/>
    <xf numFmtId="0" fontId="41" fillId="0" borderId="1" xfId="0" applyFont="1" applyBorder="1"/>
    <xf numFmtId="43" fontId="0" fillId="0" borderId="0" xfId="1" applyFont="1" applyFill="1" applyBorder="1"/>
    <xf numFmtId="43" fontId="0" fillId="0" borderId="0" xfId="0" applyNumberFormat="1" applyAlignment="1">
      <alignment horizontal="left"/>
    </xf>
    <xf numFmtId="4" fontId="14" fillId="0" borderId="0" xfId="0" applyNumberFormat="1" applyFont="1"/>
    <xf numFmtId="0" fontId="14" fillId="0" borderId="0" xfId="0" applyFont="1"/>
    <xf numFmtId="43" fontId="0" fillId="0" borderId="7" xfId="0" applyNumberFormat="1" applyBorder="1"/>
    <xf numFmtId="10" fontId="0" fillId="0" borderId="0" xfId="0" applyNumberFormat="1"/>
    <xf numFmtId="43" fontId="7" fillId="0" borderId="6" xfId="0" applyNumberFormat="1" applyFont="1" applyBorder="1"/>
    <xf numFmtId="43" fontId="7" fillId="0" borderId="7" xfId="0" applyNumberFormat="1" applyFont="1" applyBorder="1"/>
    <xf numFmtId="0" fontId="39" fillId="0" borderId="10" xfId="0" applyFont="1" applyBorder="1"/>
    <xf numFmtId="0" fontId="39" fillId="0" borderId="0" xfId="0" applyFont="1"/>
    <xf numFmtId="178" fontId="7" fillId="0" borderId="0" xfId="0" applyNumberFormat="1" applyFont="1" applyAlignment="1">
      <alignment horizontal="right"/>
    </xf>
    <xf numFmtId="0" fontId="11" fillId="3" borderId="0" xfId="0" applyFont="1" applyFill="1"/>
    <xf numFmtId="165" fontId="7" fillId="0" borderId="0" xfId="3" applyNumberFormat="1" applyFont="1" applyFill="1" applyBorder="1" applyAlignment="1">
      <alignment horizontal="center"/>
    </xf>
    <xf numFmtId="165" fontId="7" fillId="0" borderId="11" xfId="3" applyNumberFormat="1" applyFont="1" applyFill="1" applyBorder="1" applyAlignment="1">
      <alignment horizontal="center"/>
    </xf>
    <xf numFmtId="0" fontId="7" fillId="14" borderId="10" xfId="0" applyFont="1" applyFill="1" applyBorder="1"/>
    <xf numFmtId="178" fontId="7" fillId="14" borderId="3" xfId="0" applyNumberFormat="1" applyFont="1" applyFill="1" applyBorder="1" applyAlignment="1">
      <alignment horizontal="right"/>
    </xf>
    <xf numFmtId="165" fontId="7" fillId="14" borderId="0" xfId="3" applyNumberFormat="1" applyFont="1" applyFill="1" applyBorder="1" applyAlignment="1">
      <alignment horizontal="center"/>
    </xf>
    <xf numFmtId="165" fontId="7" fillId="14" borderId="11" xfId="3" applyNumberFormat="1" applyFont="1" applyFill="1" applyBorder="1" applyAlignment="1">
      <alignment horizontal="center"/>
    </xf>
    <xf numFmtId="0" fontId="7" fillId="14" borderId="10" xfId="0" applyFont="1" applyFill="1" applyBorder="1" applyAlignment="1">
      <alignment horizontal="left"/>
    </xf>
    <xf numFmtId="0" fontId="7" fillId="3" borderId="17" xfId="0" applyFont="1" applyFill="1" applyBorder="1"/>
    <xf numFmtId="0" fontId="7" fillId="3" borderId="19" xfId="0" applyFont="1" applyFill="1" applyBorder="1"/>
    <xf numFmtId="178" fontId="7" fillId="3" borderId="19" xfId="2" applyNumberFormat="1" applyFont="1" applyFill="1" applyBorder="1" applyAlignment="1">
      <alignment horizontal="right"/>
    </xf>
    <xf numFmtId="165" fontId="7" fillId="3" borderId="19" xfId="3" applyNumberFormat="1" applyFont="1" applyFill="1" applyBorder="1" applyAlignment="1">
      <alignment horizontal="center"/>
    </xf>
    <xf numFmtId="165" fontId="7" fillId="3" borderId="18" xfId="3" applyNumberFormat="1" applyFont="1" applyFill="1" applyBorder="1" applyAlignment="1">
      <alignment horizontal="center"/>
    </xf>
    <xf numFmtId="0" fontId="43" fillId="15" borderId="5" xfId="6" applyFont="1" applyFill="1" applyBorder="1" applyAlignment="1">
      <alignment horizontal="left"/>
    </xf>
    <xf numFmtId="0" fontId="43" fillId="15" borderId="6" xfId="6" applyFont="1" applyFill="1" applyBorder="1" applyAlignment="1">
      <alignment horizontal="left"/>
    </xf>
    <xf numFmtId="16" fontId="43" fillId="15" borderId="6" xfId="6" applyNumberFormat="1" applyFont="1" applyFill="1" applyBorder="1" applyAlignment="1">
      <alignment horizontal="left"/>
    </xf>
    <xf numFmtId="0" fontId="43" fillId="15" borderId="6" xfId="6" applyFont="1" applyFill="1" applyBorder="1"/>
    <xf numFmtId="0" fontId="0" fillId="16" borderId="37" xfId="0" applyFill="1" applyBorder="1" applyAlignment="1">
      <alignment horizontal="left" vertical="center"/>
    </xf>
    <xf numFmtId="0" fontId="0" fillId="17" borderId="37" xfId="0" applyFill="1" applyBorder="1" applyAlignment="1">
      <alignment horizontal="left" vertical="center"/>
    </xf>
    <xf numFmtId="0" fontId="44" fillId="0" borderId="38" xfId="0" applyFont="1" applyBorder="1" applyAlignment="1">
      <alignment horizontal="left" vertical="center"/>
    </xf>
    <xf numFmtId="0" fontId="44" fillId="0" borderId="39" xfId="0" applyFont="1" applyBorder="1" applyAlignment="1">
      <alignment horizontal="left"/>
    </xf>
    <xf numFmtId="0" fontId="44" fillId="0" borderId="39" xfId="0" applyFont="1" applyBorder="1" applyAlignment="1">
      <alignment horizontal="left" vertical="center"/>
    </xf>
    <xf numFmtId="1" fontId="44" fillId="0" borderId="39" xfId="0" applyNumberFormat="1" applyFont="1" applyBorder="1" applyAlignment="1">
      <alignment horizontal="center" vertical="center"/>
    </xf>
    <xf numFmtId="179" fontId="44" fillId="0" borderId="39" xfId="0" applyNumberFormat="1" applyFont="1" applyBorder="1" applyAlignment="1">
      <alignment horizontal="left" vertical="center"/>
    </xf>
    <xf numFmtId="0" fontId="44" fillId="0" borderId="38" xfId="0" applyFont="1" applyBorder="1" applyAlignment="1">
      <alignment horizontal="center"/>
    </xf>
    <xf numFmtId="179" fontId="44" fillId="0" borderId="39" xfId="0" applyNumberFormat="1" applyFont="1" applyBorder="1" applyAlignment="1">
      <alignment horizontal="left"/>
    </xf>
    <xf numFmtId="0" fontId="44" fillId="0" borderId="39" xfId="7" applyFont="1" applyFill="1" applyBorder="1">
      <alignment horizontal="left" vertical="center"/>
    </xf>
    <xf numFmtId="1" fontId="44" fillId="0" borderId="39" xfId="0" applyNumberFormat="1" applyFont="1" applyBorder="1" applyAlignment="1">
      <alignment horizontal="center"/>
    </xf>
    <xf numFmtId="0" fontId="44" fillId="0" borderId="41" xfId="0" applyFont="1" applyBorder="1" applyAlignment="1">
      <alignment horizontal="center"/>
    </xf>
    <xf numFmtId="0" fontId="44" fillId="0" borderId="42" xfId="0" applyFont="1" applyBorder="1" applyAlignment="1">
      <alignment horizontal="left"/>
    </xf>
    <xf numFmtId="179" fontId="44" fillId="0" borderId="42" xfId="0" applyNumberFormat="1" applyFont="1" applyBorder="1" applyAlignment="1">
      <alignment horizontal="left"/>
    </xf>
    <xf numFmtId="0" fontId="44" fillId="0" borderId="42" xfId="7" applyFont="1" applyFill="1" applyBorder="1">
      <alignment horizontal="left" vertical="center"/>
    </xf>
    <xf numFmtId="1" fontId="44" fillId="0" borderId="42" xfId="0" applyNumberFormat="1" applyFont="1" applyBorder="1" applyAlignment="1">
      <alignment horizontal="center"/>
    </xf>
    <xf numFmtId="0" fontId="0" fillId="0" borderId="0" xfId="0" applyAlignment="1">
      <alignment horizontal="right"/>
    </xf>
    <xf numFmtId="0" fontId="0" fillId="14" borderId="0" xfId="0" applyFill="1"/>
    <xf numFmtId="180" fontId="45" fillId="14" borderId="46" xfId="0" applyNumberFormat="1" applyFont="1" applyFill="1" applyBorder="1"/>
    <xf numFmtId="0" fontId="48" fillId="0" borderId="51" xfId="0" applyFont="1" applyBorder="1" applyAlignment="1">
      <alignment horizontal="center"/>
    </xf>
    <xf numFmtId="0" fontId="48" fillId="0" borderId="52" xfId="0" applyFont="1" applyBorder="1" applyAlignment="1">
      <alignment horizontal="center"/>
    </xf>
    <xf numFmtId="0" fontId="48" fillId="0" borderId="53" xfId="0" applyFont="1" applyBorder="1" applyAlignment="1">
      <alignment horizontal="center"/>
    </xf>
    <xf numFmtId="0" fontId="48" fillId="20" borderId="54" xfId="0" applyFont="1" applyFill="1" applyBorder="1" applyAlignment="1">
      <alignment horizontal="center"/>
    </xf>
    <xf numFmtId="0" fontId="48" fillId="0" borderId="55" xfId="0" applyFont="1" applyBorder="1" applyAlignment="1">
      <alignment horizontal="center"/>
    </xf>
    <xf numFmtId="181" fontId="0" fillId="20" borderId="56" xfId="0" applyNumberFormat="1" applyFill="1" applyBorder="1" applyAlignment="1">
      <alignment horizontal="center"/>
    </xf>
    <xf numFmtId="181" fontId="0" fillId="20" borderId="57" xfId="0" applyNumberFormat="1" applyFill="1" applyBorder="1" applyAlignment="1">
      <alignment horizontal="center"/>
    </xf>
    <xf numFmtId="181" fontId="0" fillId="20" borderId="58" xfId="0" applyNumberFormat="1" applyFill="1" applyBorder="1" applyAlignment="1">
      <alignment horizontal="center"/>
    </xf>
    <xf numFmtId="181" fontId="0" fillId="20" borderId="54" xfId="0" applyNumberFormat="1" applyFill="1" applyBorder="1" applyAlignment="1">
      <alignment horizontal="center"/>
    </xf>
    <xf numFmtId="181" fontId="0" fillId="20" borderId="59" xfId="0" applyNumberFormat="1" applyFill="1" applyBorder="1" applyAlignment="1">
      <alignment horizontal="center"/>
    </xf>
    <xf numFmtId="181" fontId="0" fillId="21" borderId="60" xfId="0" applyNumberFormat="1" applyFill="1" applyBorder="1" applyAlignment="1">
      <alignment horizontal="center"/>
    </xf>
    <xf numFmtId="181" fontId="0" fillId="21" borderId="61" xfId="0" applyNumberFormat="1" applyFill="1" applyBorder="1" applyAlignment="1">
      <alignment horizontal="center"/>
    </xf>
    <xf numFmtId="181" fontId="0" fillId="21" borderId="62" xfId="0" applyNumberFormat="1" applyFill="1" applyBorder="1" applyAlignment="1">
      <alignment horizontal="center"/>
    </xf>
    <xf numFmtId="181" fontId="0" fillId="20" borderId="60" xfId="0" applyNumberFormat="1" applyFill="1" applyBorder="1" applyAlignment="1">
      <alignment horizontal="center"/>
    </xf>
    <xf numFmtId="181" fontId="0" fillId="20" borderId="61" xfId="0" applyNumberFormat="1" applyFill="1" applyBorder="1" applyAlignment="1">
      <alignment horizontal="center"/>
    </xf>
    <xf numFmtId="181" fontId="0" fillId="20" borderId="62" xfId="0" applyNumberFormat="1" applyFill="1" applyBorder="1" applyAlignment="1">
      <alignment horizontal="center"/>
    </xf>
    <xf numFmtId="181" fontId="0" fillId="21" borderId="63" xfId="0" applyNumberFormat="1" applyFill="1" applyBorder="1" applyAlignment="1">
      <alignment horizontal="center"/>
    </xf>
    <xf numFmtId="181" fontId="0" fillId="21" borderId="64" xfId="0" applyNumberFormat="1" applyFill="1" applyBorder="1" applyAlignment="1">
      <alignment horizontal="center"/>
    </xf>
    <xf numFmtId="181" fontId="0" fillId="21" borderId="65" xfId="0" applyNumberFormat="1" applyFill="1" applyBorder="1" applyAlignment="1">
      <alignment horizontal="center"/>
    </xf>
    <xf numFmtId="181" fontId="0" fillId="21" borderId="66" xfId="0" applyNumberFormat="1" applyFill="1" applyBorder="1" applyAlignment="1">
      <alignment horizontal="center"/>
    </xf>
    <xf numFmtId="181" fontId="0" fillId="0" borderId="67" xfId="0" applyNumberFormat="1" applyBorder="1"/>
    <xf numFmtId="181" fontId="0" fillId="0" borderId="68" xfId="0" applyNumberFormat="1" applyBorder="1"/>
    <xf numFmtId="181" fontId="0" fillId="20" borderId="69" xfId="0" applyNumberFormat="1" applyFill="1" applyBorder="1"/>
    <xf numFmtId="181" fontId="48" fillId="20" borderId="54" xfId="0" applyNumberFormat="1" applyFont="1" applyFill="1" applyBorder="1"/>
    <xf numFmtId="181" fontId="48" fillId="0" borderId="51" xfId="0" applyNumberFormat="1" applyFont="1" applyBorder="1" applyAlignment="1">
      <alignment horizontal="center"/>
    </xf>
    <xf numFmtId="181" fontId="48" fillId="0" borderId="52" xfId="0" applyNumberFormat="1" applyFont="1" applyBorder="1" applyAlignment="1">
      <alignment horizontal="center"/>
    </xf>
    <xf numFmtId="181" fontId="48" fillId="0" borderId="53" xfId="0" applyNumberFormat="1" applyFont="1" applyBorder="1" applyAlignment="1">
      <alignment horizontal="center"/>
    </xf>
    <xf numFmtId="181" fontId="48" fillId="20" borderId="54" xfId="0" applyNumberFormat="1" applyFont="1" applyFill="1" applyBorder="1" applyAlignment="1">
      <alignment horizontal="center"/>
    </xf>
    <xf numFmtId="2" fontId="0" fillId="20" borderId="56" xfId="0" applyNumberFormat="1" applyFill="1" applyBorder="1" applyAlignment="1">
      <alignment horizontal="center"/>
    </xf>
    <xf numFmtId="2" fontId="0" fillId="20" borderId="57" xfId="0" applyNumberFormat="1" applyFill="1" applyBorder="1" applyAlignment="1">
      <alignment horizontal="center"/>
    </xf>
    <xf numFmtId="2" fontId="0" fillId="20" borderId="58" xfId="0" applyNumberFormat="1" applyFill="1" applyBorder="1" applyAlignment="1">
      <alignment horizontal="center"/>
    </xf>
    <xf numFmtId="2" fontId="0" fillId="20" borderId="54" xfId="0" applyNumberFormat="1" applyFill="1" applyBorder="1" applyAlignment="1">
      <alignment horizontal="center"/>
    </xf>
    <xf numFmtId="2" fontId="0" fillId="20" borderId="59" xfId="0" applyNumberFormat="1" applyFill="1" applyBorder="1" applyAlignment="1">
      <alignment horizontal="center"/>
    </xf>
    <xf numFmtId="2" fontId="0" fillId="21" borderId="60" xfId="0" applyNumberFormat="1" applyFill="1" applyBorder="1" applyAlignment="1">
      <alignment horizontal="center"/>
    </xf>
    <xf numFmtId="2" fontId="0" fillId="21" borderId="61" xfId="0" applyNumberFormat="1" applyFill="1" applyBorder="1" applyAlignment="1">
      <alignment horizontal="center"/>
    </xf>
    <xf numFmtId="2" fontId="0" fillId="21" borderId="62" xfId="0" applyNumberFormat="1" applyFill="1" applyBorder="1" applyAlignment="1">
      <alignment horizontal="center"/>
    </xf>
    <xf numFmtId="181" fontId="48" fillId="0" borderId="55" xfId="0" applyNumberFormat="1" applyFont="1" applyBorder="1" applyAlignment="1">
      <alignment horizontal="center"/>
    </xf>
    <xf numFmtId="183" fontId="0" fillId="0" borderId="0" xfId="0" applyNumberFormat="1"/>
    <xf numFmtId="43" fontId="39" fillId="0" borderId="11" xfId="0" applyNumberFormat="1" applyFont="1" applyBorder="1"/>
    <xf numFmtId="10" fontId="0" fillId="0" borderId="0" xfId="3" applyNumberFormat="1" applyFont="1" applyAlignment="1">
      <alignment horizontal="center"/>
    </xf>
    <xf numFmtId="0" fontId="55" fillId="0" borderId="0" xfId="0" applyFont="1" applyAlignment="1">
      <alignment horizontal="center" vertical="center"/>
    </xf>
    <xf numFmtId="178" fontId="7" fillId="14" borderId="19" xfId="0" applyNumberFormat="1" applyFont="1" applyFill="1" applyBorder="1" applyAlignment="1">
      <alignment horizontal="right"/>
    </xf>
    <xf numFmtId="0" fontId="0" fillId="23" borderId="10" xfId="0" applyFill="1" applyBorder="1" applyAlignment="1">
      <alignment horizontal="left"/>
    </xf>
    <xf numFmtId="0" fontId="0" fillId="23" borderId="0" xfId="0" applyFill="1"/>
    <xf numFmtId="0" fontId="10" fillId="23" borderId="11" xfId="0" applyFont="1" applyFill="1" applyBorder="1"/>
    <xf numFmtId="1" fontId="57" fillId="3" borderId="19" xfId="0" applyNumberFormat="1" applyFont="1" applyFill="1" applyBorder="1" applyAlignment="1">
      <alignment horizontal="center" vertical="center"/>
    </xf>
    <xf numFmtId="181" fontId="48" fillId="20" borderId="76" xfId="0" applyNumberFormat="1" applyFont="1" applyFill="1" applyBorder="1"/>
    <xf numFmtId="181" fontId="48" fillId="0" borderId="84" xfId="0" applyNumberFormat="1" applyFont="1" applyBorder="1" applyAlignment="1">
      <alignment horizontal="center"/>
    </xf>
    <xf numFmtId="0" fontId="49" fillId="0" borderId="10" xfId="0" applyFont="1" applyBorder="1" applyAlignment="1">
      <alignment horizontal="right"/>
    </xf>
    <xf numFmtId="181" fontId="0" fillId="20" borderId="85" xfId="0" applyNumberFormat="1" applyFill="1" applyBorder="1" applyAlignment="1">
      <alignment horizontal="center"/>
    </xf>
    <xf numFmtId="0" fontId="49" fillId="21" borderId="10" xfId="0" applyFont="1" applyFill="1" applyBorder="1" applyAlignment="1">
      <alignment horizontal="right"/>
    </xf>
    <xf numFmtId="181" fontId="0" fillId="21" borderId="0" xfId="0" applyNumberFormat="1" applyFill="1" applyAlignment="1">
      <alignment horizontal="center"/>
    </xf>
    <xf numFmtId="181" fontId="0" fillId="21" borderId="11" xfId="0" applyNumberFormat="1" applyFill="1" applyBorder="1" applyAlignment="1">
      <alignment horizontal="center"/>
    </xf>
    <xf numFmtId="0" fontId="49" fillId="0" borderId="86" xfId="0" applyFont="1" applyBorder="1" applyAlignment="1">
      <alignment horizontal="right"/>
    </xf>
    <xf numFmtId="181" fontId="0" fillId="20" borderId="0" xfId="0" applyNumberFormat="1" applyFill="1" applyAlignment="1">
      <alignment horizontal="center"/>
    </xf>
    <xf numFmtId="181" fontId="0" fillId="20" borderId="11" xfId="0" applyNumberFormat="1" applyFill="1" applyBorder="1" applyAlignment="1">
      <alignment horizontal="center"/>
    </xf>
    <xf numFmtId="0" fontId="49" fillId="21" borderId="86" xfId="0" applyFont="1" applyFill="1" applyBorder="1" applyAlignment="1">
      <alignment horizontal="right"/>
    </xf>
    <xf numFmtId="181" fontId="0" fillId="21" borderId="87" xfId="0" applyNumberFormat="1" applyFill="1" applyBorder="1" applyAlignment="1">
      <alignment horizontal="center"/>
    </xf>
    <xf numFmtId="0" fontId="50" fillId="0" borderId="88" xfId="0" applyFont="1" applyBorder="1"/>
    <xf numFmtId="181" fontId="0" fillId="0" borderId="89" xfId="0" applyNumberFormat="1" applyBorder="1"/>
    <xf numFmtId="0" fontId="49" fillId="0" borderId="90" xfId="0" applyFont="1" applyBorder="1" applyAlignment="1">
      <alignment horizontal="right"/>
    </xf>
    <xf numFmtId="0" fontId="49" fillId="21" borderId="12" xfId="0" applyFont="1" applyFill="1" applyBorder="1" applyAlignment="1">
      <alignment horizontal="right"/>
    </xf>
    <xf numFmtId="181" fontId="0" fillId="21" borderId="92" xfId="0" applyNumberFormat="1" applyFill="1" applyBorder="1" applyAlignment="1">
      <alignment horizontal="center"/>
    </xf>
    <xf numFmtId="181" fontId="0" fillId="21" borderId="1" xfId="0" applyNumberFormat="1" applyFill="1" applyBorder="1" applyAlignment="1">
      <alignment horizontal="center"/>
    </xf>
    <xf numFmtId="181" fontId="0" fillId="21" borderId="93" xfId="0" applyNumberFormat="1" applyFill="1" applyBorder="1" applyAlignment="1">
      <alignment horizontal="center"/>
    </xf>
    <xf numFmtId="181" fontId="0" fillId="20" borderId="94" xfId="0" applyNumberFormat="1" applyFill="1" applyBorder="1" applyAlignment="1">
      <alignment horizontal="center"/>
    </xf>
    <xf numFmtId="181" fontId="0" fillId="21" borderId="95" xfId="0" applyNumberFormat="1" applyFill="1" applyBorder="1" applyAlignment="1">
      <alignment horizontal="center"/>
    </xf>
    <xf numFmtId="181" fontId="0" fillId="21" borderId="13" xfId="0" applyNumberFormat="1" applyFill="1" applyBorder="1" applyAlignment="1">
      <alignment horizontal="center"/>
    </xf>
    <xf numFmtId="0" fontId="48" fillId="20" borderId="76" xfId="0" applyFont="1" applyFill="1" applyBorder="1"/>
    <xf numFmtId="0" fontId="48" fillId="0" borderId="84" xfId="0" applyFont="1" applyBorder="1" applyAlignment="1">
      <alignment horizontal="center"/>
    </xf>
    <xf numFmtId="2" fontId="0" fillId="20" borderId="85" xfId="0" applyNumberFormat="1" applyFill="1" applyBorder="1" applyAlignment="1">
      <alignment horizontal="center"/>
    </xf>
    <xf numFmtId="2" fontId="0" fillId="21" borderId="0" xfId="0" applyNumberFormat="1" applyFill="1" applyAlignment="1">
      <alignment horizontal="center"/>
    </xf>
    <xf numFmtId="2" fontId="0" fillId="21" borderId="11" xfId="0" applyNumberFormat="1" applyFill="1" applyBorder="1" applyAlignment="1">
      <alignment horizontal="center"/>
    </xf>
    <xf numFmtId="0" fontId="56" fillId="23" borderId="0" xfId="0" applyFont="1" applyFill="1" applyAlignment="1">
      <alignment horizontal="center" vertical="center"/>
    </xf>
    <xf numFmtId="186" fontId="56" fillId="23" borderId="99" xfId="0" applyNumberFormat="1" applyFont="1" applyFill="1" applyBorder="1" applyAlignment="1">
      <alignment horizontal="center" vertical="center"/>
    </xf>
    <xf numFmtId="186" fontId="55" fillId="23" borderId="0" xfId="0" applyNumberFormat="1" applyFont="1" applyFill="1" applyAlignment="1">
      <alignment horizontal="center" vertical="center"/>
    </xf>
    <xf numFmtId="165" fontId="55" fillId="22" borderId="99" xfId="3" applyNumberFormat="1" applyFont="1" applyFill="1" applyBorder="1" applyAlignment="1">
      <alignment horizontal="center" vertical="center"/>
    </xf>
    <xf numFmtId="165" fontId="55" fillId="23" borderId="0" xfId="3" applyNumberFormat="1" applyFont="1" applyFill="1" applyBorder="1" applyAlignment="1">
      <alignment horizontal="center" vertical="center"/>
    </xf>
    <xf numFmtId="2" fontId="55" fillId="23" borderId="0" xfId="3" applyNumberFormat="1" applyFont="1" applyFill="1" applyBorder="1" applyAlignment="1">
      <alignment horizontal="center" vertical="center"/>
    </xf>
    <xf numFmtId="166" fontId="55" fillId="22" borderId="99" xfId="0" applyNumberFormat="1" applyFont="1" applyFill="1" applyBorder="1" applyAlignment="1">
      <alignment horizontal="center" vertical="center"/>
    </xf>
    <xf numFmtId="166" fontId="55" fillId="23" borderId="99" xfId="0" applyNumberFormat="1" applyFont="1" applyFill="1" applyBorder="1" applyAlignment="1">
      <alignment horizontal="center" vertical="center"/>
    </xf>
    <xf numFmtId="165" fontId="55" fillId="23" borderId="99" xfId="3" applyNumberFormat="1" applyFont="1" applyFill="1" applyBorder="1" applyAlignment="1">
      <alignment horizontal="center" vertical="center"/>
    </xf>
    <xf numFmtId="186" fontId="56" fillId="23" borderId="0" xfId="0" applyNumberFormat="1" applyFont="1" applyFill="1" applyAlignment="1">
      <alignment horizontal="center" vertical="center"/>
    </xf>
    <xf numFmtId="165" fontId="55" fillId="22" borderId="0" xfId="3" applyNumberFormat="1" applyFont="1" applyFill="1" applyBorder="1" applyAlignment="1">
      <alignment horizontal="center" vertical="center"/>
    </xf>
    <xf numFmtId="166" fontId="55" fillId="22" borderId="0" xfId="0" applyNumberFormat="1" applyFont="1" applyFill="1" applyAlignment="1">
      <alignment horizontal="center" vertical="center"/>
    </xf>
    <xf numFmtId="166" fontId="55" fillId="23" borderId="0" xfId="0" applyNumberFormat="1" applyFont="1" applyFill="1" applyAlignment="1">
      <alignment horizontal="center" vertical="center"/>
    </xf>
    <xf numFmtId="186" fontId="56" fillId="23" borderId="100" xfId="0" applyNumberFormat="1" applyFont="1" applyFill="1" applyBorder="1" applyAlignment="1">
      <alignment horizontal="center" vertical="center"/>
    </xf>
    <xf numFmtId="165" fontId="55" fillId="22" borderId="100" xfId="3" applyNumberFormat="1" applyFont="1" applyFill="1" applyBorder="1" applyAlignment="1">
      <alignment horizontal="center" vertical="center"/>
    </xf>
    <xf numFmtId="165" fontId="55" fillId="23" borderId="100" xfId="3" applyNumberFormat="1" applyFont="1" applyFill="1" applyBorder="1" applyAlignment="1">
      <alignment horizontal="center" vertical="center"/>
    </xf>
    <xf numFmtId="166" fontId="55" fillId="22" borderId="100" xfId="0" applyNumberFormat="1" applyFont="1" applyFill="1" applyBorder="1" applyAlignment="1">
      <alignment horizontal="center" vertical="center"/>
    </xf>
    <xf numFmtId="166" fontId="55" fillId="23" borderId="100" xfId="0" applyNumberFormat="1" applyFont="1" applyFill="1" applyBorder="1" applyAlignment="1">
      <alignment horizontal="center" vertical="center"/>
    </xf>
    <xf numFmtId="0" fontId="55" fillId="23" borderId="0" xfId="0" applyFont="1" applyFill="1" applyAlignment="1">
      <alignment horizontal="center" vertical="center"/>
    </xf>
    <xf numFmtId="165" fontId="55" fillId="0" borderId="0" xfId="3" applyNumberFormat="1" applyFont="1" applyFill="1" applyBorder="1" applyAlignment="1">
      <alignment horizontal="center" vertical="center"/>
    </xf>
    <xf numFmtId="2" fontId="55" fillId="0" borderId="0" xfId="3" applyNumberFormat="1" applyFont="1" applyFill="1" applyBorder="1" applyAlignment="1">
      <alignment horizontal="center" vertical="center"/>
    </xf>
    <xf numFmtId="166" fontId="55" fillId="0" borderId="0" xfId="0" applyNumberFormat="1" applyFont="1" applyAlignment="1">
      <alignment horizontal="center" vertical="center"/>
    </xf>
    <xf numFmtId="187" fontId="55" fillId="22" borderId="0" xfId="3" applyNumberFormat="1" applyFont="1" applyFill="1" applyBorder="1" applyAlignment="1">
      <alignment horizontal="center" vertical="center"/>
    </xf>
    <xf numFmtId="187" fontId="55" fillId="23" borderId="0" xfId="3" applyNumberFormat="1" applyFont="1" applyFill="1" applyBorder="1" applyAlignment="1">
      <alignment horizontal="center" vertical="center"/>
    </xf>
    <xf numFmtId="187" fontId="55" fillId="22" borderId="100" xfId="3" applyNumberFormat="1" applyFont="1" applyFill="1" applyBorder="1" applyAlignment="1">
      <alignment horizontal="center" vertical="center"/>
    </xf>
    <xf numFmtId="187" fontId="55" fillId="23" borderId="100" xfId="3" applyNumberFormat="1" applyFont="1" applyFill="1" applyBorder="1" applyAlignment="1">
      <alignment horizontal="center" vertical="center"/>
    </xf>
    <xf numFmtId="0" fontId="56" fillId="0" borderId="0" xfId="0" applyFont="1" applyAlignment="1">
      <alignment horizontal="center" vertical="center"/>
    </xf>
    <xf numFmtId="0" fontId="8" fillId="23" borderId="8" xfId="0" applyFont="1" applyFill="1" applyBorder="1"/>
    <xf numFmtId="0" fontId="0" fillId="23" borderId="3" xfId="0" applyFill="1" applyBorder="1"/>
    <xf numFmtId="0" fontId="10" fillId="23" borderId="9" xfId="0" applyFont="1" applyFill="1" applyBorder="1"/>
    <xf numFmtId="1" fontId="4" fillId="0" borderId="0" xfId="0" applyNumberFormat="1" applyFont="1" applyAlignment="1">
      <alignment horizontal="center"/>
    </xf>
    <xf numFmtId="10" fontId="4" fillId="0" borderId="0" xfId="3" applyNumberFormat="1" applyFont="1" applyAlignment="1">
      <alignment horizontal="center"/>
    </xf>
    <xf numFmtId="0" fontId="4" fillId="0" borderId="0" xfId="0" applyFont="1" applyAlignment="1">
      <alignment horizontal="center"/>
    </xf>
    <xf numFmtId="181" fontId="4" fillId="0" borderId="0" xfId="0" applyNumberFormat="1" applyFont="1" applyAlignment="1">
      <alignment horizontal="center"/>
    </xf>
    <xf numFmtId="2" fontId="4" fillId="0" borderId="0" xfId="0" applyNumberFormat="1" applyFont="1"/>
    <xf numFmtId="2" fontId="4" fillId="0" borderId="0" xfId="0" applyNumberFormat="1" applyFont="1" applyAlignment="1">
      <alignment horizontal="center"/>
    </xf>
    <xf numFmtId="176" fontId="4" fillId="0" borderId="0" xfId="1" applyNumberFormat="1" applyFont="1" applyAlignment="1">
      <alignment horizontal="center"/>
    </xf>
    <xf numFmtId="0" fontId="56" fillId="23" borderId="97" xfId="0" applyFont="1" applyFill="1" applyBorder="1" applyAlignment="1">
      <alignment horizontal="center" vertical="center"/>
    </xf>
    <xf numFmtId="0" fontId="56" fillId="23" borderId="98" xfId="0" applyFont="1" applyFill="1" applyBorder="1" applyAlignment="1">
      <alignment horizontal="center" vertical="center"/>
    </xf>
    <xf numFmtId="0" fontId="5" fillId="2" borderId="2" xfId="0" applyFont="1" applyFill="1" applyBorder="1" applyAlignment="1">
      <alignment vertical="center"/>
    </xf>
    <xf numFmtId="6" fontId="56" fillId="22" borderId="0" xfId="0" applyNumberFormat="1" applyFont="1" applyFill="1" applyAlignment="1">
      <alignment horizontal="center" vertical="center" wrapText="1" readingOrder="1"/>
    </xf>
    <xf numFmtId="6" fontId="56" fillId="22" borderId="0" xfId="0" applyNumberFormat="1" applyFont="1" applyFill="1" applyAlignment="1">
      <alignment horizontal="center" vertical="center" readingOrder="1"/>
    </xf>
    <xf numFmtId="6" fontId="56" fillId="22" borderId="11" xfId="0" applyNumberFormat="1" applyFont="1" applyFill="1" applyBorder="1" applyAlignment="1">
      <alignment horizontal="center" vertical="center" wrapText="1" readingOrder="1"/>
    </xf>
    <xf numFmtId="0" fontId="51" fillId="0" borderId="10" xfId="0" applyFont="1" applyBorder="1" applyAlignment="1">
      <alignment horizontal="center" vertical="center"/>
    </xf>
    <xf numFmtId="0" fontId="56" fillId="23" borderId="0" xfId="0" applyFont="1" applyFill="1" applyAlignment="1">
      <alignment horizontal="left" vertical="center" wrapText="1" readingOrder="1"/>
    </xf>
    <xf numFmtId="167" fontId="56" fillId="23" borderId="0" xfId="0" applyNumberFormat="1" applyFont="1" applyFill="1" applyAlignment="1">
      <alignment horizontal="center" vertical="center" wrapText="1" readingOrder="1"/>
    </xf>
    <xf numFmtId="0" fontId="56" fillId="23" borderId="0" xfId="0" applyFont="1" applyFill="1" applyAlignment="1">
      <alignment horizontal="center" vertical="center" wrapText="1" readingOrder="1"/>
    </xf>
    <xf numFmtId="1" fontId="56" fillId="23" borderId="0" xfId="0" applyNumberFormat="1" applyFont="1" applyFill="1" applyAlignment="1">
      <alignment horizontal="center" vertical="center" wrapText="1" readingOrder="1"/>
    </xf>
    <xf numFmtId="1" fontId="56" fillId="23" borderId="11" xfId="0" applyNumberFormat="1" applyFont="1" applyFill="1" applyBorder="1" applyAlignment="1">
      <alignment horizontal="center" vertical="center" wrapText="1" readingOrder="1"/>
    </xf>
    <xf numFmtId="0" fontId="52" fillId="0" borderId="8" xfId="0" applyFont="1" applyBorder="1" applyAlignment="1">
      <alignment horizontal="left" vertical="center"/>
    </xf>
    <xf numFmtId="0" fontId="53" fillId="0" borderId="3" xfId="0" applyFont="1" applyBorder="1" applyAlignment="1">
      <alignment vertical="center" wrapText="1" readingOrder="1"/>
    </xf>
    <xf numFmtId="0" fontId="54" fillId="0" borderId="3" xfId="0" applyFont="1" applyBorder="1" applyAlignment="1">
      <alignment vertical="center" wrapText="1" readingOrder="1"/>
    </xf>
    <xf numFmtId="0" fontId="54" fillId="0" borderId="3" xfId="0" applyFont="1" applyBorder="1" applyAlignment="1">
      <alignment horizontal="right" vertical="center"/>
    </xf>
    <xf numFmtId="1" fontId="54" fillId="0" borderId="3" xfId="0" applyNumberFormat="1" applyFont="1" applyBorder="1" applyAlignment="1">
      <alignment horizontal="center" vertical="center"/>
    </xf>
    <xf numFmtId="185" fontId="55" fillId="0" borderId="9" xfId="3" applyNumberFormat="1" applyFont="1" applyBorder="1" applyAlignment="1">
      <alignment vertical="center"/>
    </xf>
    <xf numFmtId="0" fontId="55" fillId="0" borderId="12" xfId="0" applyFont="1" applyBorder="1" applyAlignment="1">
      <alignment horizontal="center" vertical="center"/>
    </xf>
    <xf numFmtId="0" fontId="55" fillId="0" borderId="1" xfId="0" applyFont="1" applyBorder="1" applyAlignment="1">
      <alignment vertical="center"/>
    </xf>
    <xf numFmtId="0" fontId="54" fillId="0" borderId="1" xfId="0" applyFont="1" applyBorder="1" applyAlignment="1">
      <alignment horizontal="right" vertical="center"/>
    </xf>
    <xf numFmtId="1" fontId="54" fillId="0" borderId="1" xfId="0" applyNumberFormat="1" applyFont="1" applyBorder="1" applyAlignment="1">
      <alignment horizontal="center" vertical="center"/>
    </xf>
    <xf numFmtId="0" fontId="55" fillId="0" borderId="13" xfId="0" applyFont="1" applyBorder="1" applyAlignment="1">
      <alignment vertical="center"/>
    </xf>
    <xf numFmtId="10" fontId="60" fillId="0" borderId="0" xfId="0" applyNumberFormat="1" applyFont="1"/>
    <xf numFmtId="167" fontId="62" fillId="0" borderId="0" xfId="8" applyNumberFormat="1" applyFont="1" applyAlignment="1">
      <alignment horizontal="left"/>
    </xf>
    <xf numFmtId="167" fontId="63" fillId="0" borderId="0" xfId="8" applyNumberFormat="1" applyFont="1"/>
    <xf numFmtId="167" fontId="64" fillId="0" borderId="0" xfId="8" applyNumberFormat="1" applyFont="1" applyAlignment="1">
      <alignment horizontal="right"/>
    </xf>
    <xf numFmtId="9" fontId="62" fillId="0" borderId="0" xfId="9" applyFont="1" applyFill="1" applyBorder="1" applyAlignment="1">
      <alignment horizontal="left"/>
    </xf>
    <xf numFmtId="167" fontId="62" fillId="0" borderId="1" xfId="8" applyNumberFormat="1" applyFont="1" applyBorder="1" applyAlignment="1">
      <alignment horizontal="right"/>
    </xf>
    <xf numFmtId="9" fontId="61" fillId="0" borderId="0" xfId="9" applyFont="1" applyFill="1" applyBorder="1" applyAlignment="1">
      <alignment horizontal="left"/>
    </xf>
    <xf numFmtId="167" fontId="65" fillId="0" borderId="0" xfId="8" applyNumberFormat="1" applyFont="1"/>
    <xf numFmtId="9" fontId="67" fillId="0" borderId="0" xfId="9" applyFont="1" applyFill="1" applyBorder="1" applyAlignment="1">
      <alignment horizontal="left"/>
    </xf>
    <xf numFmtId="167" fontId="64" fillId="0" borderId="0" xfId="8" applyNumberFormat="1" applyFont="1" applyAlignment="1">
      <alignment horizontal="left"/>
    </xf>
    <xf numFmtId="167" fontId="68" fillId="0" borderId="0" xfId="8" applyNumberFormat="1" applyFont="1" applyAlignment="1">
      <alignment horizontal="right"/>
    </xf>
    <xf numFmtId="167" fontId="64" fillId="0" borderId="0" xfId="8" applyNumberFormat="1" applyFont="1"/>
    <xf numFmtId="3" fontId="64" fillId="0" borderId="0" xfId="10" applyNumberFormat="1" applyFont="1" applyFill="1" applyBorder="1" applyAlignment="1">
      <alignment horizontal="right"/>
    </xf>
    <xf numFmtId="165" fontId="62" fillId="0" borderId="0" xfId="8" applyNumberFormat="1" applyFont="1" applyAlignment="1">
      <alignment horizontal="left"/>
    </xf>
    <xf numFmtId="165" fontId="61" fillId="0" borderId="0" xfId="8" applyNumberFormat="1" applyFont="1" applyAlignment="1">
      <alignment horizontal="left"/>
    </xf>
    <xf numFmtId="167" fontId="64" fillId="0" borderId="0" xfId="10" applyNumberFormat="1" applyFont="1" applyFill="1" applyBorder="1" applyAlignment="1">
      <alignment horizontal="right"/>
    </xf>
    <xf numFmtId="167" fontId="68" fillId="0" borderId="0" xfId="8" applyNumberFormat="1" applyFont="1"/>
    <xf numFmtId="167" fontId="62" fillId="0" borderId="0" xfId="8" applyNumberFormat="1" applyFont="1" applyAlignment="1">
      <alignment horizontal="right"/>
    </xf>
    <xf numFmtId="167" fontId="62" fillId="0" borderId="0" xfId="8" applyNumberFormat="1" applyFont="1"/>
    <xf numFmtId="10" fontId="62" fillId="0" borderId="0" xfId="8" applyNumberFormat="1" applyFont="1" applyAlignment="1">
      <alignment horizontal="left"/>
    </xf>
    <xf numFmtId="10" fontId="61" fillId="0" borderId="0" xfId="8" applyNumberFormat="1" applyFont="1" applyAlignment="1">
      <alignment horizontal="left"/>
    </xf>
    <xf numFmtId="167" fontId="66" fillId="0" borderId="0" xfId="8" applyNumberFormat="1" applyFont="1"/>
    <xf numFmtId="10" fontId="67" fillId="0" borderId="0" xfId="8" applyNumberFormat="1" applyFont="1" applyAlignment="1">
      <alignment horizontal="left"/>
    </xf>
    <xf numFmtId="4" fontId="63" fillId="0" borderId="0" xfId="8" applyNumberFormat="1" applyFont="1" applyAlignment="1">
      <alignment horizontal="left"/>
    </xf>
    <xf numFmtId="0" fontId="62" fillId="0" borderId="0" xfId="8" applyFont="1"/>
    <xf numFmtId="0" fontId="64" fillId="0" borderId="0" xfId="8" applyFont="1" applyAlignment="1">
      <alignment horizontal="left"/>
    </xf>
    <xf numFmtId="0" fontId="70" fillId="0" borderId="0" xfId="8" applyFont="1" applyAlignment="1">
      <alignment horizontal="left"/>
    </xf>
    <xf numFmtId="0" fontId="66" fillId="0" borderId="0" xfId="8" applyFont="1"/>
    <xf numFmtId="0" fontId="71" fillId="0" borderId="0" xfId="8" applyFont="1" applyAlignment="1">
      <alignment horizontal="left"/>
    </xf>
    <xf numFmtId="0" fontId="62" fillId="0" borderId="0" xfId="8" applyFont="1" applyAlignment="1">
      <alignment horizontal="left"/>
    </xf>
    <xf numFmtId="10" fontId="62" fillId="0" borderId="0" xfId="8" applyNumberFormat="1" applyFont="1" applyAlignment="1">
      <alignment horizontal="right"/>
    </xf>
    <xf numFmtId="10" fontId="62" fillId="0" borderId="0" xfId="9" applyNumberFormat="1" applyFont="1" applyFill="1" applyBorder="1" applyAlignment="1">
      <alignment horizontal="left"/>
    </xf>
    <xf numFmtId="10" fontId="61" fillId="0" borderId="0" xfId="9" applyNumberFormat="1" applyFont="1" applyFill="1" applyBorder="1" applyAlignment="1">
      <alignment horizontal="left"/>
    </xf>
    <xf numFmtId="10" fontId="67" fillId="0" borderId="0" xfId="9" applyNumberFormat="1" applyFont="1" applyFill="1" applyBorder="1" applyAlignment="1">
      <alignment horizontal="left"/>
    </xf>
    <xf numFmtId="188" fontId="62" fillId="0" borderId="0" xfId="8" applyNumberFormat="1" applyFont="1" applyAlignment="1">
      <alignment horizontal="right"/>
    </xf>
    <xf numFmtId="3" fontId="62" fillId="0" borderId="0" xfId="8" applyNumberFormat="1" applyFont="1" applyAlignment="1">
      <alignment horizontal="left"/>
    </xf>
    <xf numFmtId="3" fontId="61" fillId="0" borderId="0" xfId="8" applyNumberFormat="1" applyFont="1" applyAlignment="1">
      <alignment horizontal="left"/>
    </xf>
    <xf numFmtId="3" fontId="67" fillId="0" borderId="0" xfId="8" applyNumberFormat="1" applyFont="1" applyAlignment="1">
      <alignment horizontal="left"/>
    </xf>
    <xf numFmtId="167" fontId="62" fillId="0" borderId="0" xfId="11" applyNumberFormat="1" applyFont="1" applyFill="1" applyBorder="1" applyAlignment="1">
      <alignment horizontal="right"/>
    </xf>
    <xf numFmtId="167" fontId="61" fillId="0" borderId="0" xfId="8" applyNumberFormat="1" applyFont="1" applyAlignment="1">
      <alignment horizontal="left"/>
    </xf>
    <xf numFmtId="167" fontId="66" fillId="0" borderId="0" xfId="11" applyNumberFormat="1" applyFont="1" applyFill="1" applyBorder="1" applyAlignment="1">
      <alignment horizontal="right"/>
    </xf>
    <xf numFmtId="167" fontId="67" fillId="0" borderId="0" xfId="8" applyNumberFormat="1" applyFont="1" applyAlignment="1">
      <alignment horizontal="left"/>
    </xf>
    <xf numFmtId="189" fontId="62" fillId="0" borderId="0" xfId="12" quotePrefix="1" applyNumberFormat="1" applyFont="1" applyFill="1" applyBorder="1" applyAlignment="1">
      <alignment horizontal="right"/>
    </xf>
    <xf numFmtId="0" fontId="62" fillId="0" borderId="0" xfId="8" applyFont="1" applyAlignment="1">
      <alignment horizontal="right"/>
    </xf>
    <xf numFmtId="167" fontId="62" fillId="0" borderId="0" xfId="8" applyNumberFormat="1" applyFont="1" applyAlignment="1">
      <alignment horizontal="right" vertical="top"/>
    </xf>
    <xf numFmtId="167" fontId="62" fillId="0" borderId="0" xfId="8" quotePrefix="1" applyNumberFormat="1" applyFont="1" applyAlignment="1">
      <alignment horizontal="right"/>
    </xf>
    <xf numFmtId="167" fontId="64" fillId="0" borderId="0" xfId="8" quotePrefix="1" applyNumberFormat="1" applyFont="1" applyAlignment="1">
      <alignment horizontal="right"/>
    </xf>
    <xf numFmtId="167" fontId="66" fillId="0" borderId="0" xfId="8" applyNumberFormat="1" applyFont="1" applyAlignment="1">
      <alignment horizontal="right" vertical="top"/>
    </xf>
    <xf numFmtId="167" fontId="68" fillId="0" borderId="0" xfId="8" quotePrefix="1" applyNumberFormat="1" applyFont="1" applyAlignment="1">
      <alignment horizontal="right"/>
    </xf>
    <xf numFmtId="0" fontId="63" fillId="0" borderId="0" xfId="8" applyFont="1" applyAlignment="1">
      <alignment horizontal="left"/>
    </xf>
    <xf numFmtId="3" fontId="72" fillId="0" borderId="0" xfId="8" applyNumberFormat="1" applyFont="1"/>
    <xf numFmtId="3" fontId="64" fillId="0" borderId="0" xfId="8" applyNumberFormat="1" applyFont="1" applyAlignment="1">
      <alignment horizontal="center"/>
    </xf>
    <xf numFmtId="3" fontId="72" fillId="0" borderId="0" xfId="8" applyNumberFormat="1" applyFont="1" applyAlignment="1">
      <alignment horizontal="left"/>
    </xf>
    <xf numFmtId="3" fontId="64" fillId="0" borderId="2" xfId="8" applyNumberFormat="1" applyFont="1" applyBorder="1" applyAlignment="1">
      <alignment horizontal="center"/>
    </xf>
    <xf numFmtId="3" fontId="73" fillId="0" borderId="0" xfId="8" applyNumberFormat="1" applyFont="1" applyAlignment="1">
      <alignment horizontal="left"/>
    </xf>
    <xf numFmtId="3" fontId="74" fillId="0" borderId="0" xfId="8" applyNumberFormat="1" applyFont="1"/>
    <xf numFmtId="3" fontId="75" fillId="0" borderId="0" xfId="8" applyNumberFormat="1" applyFont="1" applyAlignment="1">
      <alignment horizontal="left"/>
    </xf>
    <xf numFmtId="0" fontId="62" fillId="0" borderId="0" xfId="13" applyNumberFormat="1" applyFont="1" applyFill="1" applyBorder="1" applyAlignment="1">
      <alignment horizontal="center"/>
    </xf>
    <xf numFmtId="0" fontId="62" fillId="0" borderId="0" xfId="10" applyNumberFormat="1" applyFont="1" applyFill="1" applyBorder="1" applyAlignment="1">
      <alignment horizontal="right"/>
    </xf>
    <xf numFmtId="0" fontId="61" fillId="0" borderId="0" xfId="8" applyFont="1" applyAlignment="1">
      <alignment horizontal="left"/>
    </xf>
    <xf numFmtId="0" fontId="66" fillId="0" borderId="0" xfId="13" applyNumberFormat="1" applyFont="1" applyFill="1" applyBorder="1" applyAlignment="1">
      <alignment horizontal="center"/>
    </xf>
    <xf numFmtId="0" fontId="67" fillId="0" borderId="0" xfId="8" applyFont="1" applyAlignment="1">
      <alignment horizontal="left"/>
    </xf>
    <xf numFmtId="3" fontId="62" fillId="0" borderId="0" xfId="8" applyNumberFormat="1" applyFont="1" applyAlignment="1">
      <alignment horizontal="right"/>
    </xf>
    <xf numFmtId="167" fontId="62" fillId="0" borderId="0" xfId="13" applyNumberFormat="1" applyFont="1" applyFill="1" applyBorder="1" applyAlignment="1">
      <alignment horizontal="center"/>
    </xf>
    <xf numFmtId="165" fontId="62" fillId="0" borderId="0" xfId="9" applyNumberFormat="1" applyFont="1" applyFill="1" applyBorder="1" applyAlignment="1">
      <alignment horizontal="right"/>
    </xf>
    <xf numFmtId="165" fontId="62" fillId="0" borderId="0" xfId="8" applyNumberFormat="1" applyFont="1" applyAlignment="1">
      <alignment horizontal="right"/>
    </xf>
    <xf numFmtId="167" fontId="66" fillId="0" borderId="0" xfId="13" applyNumberFormat="1" applyFont="1" applyFill="1" applyBorder="1" applyAlignment="1">
      <alignment horizontal="center"/>
    </xf>
    <xf numFmtId="166" fontId="62" fillId="0" borderId="0" xfId="14" applyNumberFormat="1" applyFont="1" applyFill="1" applyBorder="1" applyAlignment="1">
      <alignment horizontal="right"/>
    </xf>
    <xf numFmtId="166" fontId="62" fillId="0" borderId="0" xfId="8" applyNumberFormat="1" applyFont="1" applyAlignment="1">
      <alignment horizontal="right"/>
    </xf>
    <xf numFmtId="166" fontId="66" fillId="0" borderId="0" xfId="8" applyNumberFormat="1" applyFont="1" applyAlignment="1">
      <alignment horizontal="right"/>
    </xf>
    <xf numFmtId="167" fontId="62" fillId="0" borderId="0" xfId="8" applyNumberFormat="1" applyFont="1" applyAlignment="1">
      <alignment horizontal="center"/>
    </xf>
    <xf numFmtId="167" fontId="62" fillId="0" borderId="0" xfId="14" applyNumberFormat="1" applyFont="1" applyFill="1" applyBorder="1" applyAlignment="1">
      <alignment horizontal="right"/>
    </xf>
    <xf numFmtId="165" fontId="62" fillId="0" borderId="0" xfId="9" applyNumberFormat="1" applyFont="1" applyFill="1" applyBorder="1" applyAlignment="1">
      <alignment horizontal="left"/>
    </xf>
    <xf numFmtId="165" fontId="61" fillId="0" borderId="0" xfId="9" applyNumberFormat="1" applyFont="1" applyFill="1" applyBorder="1" applyAlignment="1">
      <alignment horizontal="left"/>
    </xf>
    <xf numFmtId="167" fontId="66" fillId="0" borderId="0" xfId="8" applyNumberFormat="1" applyFont="1" applyAlignment="1">
      <alignment horizontal="center"/>
    </xf>
    <xf numFmtId="3" fontId="62" fillId="0" borderId="1" xfId="10" applyNumberFormat="1" applyFont="1" applyFill="1" applyBorder="1" applyAlignment="1">
      <alignment horizontal="right"/>
    </xf>
    <xf numFmtId="167" fontId="62" fillId="0" borderId="1" xfId="10" applyNumberFormat="1" applyFont="1" applyFill="1" applyBorder="1" applyAlignment="1">
      <alignment horizontal="right"/>
    </xf>
    <xf numFmtId="167" fontId="64" fillId="0" borderId="0" xfId="8" applyNumberFormat="1" applyFont="1" applyAlignment="1">
      <alignment horizontal="center"/>
    </xf>
    <xf numFmtId="167" fontId="68" fillId="0" borderId="0" xfId="8" applyNumberFormat="1" applyFont="1" applyAlignment="1">
      <alignment horizontal="center"/>
    </xf>
    <xf numFmtId="167" fontId="62" fillId="0" borderId="0" xfId="10" applyNumberFormat="1" applyFont="1" applyFill="1" applyBorder="1" applyAlignment="1">
      <alignment horizontal="right"/>
    </xf>
    <xf numFmtId="41" fontId="64" fillId="0" borderId="0" xfId="11" applyNumberFormat="1" applyFont="1" applyFill="1" applyBorder="1" applyAlignment="1">
      <alignment horizontal="right"/>
    </xf>
    <xf numFmtId="167" fontId="64" fillId="0" borderId="6" xfId="11" applyNumberFormat="1" applyFont="1" applyFill="1" applyBorder="1" applyAlignment="1">
      <alignment horizontal="right"/>
    </xf>
    <xf numFmtId="167" fontId="62" fillId="0" borderId="6" xfId="11" applyNumberFormat="1" applyFont="1" applyFill="1" applyBorder="1" applyAlignment="1">
      <alignment horizontal="right"/>
    </xf>
    <xf numFmtId="167" fontId="64" fillId="0" borderId="36" xfId="11" applyNumberFormat="1" applyFont="1" applyFill="1" applyBorder="1" applyAlignment="1">
      <alignment horizontal="right"/>
    </xf>
    <xf numFmtId="167" fontId="64" fillId="0" borderId="0" xfId="11" applyNumberFormat="1" applyFont="1" applyFill="1" applyBorder="1" applyAlignment="1">
      <alignment horizontal="right"/>
    </xf>
    <xf numFmtId="3" fontId="62" fillId="0" borderId="0" xfId="10" applyNumberFormat="1" applyFont="1" applyFill="1" applyBorder="1" applyAlignment="1">
      <alignment horizontal="right"/>
    </xf>
    <xf numFmtId="4" fontId="62" fillId="0" borderId="0" xfId="10" applyFont="1" applyFill="1" applyBorder="1" applyAlignment="1">
      <alignment horizontal="right"/>
    </xf>
    <xf numFmtId="3" fontId="66" fillId="0" borderId="0" xfId="10" applyNumberFormat="1" applyFont="1" applyFill="1" applyBorder="1" applyAlignment="1">
      <alignment horizontal="right"/>
    </xf>
    <xf numFmtId="165" fontId="67" fillId="0" borderId="0" xfId="9" applyNumberFormat="1" applyFont="1" applyFill="1" applyBorder="1" applyAlignment="1">
      <alignment horizontal="left"/>
    </xf>
    <xf numFmtId="6" fontId="64" fillId="0" borderId="0" xfId="11" applyNumberFormat="1" applyFont="1" applyFill="1" applyBorder="1" applyAlignment="1">
      <alignment horizontal="right"/>
    </xf>
    <xf numFmtId="2" fontId="62" fillId="0" borderId="0" xfId="8" applyNumberFormat="1" applyFont="1" applyAlignment="1">
      <alignment horizontal="left"/>
    </xf>
    <xf numFmtId="167" fontId="61" fillId="0" borderId="0" xfId="9" applyNumberFormat="1" applyFont="1" applyFill="1" applyBorder="1" applyAlignment="1">
      <alignment horizontal="left"/>
    </xf>
    <xf numFmtId="167" fontId="66" fillId="0" borderId="0" xfId="8" applyNumberFormat="1" applyFont="1" applyAlignment="1">
      <alignment horizontal="left"/>
    </xf>
    <xf numFmtId="0" fontId="76" fillId="0" borderId="0" xfId="8" applyFont="1" applyAlignment="1">
      <alignment horizontal="center"/>
    </xf>
    <xf numFmtId="0" fontId="77" fillId="0" borderId="0" xfId="8" applyFont="1" applyAlignment="1">
      <alignment horizontal="center"/>
    </xf>
    <xf numFmtId="0" fontId="64" fillId="0" borderId="0" xfId="8" applyFont="1" applyAlignment="1">
      <alignment horizontal="center"/>
    </xf>
    <xf numFmtId="2" fontId="66" fillId="0" borderId="0" xfId="8" applyNumberFormat="1" applyFont="1" applyAlignment="1">
      <alignment horizontal="left"/>
    </xf>
    <xf numFmtId="0" fontId="64" fillId="0" borderId="0" xfId="15" applyFont="1" applyAlignment="1">
      <alignment horizontal="left"/>
    </xf>
    <xf numFmtId="165" fontId="64" fillId="0" borderId="0" xfId="8" applyNumberFormat="1" applyFont="1"/>
    <xf numFmtId="165" fontId="64" fillId="0" borderId="0" xfId="9" applyNumberFormat="1" applyFont="1" applyFill="1" applyBorder="1" applyAlignment="1">
      <alignment horizontal="right"/>
    </xf>
    <xf numFmtId="165" fontId="66" fillId="0" borderId="0" xfId="9" applyNumberFormat="1" applyFont="1" applyFill="1" applyBorder="1" applyAlignment="1">
      <alignment horizontal="right"/>
    </xf>
    <xf numFmtId="165" fontId="68" fillId="0" borderId="0" xfId="9" applyNumberFormat="1" applyFont="1" applyFill="1" applyBorder="1" applyAlignment="1">
      <alignment horizontal="right"/>
    </xf>
    <xf numFmtId="10" fontId="64" fillId="0" borderId="0" xfId="9" applyNumberFormat="1" applyFont="1" applyFill="1" applyBorder="1" applyAlignment="1">
      <alignment horizontal="right"/>
    </xf>
    <xf numFmtId="2" fontId="64" fillId="0" borderId="0" xfId="9" applyNumberFormat="1" applyFont="1" applyFill="1" applyBorder="1" applyAlignment="1">
      <alignment horizontal="right"/>
    </xf>
    <xf numFmtId="190" fontId="64" fillId="0" borderId="0" xfId="11" applyNumberFormat="1" applyFont="1" applyFill="1" applyBorder="1" applyAlignment="1">
      <alignment horizontal="right"/>
    </xf>
    <xf numFmtId="39" fontId="64" fillId="0" borderId="0" xfId="12" applyNumberFormat="1" applyFont="1" applyFill="1" applyBorder="1" applyAlignment="1">
      <alignment horizontal="right"/>
    </xf>
    <xf numFmtId="184" fontId="62" fillId="0" borderId="0" xfId="12" applyNumberFormat="1" applyFont="1" applyFill="1" applyBorder="1" applyAlignment="1">
      <alignment horizontal="right"/>
    </xf>
    <xf numFmtId="184" fontId="66" fillId="0" borderId="0" xfId="12" applyNumberFormat="1" applyFont="1" applyFill="1" applyBorder="1" applyAlignment="1">
      <alignment horizontal="right"/>
    </xf>
    <xf numFmtId="5" fontId="64" fillId="0" borderId="0" xfId="8" applyNumberFormat="1" applyFont="1" applyAlignment="1">
      <alignment horizontal="right"/>
    </xf>
    <xf numFmtId="5" fontId="64" fillId="0" borderId="0" xfId="8" applyNumberFormat="1" applyFont="1" applyAlignment="1">
      <alignment horizontal="right" vertical="center"/>
    </xf>
    <xf numFmtId="165" fontId="62" fillId="0" borderId="0" xfId="9" applyNumberFormat="1" applyFont="1" applyFill="1" applyBorder="1" applyAlignment="1">
      <alignment horizontal="right" vertical="center"/>
    </xf>
    <xf numFmtId="167" fontId="68" fillId="0" borderId="0" xfId="8" applyNumberFormat="1" applyFont="1" applyAlignment="1">
      <alignment horizontal="right" vertical="center" wrapText="1"/>
    </xf>
    <xf numFmtId="165" fontId="66" fillId="0" borderId="0" xfId="9" applyNumberFormat="1" applyFont="1" applyFill="1" applyBorder="1" applyAlignment="1">
      <alignment horizontal="right" vertical="center"/>
    </xf>
    <xf numFmtId="0" fontId="73" fillId="0" borderId="0" xfId="8" applyFont="1"/>
    <xf numFmtId="0" fontId="78" fillId="0" borderId="0" xfId="8" applyFont="1"/>
    <xf numFmtId="165" fontId="79" fillId="0" borderId="0" xfId="9" applyNumberFormat="1" applyFont="1" applyFill="1" applyBorder="1" applyAlignment="1">
      <alignment horizontal="left"/>
    </xf>
    <xf numFmtId="167" fontId="80" fillId="23" borderId="0" xfId="8" applyNumberFormat="1" applyFont="1" applyFill="1" applyAlignment="1">
      <alignment horizontal="left"/>
    </xf>
    <xf numFmtId="167" fontId="81" fillId="23" borderId="0" xfId="8" applyNumberFormat="1" applyFont="1" applyFill="1" applyAlignment="1">
      <alignment horizontal="left"/>
    </xf>
    <xf numFmtId="5" fontId="80" fillId="23" borderId="0" xfId="8" applyNumberFormat="1" applyFont="1" applyFill="1" applyAlignment="1">
      <alignment horizontal="right"/>
    </xf>
    <xf numFmtId="165" fontId="82" fillId="23" borderId="0" xfId="9" applyNumberFormat="1" applyFont="1" applyFill="1" applyBorder="1" applyAlignment="1">
      <alignment horizontal="left"/>
    </xf>
    <xf numFmtId="5" fontId="80" fillId="0" borderId="0" xfId="8" applyNumberFormat="1" applyFont="1" applyAlignment="1">
      <alignment horizontal="right"/>
    </xf>
    <xf numFmtId="165" fontId="82" fillId="0" borderId="0" xfId="9" applyNumberFormat="1" applyFont="1" applyFill="1" applyBorder="1" applyAlignment="1">
      <alignment horizontal="left"/>
    </xf>
    <xf numFmtId="167" fontId="83" fillId="0" borderId="0" xfId="8" applyNumberFormat="1" applyFont="1" applyAlignment="1">
      <alignment horizontal="left" wrapText="1"/>
    </xf>
    <xf numFmtId="5" fontId="84" fillId="0" borderId="0" xfId="8" applyNumberFormat="1" applyFont="1" applyAlignment="1">
      <alignment horizontal="right"/>
    </xf>
    <xf numFmtId="167" fontId="84" fillId="23" borderId="0" xfId="8" applyNumberFormat="1" applyFont="1" applyFill="1" applyAlignment="1">
      <alignment horizontal="left"/>
    </xf>
    <xf numFmtId="0" fontId="85" fillId="23" borderId="0" xfId="8" applyFont="1" applyFill="1"/>
    <xf numFmtId="0" fontId="85" fillId="23" borderId="0" xfId="8" applyFont="1" applyFill="1" applyAlignment="1">
      <alignment horizontal="right"/>
    </xf>
    <xf numFmtId="0" fontId="85" fillId="23" borderId="0" xfId="8" applyFont="1" applyFill="1" applyAlignment="1">
      <alignment horizontal="left"/>
    </xf>
    <xf numFmtId="0" fontId="85" fillId="0" borderId="0" xfId="8" applyFont="1" applyAlignment="1">
      <alignment horizontal="right"/>
    </xf>
    <xf numFmtId="0" fontId="85" fillId="0" borderId="0" xfId="8" applyFont="1" applyAlignment="1">
      <alignment horizontal="left"/>
    </xf>
    <xf numFmtId="0" fontId="85" fillId="0" borderId="0" xfId="8" applyFont="1"/>
    <xf numFmtId="167" fontId="84" fillId="23" borderId="0" xfId="8" applyNumberFormat="1" applyFont="1" applyFill="1"/>
    <xf numFmtId="167" fontId="84" fillId="0" borderId="0" xfId="8" applyNumberFormat="1" applyFont="1"/>
    <xf numFmtId="167" fontId="84" fillId="0" borderId="0" xfId="8" applyNumberFormat="1" applyFont="1" applyAlignment="1">
      <alignment horizontal="left"/>
    </xf>
    <xf numFmtId="167" fontId="86" fillId="23" borderId="0" xfId="8" applyNumberFormat="1" applyFont="1" applyFill="1"/>
    <xf numFmtId="167" fontId="86" fillId="23" borderId="0" xfId="8" applyNumberFormat="1" applyFont="1" applyFill="1" applyAlignment="1">
      <alignment horizontal="left"/>
    </xf>
    <xf numFmtId="167" fontId="86" fillId="0" borderId="0" xfId="8" applyNumberFormat="1" applyFont="1" applyAlignment="1">
      <alignment horizontal="left"/>
    </xf>
    <xf numFmtId="167" fontId="86" fillId="0" borderId="0" xfId="8" applyNumberFormat="1" applyFont="1"/>
    <xf numFmtId="0" fontId="87" fillId="0" borderId="0" xfId="8" applyFont="1" applyAlignment="1">
      <alignment horizontal="center"/>
    </xf>
    <xf numFmtId="4" fontId="85" fillId="0" borderId="0" xfId="8" applyNumberFormat="1" applyFont="1" applyAlignment="1">
      <alignment horizontal="left"/>
    </xf>
    <xf numFmtId="0" fontId="87" fillId="23" borderId="0" xfId="8" applyFont="1" applyFill="1" applyAlignment="1">
      <alignment horizontal="center"/>
    </xf>
    <xf numFmtId="4" fontId="85" fillId="23" borderId="0" xfId="8" applyNumberFormat="1" applyFont="1" applyFill="1" applyAlignment="1">
      <alignment horizontal="left"/>
    </xf>
    <xf numFmtId="0" fontId="85" fillId="0" borderId="2" xfId="8" applyFont="1" applyBorder="1"/>
    <xf numFmtId="0" fontId="87" fillId="0" borderId="2" xfId="8" applyFont="1" applyBorder="1"/>
    <xf numFmtId="4" fontId="85" fillId="0" borderId="2" xfId="8" applyNumberFormat="1" applyFont="1" applyBorder="1" applyAlignment="1">
      <alignment horizontal="left"/>
    </xf>
    <xf numFmtId="167" fontId="88" fillId="3" borderId="22" xfId="8" applyNumberFormat="1" applyFont="1" applyFill="1" applyBorder="1" applyAlignment="1">
      <alignment horizontal="left" vertical="center"/>
    </xf>
    <xf numFmtId="167" fontId="89" fillId="3" borderId="23" xfId="8" applyNumberFormat="1" applyFont="1" applyFill="1" applyBorder="1" applyAlignment="1">
      <alignment vertical="center"/>
    </xf>
    <xf numFmtId="167" fontId="90" fillId="3" borderId="23" xfId="8" applyNumberFormat="1" applyFont="1" applyFill="1" applyBorder="1" applyAlignment="1">
      <alignment horizontal="right" vertical="center"/>
    </xf>
    <xf numFmtId="9" fontId="88" fillId="3" borderId="23" xfId="9" applyFont="1" applyFill="1" applyBorder="1" applyAlignment="1">
      <alignment horizontal="left" vertical="center"/>
    </xf>
    <xf numFmtId="167" fontId="88" fillId="3" borderId="23" xfId="8" applyNumberFormat="1" applyFont="1" applyFill="1" applyBorder="1" applyAlignment="1">
      <alignment horizontal="right" vertical="center"/>
    </xf>
    <xf numFmtId="9" fontId="91" fillId="3" borderId="23" xfId="9" applyFont="1" applyFill="1" applyBorder="1" applyAlignment="1">
      <alignment horizontal="left" vertical="center"/>
    </xf>
    <xf numFmtId="9" fontId="91" fillId="3" borderId="24" xfId="9" applyFont="1" applyFill="1" applyBorder="1" applyAlignment="1">
      <alignment horizontal="left" vertical="center"/>
    </xf>
    <xf numFmtId="167" fontId="92" fillId="3" borderId="22" xfId="8" applyNumberFormat="1" applyFont="1" applyFill="1" applyBorder="1" applyAlignment="1">
      <alignment horizontal="center"/>
    </xf>
    <xf numFmtId="167" fontId="92" fillId="3" borderId="23" xfId="13" applyNumberFormat="1" applyFont="1" applyFill="1" applyBorder="1" applyAlignment="1">
      <alignment horizontal="right"/>
    </xf>
    <xf numFmtId="165" fontId="93" fillId="3" borderId="23" xfId="9" applyNumberFormat="1" applyFont="1" applyFill="1" applyBorder="1" applyAlignment="1">
      <alignment horizontal="left"/>
    </xf>
    <xf numFmtId="167" fontId="92" fillId="3" borderId="23" xfId="8" applyNumberFormat="1" applyFont="1" applyFill="1" applyBorder="1" applyAlignment="1">
      <alignment horizontal="center"/>
    </xf>
    <xf numFmtId="165" fontId="91" fillId="3" borderId="23" xfId="9" applyNumberFormat="1" applyFont="1" applyFill="1" applyBorder="1" applyAlignment="1">
      <alignment horizontal="left"/>
    </xf>
    <xf numFmtId="167" fontId="94" fillId="3" borderId="23" xfId="8" applyNumberFormat="1" applyFont="1" applyFill="1" applyBorder="1" applyAlignment="1">
      <alignment horizontal="center"/>
    </xf>
    <xf numFmtId="167" fontId="94" fillId="3" borderId="23" xfId="13" applyNumberFormat="1" applyFont="1" applyFill="1" applyBorder="1" applyAlignment="1">
      <alignment horizontal="right"/>
    </xf>
    <xf numFmtId="165" fontId="95" fillId="3" borderId="24" xfId="9" applyNumberFormat="1" applyFont="1" applyFill="1" applyBorder="1" applyAlignment="1">
      <alignment horizontal="left"/>
    </xf>
    <xf numFmtId="0" fontId="88" fillId="3" borderId="101" xfId="8" applyFont="1" applyFill="1" applyBorder="1" applyAlignment="1">
      <alignment horizontal="left"/>
    </xf>
    <xf numFmtId="0" fontId="0" fillId="0" borderId="0" xfId="0" applyAlignment="1">
      <alignment vertical="center"/>
    </xf>
    <xf numFmtId="9" fontId="12" fillId="0" borderId="0" xfId="0" applyNumberFormat="1" applyFont="1" applyAlignment="1" applyProtection="1">
      <alignment horizontal="center" vertical="center"/>
      <protection locked="0"/>
    </xf>
    <xf numFmtId="0" fontId="98" fillId="23" borderId="10" xfId="0" applyFont="1" applyFill="1" applyBorder="1" applyAlignment="1">
      <alignment horizontal="center" vertical="center"/>
    </xf>
    <xf numFmtId="0" fontId="98" fillId="0" borderId="10" xfId="0" applyFont="1" applyBorder="1" applyAlignment="1">
      <alignment horizontal="center" vertical="center"/>
    </xf>
    <xf numFmtId="0" fontId="99" fillId="0" borderId="0" xfId="0" applyFont="1" applyAlignment="1">
      <alignment horizontal="left" vertical="center" wrapText="1" readingOrder="1"/>
    </xf>
    <xf numFmtId="167" fontId="99" fillId="0" borderId="0" xfId="0" applyNumberFormat="1" applyFont="1" applyAlignment="1">
      <alignment horizontal="center" vertical="center" wrapText="1" readingOrder="1"/>
    </xf>
    <xf numFmtId="0" fontId="99" fillId="0" borderId="0" xfId="0" applyFont="1" applyAlignment="1">
      <alignment horizontal="center" vertical="center" wrapText="1" readingOrder="1"/>
    </xf>
    <xf numFmtId="1" fontId="99" fillId="0" borderId="0" xfId="0" applyNumberFormat="1" applyFont="1" applyAlignment="1">
      <alignment horizontal="center" vertical="center" wrapText="1" readingOrder="1"/>
    </xf>
    <xf numFmtId="1" fontId="99" fillId="0" borderId="11" xfId="0" applyNumberFormat="1" applyFont="1" applyBorder="1" applyAlignment="1">
      <alignment horizontal="center" vertical="center" wrapText="1" readingOrder="1"/>
    </xf>
    <xf numFmtId="10" fontId="12" fillId="0" borderId="0" xfId="3" applyNumberFormat="1" applyFont="1" applyFill="1" applyBorder="1"/>
    <xf numFmtId="0" fontId="7" fillId="0" borderId="22" xfId="0" applyFont="1" applyBorder="1"/>
    <xf numFmtId="0" fontId="7" fillId="0" borderId="23" xfId="0" applyFont="1" applyBorder="1"/>
    <xf numFmtId="0" fontId="0" fillId="24" borderId="0" xfId="0" applyFill="1"/>
    <xf numFmtId="0" fontId="8" fillId="24" borderId="0" xfId="0" applyFont="1" applyFill="1"/>
    <xf numFmtId="0" fontId="11" fillId="24" borderId="0" xfId="0" applyFont="1" applyFill="1"/>
    <xf numFmtId="166" fontId="7" fillId="0" borderId="101" xfId="0" applyNumberFormat="1" applyFont="1" applyBorder="1" applyAlignment="1">
      <alignment horizontal="center"/>
    </xf>
    <xf numFmtId="0" fontId="0" fillId="24" borderId="0" xfId="0" applyFill="1" applyAlignment="1">
      <alignment horizontal="center"/>
    </xf>
    <xf numFmtId="0" fontId="0" fillId="24" borderId="15" xfId="0" applyFill="1" applyBorder="1" applyAlignment="1">
      <alignment horizontal="center"/>
    </xf>
    <xf numFmtId="10" fontId="0" fillId="0" borderId="4" xfId="0" applyNumberFormat="1" applyBorder="1" applyAlignment="1">
      <alignment horizontal="center"/>
    </xf>
    <xf numFmtId="165" fontId="0" fillId="0" borderId="4" xfId="0" applyNumberFormat="1" applyBorder="1" applyAlignment="1">
      <alignment horizontal="center"/>
    </xf>
    <xf numFmtId="10" fontId="12" fillId="5" borderId="4" xfId="0" applyNumberFormat="1" applyFont="1" applyFill="1" applyBorder="1" applyAlignment="1">
      <alignment horizontal="center"/>
    </xf>
    <xf numFmtId="0" fontId="0" fillId="24" borderId="11" xfId="0" applyFill="1" applyBorder="1" applyAlignment="1">
      <alignment horizontal="center"/>
    </xf>
    <xf numFmtId="166" fontId="0" fillId="0" borderId="4" xfId="0" applyNumberFormat="1" applyBorder="1" applyAlignment="1">
      <alignment horizontal="center"/>
    </xf>
    <xf numFmtId="10" fontId="0" fillId="5" borderId="4" xfId="0" applyNumberFormat="1" applyFill="1" applyBorder="1" applyAlignment="1">
      <alignment horizontal="center"/>
    </xf>
    <xf numFmtId="0" fontId="0" fillId="0" borderId="4" xfId="0" applyBorder="1" applyAlignment="1">
      <alignment horizontal="center"/>
    </xf>
    <xf numFmtId="166" fontId="0" fillId="0" borderId="7" xfId="0" applyNumberFormat="1" applyBorder="1" applyAlignment="1">
      <alignment horizontal="center"/>
    </xf>
    <xf numFmtId="10" fontId="0" fillId="0" borderId="4" xfId="3" applyNumberFormat="1" applyFont="1" applyBorder="1" applyAlignment="1">
      <alignment horizontal="center"/>
    </xf>
    <xf numFmtId="10" fontId="12" fillId="5" borderId="7" xfId="3" applyNumberFormat="1" applyFont="1" applyFill="1" applyBorder="1" applyAlignment="1">
      <alignment horizontal="center"/>
    </xf>
    <xf numFmtId="10" fontId="12" fillId="5" borderId="4" xfId="3" applyNumberFormat="1" applyFont="1" applyFill="1" applyBorder="1" applyAlignment="1">
      <alignment horizontal="center"/>
    </xf>
    <xf numFmtId="9" fontId="0" fillId="24" borderId="0" xfId="3" applyFont="1" applyFill="1" applyBorder="1" applyAlignment="1">
      <alignment horizontal="center"/>
    </xf>
    <xf numFmtId="9" fontId="0" fillId="24" borderId="11" xfId="3" applyFont="1" applyFill="1" applyBorder="1" applyAlignment="1">
      <alignment horizontal="center"/>
    </xf>
    <xf numFmtId="10" fontId="0" fillId="24" borderId="0" xfId="0" applyNumberFormat="1" applyFill="1" applyAlignment="1">
      <alignment horizontal="center"/>
    </xf>
    <xf numFmtId="10" fontId="0" fillId="24" borderId="0" xfId="3" applyNumberFormat="1" applyFont="1" applyFill="1" applyBorder="1" applyAlignment="1">
      <alignment horizontal="center"/>
    </xf>
    <xf numFmtId="10" fontId="0" fillId="24" borderId="11" xfId="3" applyNumberFormat="1" applyFont="1" applyFill="1" applyBorder="1" applyAlignment="1">
      <alignment horizontal="center"/>
    </xf>
    <xf numFmtId="10" fontId="12" fillId="24" borderId="0" xfId="3" applyNumberFormat="1" applyFont="1" applyFill="1" applyBorder="1" applyAlignment="1">
      <alignment horizontal="center"/>
    </xf>
    <xf numFmtId="166" fontId="11" fillId="0" borderId="7" xfId="0" applyNumberFormat="1" applyFont="1" applyBorder="1" applyAlignment="1">
      <alignment horizontal="center"/>
    </xf>
    <xf numFmtId="166" fontId="11" fillId="0" borderId="4" xfId="0" applyNumberFormat="1" applyFont="1" applyBorder="1" applyAlignment="1">
      <alignment horizontal="center"/>
    </xf>
    <xf numFmtId="10" fontId="101" fillId="5" borderId="7" xfId="3" applyNumberFormat="1" applyFont="1" applyFill="1" applyBorder="1" applyAlignment="1">
      <alignment horizontal="center"/>
    </xf>
    <xf numFmtId="10" fontId="101" fillId="5" borderId="4" xfId="3" applyNumberFormat="1" applyFont="1" applyFill="1" applyBorder="1" applyAlignment="1">
      <alignment horizontal="center"/>
    </xf>
    <xf numFmtId="10" fontId="1" fillId="24" borderId="0" xfId="3" applyNumberFormat="1" applyFont="1" applyFill="1" applyBorder="1" applyAlignment="1">
      <alignment horizontal="center"/>
    </xf>
    <xf numFmtId="0" fontId="0" fillId="0" borderId="16" xfId="0" applyBorder="1" applyAlignment="1">
      <alignment horizontal="center"/>
    </xf>
    <xf numFmtId="0" fontId="0" fillId="24" borderId="6" xfId="0" applyFill="1" applyBorder="1" applyAlignment="1">
      <alignment horizontal="center"/>
    </xf>
    <xf numFmtId="0" fontId="0" fillId="24" borderId="7" xfId="0" applyFill="1" applyBorder="1" applyAlignment="1">
      <alignment horizontal="center"/>
    </xf>
    <xf numFmtId="0" fontId="0" fillId="0" borderId="14" xfId="0" applyBorder="1" applyAlignment="1">
      <alignment horizontal="center"/>
    </xf>
    <xf numFmtId="166" fontId="0" fillId="0" borderId="14" xfId="0" applyNumberFormat="1" applyBorder="1" applyAlignment="1">
      <alignment horizontal="center"/>
    </xf>
    <xf numFmtId="10" fontId="0" fillId="0" borderId="16" xfId="3" applyNumberFormat="1" applyFont="1" applyBorder="1" applyAlignment="1">
      <alignment horizontal="center"/>
    </xf>
    <xf numFmtId="10" fontId="0" fillId="24" borderId="6" xfId="3" applyNumberFormat="1" applyFont="1" applyFill="1" applyBorder="1" applyAlignment="1">
      <alignment horizontal="center"/>
    </xf>
    <xf numFmtId="10" fontId="0" fillId="24" borderId="7" xfId="3" applyNumberFormat="1" applyFont="1" applyFill="1" applyBorder="1" applyAlignment="1">
      <alignment horizontal="center"/>
    </xf>
    <xf numFmtId="10" fontId="1" fillId="24" borderId="6" xfId="3" applyNumberFormat="1" applyFont="1" applyFill="1" applyBorder="1" applyAlignment="1">
      <alignment horizontal="center"/>
    </xf>
    <xf numFmtId="10" fontId="12" fillId="5" borderId="9" xfId="3" applyNumberFormat="1" applyFont="1" applyFill="1" applyBorder="1" applyAlignment="1">
      <alignment horizontal="center"/>
    </xf>
    <xf numFmtId="10" fontId="12" fillId="5" borderId="16" xfId="3" applyNumberFormat="1" applyFont="1" applyFill="1" applyBorder="1" applyAlignment="1">
      <alignment horizontal="center"/>
    </xf>
    <xf numFmtId="10" fontId="12" fillId="24" borderId="6" xfId="3" applyNumberFormat="1" applyFont="1" applyFill="1" applyBorder="1" applyAlignment="1">
      <alignment horizontal="center"/>
    </xf>
    <xf numFmtId="166" fontId="0" fillId="0" borderId="13" xfId="0" applyNumberFormat="1" applyBorder="1" applyAlignment="1">
      <alignment horizontal="center"/>
    </xf>
    <xf numFmtId="10" fontId="0" fillId="24" borderId="9" xfId="3" applyNumberFormat="1" applyFont="1" applyFill="1" applyBorder="1" applyAlignment="1">
      <alignment horizontal="center"/>
    </xf>
    <xf numFmtId="10" fontId="0" fillId="24" borderId="21" xfId="3" applyNumberFormat="1" applyFont="1" applyFill="1" applyBorder="1" applyAlignment="1">
      <alignment horizontal="center"/>
    </xf>
    <xf numFmtId="0" fontId="7" fillId="0" borderId="23" xfId="0" applyFont="1"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166" fontId="7" fillId="0" borderId="4" xfId="0" applyNumberFormat="1" applyFont="1" applyBorder="1" applyAlignment="1">
      <alignment horizontal="center"/>
    </xf>
    <xf numFmtId="166" fontId="7" fillId="0" borderId="7" xfId="0" applyNumberFormat="1" applyFont="1" applyBorder="1" applyAlignment="1">
      <alignment horizontal="center"/>
    </xf>
    <xf numFmtId="10" fontId="7" fillId="0" borderId="4" xfId="3" applyNumberFormat="1" applyFont="1" applyBorder="1" applyAlignment="1">
      <alignment horizontal="center"/>
    </xf>
    <xf numFmtId="10" fontId="100" fillId="5" borderId="7" xfId="3" applyNumberFormat="1" applyFont="1" applyFill="1" applyBorder="1" applyAlignment="1">
      <alignment horizontal="center"/>
    </xf>
    <xf numFmtId="0" fontId="7" fillId="24" borderId="0" xfId="0" applyFont="1" applyFill="1"/>
    <xf numFmtId="0" fontId="7" fillId="24" borderId="0" xfId="0" applyFont="1" applyFill="1" applyAlignment="1">
      <alignment horizontal="center"/>
    </xf>
    <xf numFmtId="10" fontId="7" fillId="24" borderId="0" xfId="3" applyNumberFormat="1" applyFont="1" applyFill="1" applyBorder="1" applyAlignment="1">
      <alignment horizontal="center"/>
    </xf>
    <xf numFmtId="10" fontId="7" fillId="24" borderId="11" xfId="3" applyNumberFormat="1" applyFont="1" applyFill="1" applyBorder="1" applyAlignment="1">
      <alignment horizontal="center"/>
    </xf>
    <xf numFmtId="10" fontId="100" fillId="24" borderId="0" xfId="3" applyNumberFormat="1" applyFont="1" applyFill="1" applyBorder="1" applyAlignment="1">
      <alignment horizontal="center"/>
    </xf>
    <xf numFmtId="0" fontId="102" fillId="2" borderId="2" xfId="0" applyFont="1" applyFill="1" applyBorder="1" applyAlignment="1">
      <alignment vertical="center"/>
    </xf>
    <xf numFmtId="166" fontId="0" fillId="0" borderId="16" xfId="0" applyNumberFormat="1" applyBorder="1" applyAlignment="1">
      <alignment horizontal="center"/>
    </xf>
    <xf numFmtId="0" fontId="0" fillId="0" borderId="16" xfId="3" applyNumberFormat="1" applyFont="1" applyBorder="1" applyAlignment="1">
      <alignment horizontal="center"/>
    </xf>
    <xf numFmtId="10" fontId="0" fillId="0" borderId="4" xfId="3" applyNumberFormat="1" applyFont="1" applyBorder="1" applyAlignment="1">
      <alignment horizontal="center" vertical="center"/>
    </xf>
    <xf numFmtId="10" fontId="101" fillId="5" borderId="7" xfId="3" applyNumberFormat="1" applyFont="1" applyFill="1" applyBorder="1" applyAlignment="1">
      <alignment horizontal="center" vertical="center"/>
    </xf>
    <xf numFmtId="166" fontId="12" fillId="5" borderId="7" xfId="2" applyNumberFormat="1" applyFont="1" applyFill="1" applyBorder="1" applyAlignment="1">
      <alignment horizontal="center"/>
    </xf>
    <xf numFmtId="166" fontId="0" fillId="0" borderId="0" xfId="0" applyNumberFormat="1" applyAlignment="1">
      <alignment horizontal="center"/>
    </xf>
    <xf numFmtId="166" fontId="0" fillId="0" borderId="16" xfId="3" applyNumberFormat="1" applyFont="1" applyBorder="1" applyAlignment="1">
      <alignment horizontal="center"/>
    </xf>
    <xf numFmtId="166" fontId="12" fillId="5" borderId="9" xfId="3" applyNumberFormat="1" applyFont="1" applyFill="1" applyBorder="1" applyAlignment="1">
      <alignment horizontal="center"/>
    </xf>
    <xf numFmtId="0" fontId="0" fillId="14" borderId="0" xfId="0" applyFill="1" applyAlignment="1">
      <alignment horizontal="center"/>
    </xf>
    <xf numFmtId="165" fontId="7" fillId="14" borderId="3" xfId="3" applyNumberFormat="1" applyFont="1" applyFill="1" applyBorder="1" applyAlignment="1">
      <alignment horizontal="center"/>
    </xf>
    <xf numFmtId="0" fontId="7" fillId="14" borderId="5" xfId="0" applyFont="1" applyFill="1" applyBorder="1" applyAlignment="1">
      <alignment horizontal="left"/>
    </xf>
    <xf numFmtId="3" fontId="7" fillId="14" borderId="6" xfId="0" applyNumberFormat="1" applyFont="1" applyFill="1" applyBorder="1" applyAlignment="1">
      <alignment horizontal="center"/>
    </xf>
    <xf numFmtId="165" fontId="7" fillId="14" borderId="7" xfId="0" applyNumberFormat="1" applyFont="1" applyFill="1" applyBorder="1" applyAlignment="1">
      <alignment horizontal="center"/>
    </xf>
    <xf numFmtId="165" fontId="7" fillId="14" borderId="6" xfId="0" applyNumberFormat="1" applyFont="1" applyFill="1" applyBorder="1" applyAlignment="1">
      <alignment horizontal="center"/>
    </xf>
    <xf numFmtId="181" fontId="4" fillId="0" borderId="0" xfId="0" applyNumberFormat="1" applyFont="1"/>
    <xf numFmtId="10" fontId="12" fillId="0" borderId="13" xfId="3" applyNumberFormat="1" applyFont="1" applyFill="1" applyBorder="1"/>
    <xf numFmtId="178" fontId="0" fillId="0" borderId="0" xfId="0" applyNumberFormat="1" applyAlignment="1">
      <alignment horizontal="center"/>
    </xf>
    <xf numFmtId="190" fontId="0" fillId="0" borderId="0" xfId="0" applyNumberFormat="1" applyAlignment="1">
      <alignment horizontal="center"/>
    </xf>
    <xf numFmtId="0" fontId="33" fillId="14" borderId="22" xfId="0" applyFont="1" applyFill="1" applyBorder="1"/>
    <xf numFmtId="3" fontId="0" fillId="14" borderId="23" xfId="0" applyNumberFormat="1" applyFill="1" applyBorder="1" applyAlignment="1">
      <alignment horizontal="center"/>
    </xf>
    <xf numFmtId="0" fontId="0" fillId="14" borderId="23" xfId="0" applyFill="1" applyBorder="1" applyAlignment="1">
      <alignment horizontal="center"/>
    </xf>
    <xf numFmtId="178" fontId="33" fillId="14" borderId="23" xfId="0" applyNumberFormat="1" applyFont="1" applyFill="1" applyBorder="1"/>
    <xf numFmtId="0" fontId="0" fillId="14" borderId="24" xfId="0" applyFill="1" applyBorder="1" applyAlignment="1">
      <alignment horizontal="center"/>
    </xf>
    <xf numFmtId="0" fontId="11" fillId="0" borderId="0" xfId="0" applyFont="1" applyAlignment="1">
      <alignment horizontal="center"/>
    </xf>
    <xf numFmtId="0" fontId="105" fillId="23" borderId="0" xfId="0" applyFont="1" applyFill="1"/>
    <xf numFmtId="0" fontId="106" fillId="0" borderId="0" xfId="0" applyFont="1"/>
    <xf numFmtId="0" fontId="11" fillId="23" borderId="0" xfId="0" applyFont="1" applyFill="1"/>
    <xf numFmtId="0" fontId="11" fillId="0" borderId="0" xfId="0" applyFont="1" applyAlignment="1">
      <alignment horizontal="right"/>
    </xf>
    <xf numFmtId="0" fontId="11" fillId="23" borderId="0" xfId="0" applyFont="1" applyFill="1" applyAlignment="1">
      <alignment horizontal="center"/>
    </xf>
    <xf numFmtId="0" fontId="11" fillId="23" borderId="0" xfId="0" applyFont="1" applyFill="1" applyAlignment="1">
      <alignment horizontal="left"/>
    </xf>
    <xf numFmtId="165" fontId="11" fillId="23" borderId="0" xfId="0" applyNumberFormat="1" applyFont="1" applyFill="1" applyAlignment="1">
      <alignment horizontal="right"/>
    </xf>
    <xf numFmtId="165" fontId="11" fillId="23" borderId="0" xfId="0" applyNumberFormat="1" applyFont="1" applyFill="1" applyAlignment="1">
      <alignment horizontal="center"/>
    </xf>
    <xf numFmtId="10" fontId="11" fillId="23" borderId="0" xfId="0" applyNumberFormat="1" applyFont="1" applyFill="1" applyAlignment="1">
      <alignment horizontal="center"/>
    </xf>
    <xf numFmtId="0" fontId="11" fillId="3" borderId="0" xfId="0" applyFont="1" applyFill="1" applyAlignment="1">
      <alignment horizontal="right"/>
    </xf>
    <xf numFmtId="0" fontId="11" fillId="3" borderId="0" xfId="0" applyFont="1" applyFill="1" applyAlignment="1">
      <alignment horizontal="center"/>
    </xf>
    <xf numFmtId="10" fontId="11" fillId="23" borderId="0" xfId="0" applyNumberFormat="1" applyFont="1" applyFill="1" applyAlignment="1">
      <alignment horizontal="right"/>
    </xf>
    <xf numFmtId="0" fontId="11" fillId="23" borderId="0" xfId="0" applyFont="1" applyFill="1" applyAlignment="1">
      <alignment horizontal="right"/>
    </xf>
    <xf numFmtId="0" fontId="11" fillId="23" borderId="0" xfId="0" applyFont="1" applyFill="1" applyAlignment="1">
      <alignment horizontal="left" indent="1"/>
    </xf>
    <xf numFmtId="41" fontId="11" fillId="23" borderId="0" xfId="0" applyNumberFormat="1" applyFont="1" applyFill="1" applyAlignment="1">
      <alignment horizontal="right"/>
    </xf>
    <xf numFmtId="199" fontId="11" fillId="23" borderId="0" xfId="0" applyNumberFormat="1" applyFont="1" applyFill="1" applyAlignment="1">
      <alignment horizontal="right"/>
    </xf>
    <xf numFmtId="3" fontId="11" fillId="23" borderId="0" xfId="0" applyNumberFormat="1" applyFont="1" applyFill="1"/>
    <xf numFmtId="175" fontId="11" fillId="23" borderId="0" xfId="0" applyNumberFormat="1" applyFont="1" applyFill="1" applyAlignment="1">
      <alignment horizontal="right"/>
    </xf>
    <xf numFmtId="4" fontId="11" fillId="23" borderId="0" xfId="0" applyNumberFormat="1" applyFont="1" applyFill="1" applyAlignment="1">
      <alignment horizontal="left"/>
    </xf>
    <xf numFmtId="170" fontId="11" fillId="23" borderId="0" xfId="0" applyNumberFormat="1" applyFont="1" applyFill="1" applyAlignment="1">
      <alignment horizontal="right"/>
    </xf>
    <xf numFmtId="200" fontId="11" fillId="23" borderId="0" xfId="0" applyNumberFormat="1" applyFont="1" applyFill="1" applyAlignment="1">
      <alignment horizontal="left"/>
    </xf>
    <xf numFmtId="0" fontId="106" fillId="0" borderId="0" xfId="0" applyFont="1" applyAlignment="1">
      <alignment horizontal="right"/>
    </xf>
    <xf numFmtId="0" fontId="11" fillId="0" borderId="0" xfId="0" applyFont="1" applyAlignment="1">
      <alignment horizontal="left"/>
    </xf>
    <xf numFmtId="0" fontId="106" fillId="2" borderId="2" xfId="0" applyFont="1" applyFill="1" applyBorder="1" applyAlignment="1">
      <alignment vertical="center"/>
    </xf>
    <xf numFmtId="0" fontId="106" fillId="23" borderId="0" xfId="0" applyFont="1" applyFill="1"/>
    <xf numFmtId="0" fontId="106" fillId="23" borderId="0" xfId="0" applyFont="1" applyFill="1" applyAlignment="1">
      <alignment horizontal="center"/>
    </xf>
    <xf numFmtId="0" fontId="111" fillId="23" borderId="0" xfId="0" applyFont="1" applyFill="1" applyAlignment="1">
      <alignment horizontal="center"/>
    </xf>
    <xf numFmtId="0" fontId="106" fillId="0" borderId="0" xfId="0" applyFont="1" applyAlignment="1">
      <alignment horizontal="center"/>
    </xf>
    <xf numFmtId="0" fontId="112" fillId="0" borderId="0" xfId="0" applyFont="1" applyAlignment="1">
      <alignment horizontal="right"/>
    </xf>
    <xf numFmtId="0" fontId="110" fillId="0" borderId="0" xfId="0" applyFont="1" applyAlignment="1">
      <alignment horizontal="center"/>
    </xf>
    <xf numFmtId="41" fontId="112" fillId="23" borderId="0" xfId="0" applyNumberFormat="1" applyFont="1" applyFill="1" applyAlignment="1">
      <alignment horizontal="right"/>
    </xf>
    <xf numFmtId="9" fontId="110" fillId="23" borderId="0" xfId="0" applyNumberFormat="1" applyFont="1" applyFill="1" applyAlignment="1">
      <alignment horizontal="center"/>
    </xf>
    <xf numFmtId="0" fontId="11" fillId="23" borderId="96" xfId="0" applyFont="1" applyFill="1" applyBorder="1" applyAlignment="1">
      <alignment horizontal="right" vertical="center"/>
    </xf>
    <xf numFmtId="0" fontId="113" fillId="23" borderId="102" xfId="0" applyFont="1" applyFill="1" applyBorder="1" applyAlignment="1">
      <alignment horizontal="left" vertical="center"/>
    </xf>
    <xf numFmtId="0" fontId="11" fillId="23" borderId="25" xfId="0" applyFont="1" applyFill="1" applyBorder="1" applyAlignment="1">
      <alignment horizontal="right" vertical="center"/>
    </xf>
    <xf numFmtId="0" fontId="113" fillId="23" borderId="26" xfId="0" applyFont="1" applyFill="1" applyBorder="1" applyAlignment="1">
      <alignment horizontal="left" vertical="center"/>
    </xf>
    <xf numFmtId="192" fontId="11" fillId="23" borderId="26" xfId="0" applyNumberFormat="1" applyFont="1" applyFill="1" applyBorder="1" applyAlignment="1">
      <alignment horizontal="left" vertical="center"/>
    </xf>
    <xf numFmtId="0" fontId="11" fillId="23" borderId="103" xfId="0" applyFont="1" applyFill="1" applyBorder="1" applyAlignment="1">
      <alignment horizontal="right" vertical="center"/>
    </xf>
    <xf numFmtId="192" fontId="11" fillId="23" borderId="104" xfId="0" applyNumberFormat="1" applyFont="1" applyFill="1" applyBorder="1" applyAlignment="1">
      <alignment horizontal="left" vertical="center"/>
    </xf>
    <xf numFmtId="6" fontId="112" fillId="23" borderId="0" xfId="0" applyNumberFormat="1" applyFont="1" applyFill="1" applyAlignment="1">
      <alignment horizontal="right"/>
    </xf>
    <xf numFmtId="0" fontId="8" fillId="23" borderId="0" xfId="0" applyFont="1" applyFill="1" applyAlignment="1">
      <alignment horizontal="center"/>
    </xf>
    <xf numFmtId="0" fontId="8" fillId="23" borderId="0" xfId="0" applyFont="1" applyFill="1" applyAlignment="1">
      <alignment horizontal="right"/>
    </xf>
    <xf numFmtId="193" fontId="112" fillId="23" borderId="0" xfId="0" applyNumberFormat="1" applyFont="1" applyFill="1" applyAlignment="1">
      <alignment horizontal="left"/>
    </xf>
    <xf numFmtId="165" fontId="114" fillId="23" borderId="0" xfId="0" applyNumberFormat="1" applyFont="1" applyFill="1" applyAlignment="1">
      <alignment horizontal="left"/>
    </xf>
    <xf numFmtId="165" fontId="114" fillId="23" borderId="0" xfId="0" applyNumberFormat="1" applyFont="1" applyFill="1" applyAlignment="1">
      <alignment horizontal="center"/>
    </xf>
    <xf numFmtId="165" fontId="110" fillId="0" borderId="0" xfId="0" applyNumberFormat="1" applyFont="1" applyAlignment="1">
      <alignment horizontal="center"/>
    </xf>
    <xf numFmtId="194" fontId="110" fillId="0" borderId="0" xfId="0" applyNumberFormat="1" applyFont="1" applyAlignment="1">
      <alignment horizontal="right"/>
    </xf>
    <xf numFmtId="195" fontId="110" fillId="0" borderId="0" xfId="0" applyNumberFormat="1" applyFont="1" applyAlignment="1" applyProtection="1">
      <alignment horizontal="right"/>
      <protection locked="0"/>
    </xf>
    <xf numFmtId="196" fontId="112" fillId="23" borderId="0" xfId="0" applyNumberFormat="1" applyFont="1" applyFill="1" applyAlignment="1">
      <alignment horizontal="left"/>
    </xf>
    <xf numFmtId="165" fontId="112" fillId="0" borderId="0" xfId="0" applyNumberFormat="1" applyFont="1" applyAlignment="1">
      <alignment horizontal="center"/>
    </xf>
    <xf numFmtId="195" fontId="110" fillId="23" borderId="0" xfId="0" applyNumberFormat="1" applyFont="1" applyFill="1"/>
    <xf numFmtId="9" fontId="112" fillId="23" borderId="0" xfId="0" applyNumberFormat="1" applyFont="1" applyFill="1" applyAlignment="1">
      <alignment horizontal="center"/>
    </xf>
    <xf numFmtId="0" fontId="7" fillId="23" borderId="0" xfId="0" applyFont="1" applyFill="1" applyAlignment="1">
      <alignment horizontal="left"/>
    </xf>
    <xf numFmtId="9" fontId="110" fillId="23" borderId="0" xfId="0" applyNumberFormat="1" applyFont="1" applyFill="1" applyAlignment="1">
      <alignment horizontal="right"/>
    </xf>
    <xf numFmtId="9" fontId="112" fillId="23" borderId="0" xfId="0" applyNumberFormat="1" applyFont="1" applyFill="1" applyAlignment="1">
      <alignment horizontal="right"/>
    </xf>
    <xf numFmtId="0" fontId="114" fillId="23" borderId="0" xfId="0" applyFont="1" applyFill="1" applyAlignment="1">
      <alignment horizontal="right"/>
    </xf>
    <xf numFmtId="41" fontId="112" fillId="23" borderId="0" xfId="0" applyNumberFormat="1" applyFont="1" applyFill="1"/>
    <xf numFmtId="41" fontId="116" fillId="23" borderId="0" xfId="0" applyNumberFormat="1" applyFont="1" applyFill="1"/>
    <xf numFmtId="41" fontId="116" fillId="23" borderId="0" xfId="0" applyNumberFormat="1" applyFont="1" applyFill="1" applyAlignment="1">
      <alignment horizontal="right"/>
    </xf>
    <xf numFmtId="41" fontId="110" fillId="23" borderId="0" xfId="0" applyNumberFormat="1" applyFont="1" applyFill="1" applyAlignment="1">
      <alignment horizontal="right"/>
    </xf>
    <xf numFmtId="198" fontId="112" fillId="23" borderId="0" xfId="0" applyNumberFormat="1" applyFont="1" applyFill="1"/>
    <xf numFmtId="0" fontId="115" fillId="0" borderId="0" xfId="0" applyFont="1"/>
    <xf numFmtId="0" fontId="117" fillId="0" borderId="0" xfId="0" applyFont="1" applyAlignment="1">
      <alignment horizontal="left" indent="1"/>
    </xf>
    <xf numFmtId="198" fontId="115" fillId="0" borderId="0" xfId="0" applyNumberFormat="1" applyFont="1"/>
    <xf numFmtId="196" fontId="115" fillId="0" borderId="0" xfId="0" applyNumberFormat="1" applyFont="1" applyAlignment="1">
      <alignment horizontal="left"/>
    </xf>
    <xf numFmtId="41" fontId="115" fillId="0" borderId="0" xfId="0" applyNumberFormat="1" applyFont="1" applyAlignment="1">
      <alignment horizontal="right"/>
    </xf>
    <xf numFmtId="0" fontId="115" fillId="0" borderId="0" xfId="0" applyFont="1" applyAlignment="1">
      <alignment horizontal="left" indent="1"/>
    </xf>
    <xf numFmtId="41" fontId="115" fillId="0" borderId="0" xfId="0" applyNumberFormat="1" applyFont="1"/>
    <xf numFmtId="165" fontId="115" fillId="0" borderId="0" xfId="0" applyNumberFormat="1" applyFont="1"/>
    <xf numFmtId="0" fontId="118" fillId="23" borderId="0" xfId="0" applyFont="1" applyFill="1" applyAlignment="1">
      <alignment horizontal="left" indent="1"/>
    </xf>
    <xf numFmtId="0" fontId="118" fillId="23" borderId="0" xfId="0" applyFont="1" applyFill="1"/>
    <xf numFmtId="6" fontId="118" fillId="23" borderId="0" xfId="0" applyNumberFormat="1" applyFont="1" applyFill="1"/>
    <xf numFmtId="0" fontId="112" fillId="23" borderId="0" xfId="0" applyFont="1" applyFill="1"/>
    <xf numFmtId="41" fontId="119" fillId="0" borderId="0" xfId="0" applyNumberFormat="1" applyFont="1" applyAlignment="1" applyProtection="1">
      <alignment horizontal="right"/>
      <protection locked="0"/>
    </xf>
    <xf numFmtId="0" fontId="119" fillId="0" borderId="0" xfId="0" applyFont="1" applyAlignment="1">
      <alignment horizontal="left" indent="1"/>
    </xf>
    <xf numFmtId="3" fontId="115" fillId="0" borderId="0" xfId="0" applyNumberFormat="1" applyFont="1"/>
    <xf numFmtId="0" fontId="110" fillId="0" borderId="0" xfId="0" applyFont="1" applyAlignment="1">
      <alignment horizontal="left" indent="1"/>
    </xf>
    <xf numFmtId="41" fontId="112" fillId="0" borderId="0" xfId="0" applyNumberFormat="1" applyFont="1" applyAlignment="1" applyProtection="1">
      <alignment horizontal="right"/>
      <protection locked="0"/>
    </xf>
    <xf numFmtId="3" fontId="118" fillId="23" borderId="0" xfId="0" applyNumberFormat="1" applyFont="1" applyFill="1" applyAlignment="1">
      <alignment horizontal="right"/>
    </xf>
    <xf numFmtId="165" fontId="115" fillId="0" borderId="0" xfId="0" applyNumberFormat="1" applyFont="1" applyAlignment="1">
      <alignment horizontal="center"/>
    </xf>
    <xf numFmtId="195" fontId="115" fillId="0" borderId="0" xfId="0" applyNumberFormat="1" applyFont="1" applyAlignment="1" applyProtection="1">
      <alignment horizontal="right"/>
      <protection locked="0"/>
    </xf>
    <xf numFmtId="199" fontId="115" fillId="0" borderId="0" xfId="0" applyNumberFormat="1" applyFont="1" applyAlignment="1" applyProtection="1">
      <alignment horizontal="right"/>
      <protection locked="0"/>
    </xf>
    <xf numFmtId="199" fontId="115" fillId="23" borderId="0" xfId="0" applyNumberFormat="1" applyFont="1" applyFill="1" applyAlignment="1">
      <alignment horizontal="right"/>
    </xf>
    <xf numFmtId="41" fontId="115" fillId="0" borderId="0" xfId="0" applyNumberFormat="1" applyFont="1" applyAlignment="1" applyProtection="1">
      <alignment horizontal="right"/>
      <protection locked="0"/>
    </xf>
    <xf numFmtId="41" fontId="105" fillId="23" borderId="0" xfId="0" applyNumberFormat="1" applyFont="1" applyFill="1" applyAlignment="1">
      <alignment horizontal="right"/>
    </xf>
    <xf numFmtId="10" fontId="105" fillId="0" borderId="0" xfId="0" applyNumberFormat="1" applyFont="1" applyAlignment="1">
      <alignment horizontal="right"/>
    </xf>
    <xf numFmtId="4" fontId="115" fillId="0" borderId="0" xfId="0" applyNumberFormat="1" applyFont="1" applyAlignment="1">
      <alignment horizontal="left"/>
    </xf>
    <xf numFmtId="10" fontId="115" fillId="0" borderId="0" xfId="0" applyNumberFormat="1" applyFont="1" applyAlignment="1">
      <alignment horizontal="right"/>
    </xf>
    <xf numFmtId="165" fontId="11" fillId="23" borderId="0" xfId="0" applyNumberFormat="1" applyFont="1" applyFill="1" applyAlignment="1">
      <alignment horizontal="left"/>
    </xf>
    <xf numFmtId="41" fontId="106" fillId="23" borderId="0" xfId="0" applyNumberFormat="1" applyFont="1" applyFill="1" applyAlignment="1">
      <alignment horizontal="right"/>
    </xf>
    <xf numFmtId="201" fontId="112" fillId="23" borderId="0" xfId="0" applyNumberFormat="1" applyFont="1" applyFill="1" applyAlignment="1">
      <alignment horizontal="left"/>
    </xf>
    <xf numFmtId="194" fontId="115" fillId="0" borderId="0" xfId="0" applyNumberFormat="1" applyFont="1" applyAlignment="1">
      <alignment horizontal="right"/>
    </xf>
    <xf numFmtId="0" fontId="115" fillId="23" borderId="0" xfId="0" applyFont="1" applyFill="1"/>
    <xf numFmtId="0" fontId="115" fillId="23" borderId="0" xfId="0" applyFont="1" applyFill="1" applyAlignment="1">
      <alignment horizontal="right"/>
    </xf>
    <xf numFmtId="3" fontId="115" fillId="23" borderId="0" xfId="0" applyNumberFormat="1" applyFont="1" applyFill="1"/>
    <xf numFmtId="175" fontId="105" fillId="0" borderId="0" xfId="0" applyNumberFormat="1" applyFont="1" applyAlignment="1">
      <alignment horizontal="right"/>
    </xf>
    <xf numFmtId="175" fontId="115" fillId="0" borderId="0" xfId="0" applyNumberFormat="1" applyFont="1" applyAlignment="1">
      <alignment horizontal="right"/>
    </xf>
    <xf numFmtId="175" fontId="11" fillId="23" borderId="0" xfId="0" applyNumberFormat="1" applyFont="1" applyFill="1" applyAlignment="1">
      <alignment horizontal="left"/>
    </xf>
    <xf numFmtId="0" fontId="11" fillId="25" borderId="0" xfId="0" applyFont="1" applyFill="1"/>
    <xf numFmtId="0" fontId="11" fillId="25" borderId="0" xfId="0" applyFont="1" applyFill="1" applyAlignment="1">
      <alignment horizontal="left"/>
    </xf>
    <xf numFmtId="9" fontId="110" fillId="25" borderId="0" xfId="0" applyNumberFormat="1" applyFont="1" applyFill="1" applyAlignment="1">
      <alignment horizontal="center"/>
    </xf>
    <xf numFmtId="0" fontId="11" fillId="25" borderId="0" xfId="0" applyFont="1" applyFill="1" applyAlignment="1">
      <alignment horizontal="center"/>
    </xf>
    <xf numFmtId="9" fontId="120" fillId="23" borderId="0" xfId="3" applyFont="1" applyFill="1" applyAlignment="1">
      <alignment horizontal="center"/>
    </xf>
    <xf numFmtId="41" fontId="112" fillId="23" borderId="3" xfId="0" applyNumberFormat="1" applyFont="1" applyFill="1" applyBorder="1" applyAlignment="1">
      <alignment horizontal="right"/>
    </xf>
    <xf numFmtId="10" fontId="11" fillId="23" borderId="3" xfId="0" applyNumberFormat="1" applyFont="1" applyFill="1" applyBorder="1" applyAlignment="1">
      <alignment horizontal="center"/>
    </xf>
    <xf numFmtId="9" fontId="11" fillId="23" borderId="3" xfId="0" applyNumberFormat="1" applyFont="1" applyFill="1" applyBorder="1" applyAlignment="1">
      <alignment horizontal="center"/>
    </xf>
    <xf numFmtId="0" fontId="121" fillId="26" borderId="0" xfId="0" applyFont="1" applyFill="1"/>
    <xf numFmtId="0" fontId="121" fillId="26" borderId="0" xfId="0" applyFont="1" applyFill="1" applyAlignment="1">
      <alignment horizontal="center"/>
    </xf>
    <xf numFmtId="191" fontId="121" fillId="26" borderId="0" xfId="0" applyNumberFormat="1" applyFont="1" applyFill="1" applyAlignment="1">
      <alignment horizontal="right"/>
    </xf>
    <xf numFmtId="0" fontId="11" fillId="23" borderId="102" xfId="0" applyFont="1" applyFill="1" applyBorder="1" applyAlignment="1">
      <alignment horizontal="center" vertical="center"/>
    </xf>
    <xf numFmtId="0" fontId="115" fillId="0" borderId="25" xfId="0" applyFont="1" applyBorder="1" applyAlignment="1">
      <alignment horizontal="right" vertical="center"/>
    </xf>
    <xf numFmtId="0" fontId="120" fillId="0" borderId="0" xfId="0" applyFont="1" applyAlignment="1">
      <alignment horizontal="right"/>
    </xf>
    <xf numFmtId="165" fontId="120" fillId="0" borderId="0" xfId="0" applyNumberFormat="1" applyFont="1" applyAlignment="1" applyProtection="1">
      <alignment horizontal="right"/>
      <protection locked="0"/>
    </xf>
    <xf numFmtId="195" fontId="120" fillId="0" borderId="0" xfId="0" applyNumberFormat="1" applyFont="1" applyAlignment="1" applyProtection="1">
      <alignment horizontal="right"/>
      <protection locked="0"/>
    </xf>
    <xf numFmtId="165" fontId="120" fillId="0" borderId="0" xfId="0" applyNumberFormat="1" applyFont="1" applyAlignment="1">
      <alignment horizontal="center"/>
    </xf>
    <xf numFmtId="199" fontId="11" fillId="0" borderId="0" xfId="0" applyNumberFormat="1" applyFont="1" applyAlignment="1" applyProtection="1">
      <alignment horizontal="right"/>
      <protection locked="0"/>
    </xf>
    <xf numFmtId="0" fontId="7" fillId="0" borderId="12" xfId="0" applyFont="1" applyBorder="1"/>
    <xf numFmtId="176" fontId="100" fillId="0" borderId="13" xfId="0" applyNumberFormat="1" applyFont="1" applyBorder="1"/>
    <xf numFmtId="0" fontId="119" fillId="23" borderId="0" xfId="0" applyFont="1" applyFill="1"/>
    <xf numFmtId="10" fontId="115" fillId="0" borderId="0" xfId="3" applyNumberFormat="1" applyFont="1"/>
    <xf numFmtId="165" fontId="112" fillId="23" borderId="0" xfId="0" applyNumberFormat="1" applyFont="1" applyFill="1"/>
    <xf numFmtId="202" fontId="112" fillId="23" borderId="0" xfId="0" applyNumberFormat="1" applyFont="1" applyFill="1"/>
    <xf numFmtId="202" fontId="115" fillId="0" borderId="0" xfId="0" applyNumberFormat="1" applyFont="1"/>
    <xf numFmtId="165" fontId="112" fillId="23" borderId="0" xfId="0" applyNumberFormat="1" applyFont="1" applyFill="1" applyAlignment="1">
      <alignment horizontal="right"/>
    </xf>
    <xf numFmtId="202" fontId="112" fillId="23" borderId="0" xfId="0" applyNumberFormat="1" applyFont="1" applyFill="1" applyAlignment="1">
      <alignment horizontal="right"/>
    </xf>
    <xf numFmtId="202" fontId="11" fillId="23" borderId="0" xfId="0" applyNumberFormat="1" applyFont="1" applyFill="1" applyAlignment="1">
      <alignment horizontal="right"/>
    </xf>
    <xf numFmtId="165" fontId="115" fillId="0" borderId="0" xfId="0" applyNumberFormat="1" applyFont="1" applyAlignment="1">
      <alignment horizontal="right"/>
    </xf>
    <xf numFmtId="202" fontId="115" fillId="0" borderId="0" xfId="0" applyNumberFormat="1" applyFont="1" applyAlignment="1">
      <alignment horizontal="right"/>
    </xf>
    <xf numFmtId="9" fontId="0" fillId="0" borderId="11" xfId="0" applyNumberFormat="1" applyBorder="1" applyAlignment="1">
      <alignment horizontal="center"/>
    </xf>
    <xf numFmtId="0" fontId="2" fillId="0" borderId="0" xfId="0" applyFont="1" applyAlignment="1">
      <alignment horizontal="center"/>
    </xf>
    <xf numFmtId="203" fontId="0" fillId="0" borderId="0" xfId="0" applyNumberFormat="1" applyAlignment="1">
      <alignment horizontal="center"/>
    </xf>
    <xf numFmtId="165" fontId="0" fillId="0" borderId="1" xfId="0" applyNumberFormat="1" applyBorder="1" applyAlignment="1">
      <alignment horizontal="center"/>
    </xf>
    <xf numFmtId="9" fontId="0" fillId="0" borderId="11" xfId="0" applyNumberFormat="1" applyBorder="1" applyAlignment="1">
      <alignment horizontal="left"/>
    </xf>
    <xf numFmtId="170" fontId="31" fillId="0" borderId="0" xfId="0" applyNumberFormat="1" applyFont="1" applyAlignment="1">
      <alignment horizontal="center"/>
    </xf>
    <xf numFmtId="165" fontId="0" fillId="0" borderId="11" xfId="3" applyNumberFormat="1" applyFont="1" applyBorder="1" applyAlignment="1" applyProtection="1">
      <alignment horizontal="center" vertical="center"/>
    </xf>
    <xf numFmtId="173" fontId="0" fillId="0" borderId="11" xfId="3" applyNumberFormat="1" applyFont="1" applyBorder="1" applyAlignment="1" applyProtection="1">
      <alignment horizontal="center"/>
    </xf>
    <xf numFmtId="203" fontId="6" fillId="3" borderId="1" xfId="0" applyNumberFormat="1" applyFont="1" applyFill="1" applyBorder="1" applyAlignment="1">
      <alignment horizontal="center"/>
    </xf>
    <xf numFmtId="170" fontId="6" fillId="0" borderId="0" xfId="0" applyNumberFormat="1" applyFont="1" applyAlignment="1">
      <alignment horizontal="center"/>
    </xf>
    <xf numFmtId="205" fontId="6" fillId="0" borderId="0" xfId="0" applyNumberFormat="1" applyFont="1" applyAlignment="1">
      <alignment horizontal="center"/>
    </xf>
    <xf numFmtId="0" fontId="29" fillId="2" borderId="0" xfId="0" applyFont="1" applyFill="1" applyAlignment="1">
      <alignment horizontal="center"/>
    </xf>
    <xf numFmtId="167" fontId="30" fillId="0" borderId="0" xfId="0" applyNumberFormat="1" applyFont="1" applyAlignment="1" applyProtection="1">
      <alignment horizontal="center" vertical="center"/>
      <protection locked="0"/>
    </xf>
    <xf numFmtId="167" fontId="122" fillId="0" borderId="11" xfId="0" applyNumberFormat="1" applyFont="1" applyBorder="1"/>
    <xf numFmtId="167" fontId="122" fillId="0" borderId="13" xfId="0" applyNumberFormat="1" applyFont="1" applyBorder="1"/>
    <xf numFmtId="204" fontId="12" fillId="0" borderId="0" xfId="0" applyNumberFormat="1" applyFont="1"/>
    <xf numFmtId="165" fontId="12" fillId="0" borderId="0" xfId="0" applyNumberFormat="1" applyFont="1"/>
    <xf numFmtId="167" fontId="12" fillId="0" borderId="1" xfId="0" applyNumberFormat="1" applyFont="1" applyBorder="1"/>
    <xf numFmtId="0" fontId="3" fillId="0" borderId="0" xfId="0" applyFont="1" applyAlignment="1">
      <alignment horizontal="center"/>
    </xf>
    <xf numFmtId="0" fontId="3" fillId="0" borderId="11" xfId="0" applyFont="1" applyBorder="1" applyAlignment="1">
      <alignment horizontal="center"/>
    </xf>
    <xf numFmtId="182" fontId="122" fillId="0" borderId="7" xfId="0" applyNumberFormat="1" applyFont="1" applyBorder="1"/>
    <xf numFmtId="176" fontId="122" fillId="0" borderId="13" xfId="0" applyNumberFormat="1" applyFont="1" applyBorder="1"/>
    <xf numFmtId="176" fontId="123" fillId="0" borderId="11" xfId="0" applyNumberFormat="1" applyFont="1" applyBorder="1"/>
    <xf numFmtId="0" fontId="60" fillId="0" borderId="0" xfId="0" applyFont="1" applyAlignment="1">
      <alignment horizontal="center"/>
    </xf>
    <xf numFmtId="0" fontId="103" fillId="0" borderId="0" xfId="0" applyFont="1"/>
    <xf numFmtId="0" fontId="109" fillId="0" borderId="0" xfId="0" applyFont="1"/>
    <xf numFmtId="166" fontId="0" fillId="0" borderId="0" xfId="0" applyNumberFormat="1"/>
    <xf numFmtId="0" fontId="107" fillId="0" borderId="0" xfId="0" applyFont="1"/>
    <xf numFmtId="0" fontId="129" fillId="31" borderId="0" xfId="0" applyFont="1" applyFill="1"/>
    <xf numFmtId="0" fontId="129" fillId="31" borderId="0" xfId="0" applyFont="1" applyFill="1" applyAlignment="1">
      <alignment horizontal="right"/>
    </xf>
    <xf numFmtId="0" fontId="109" fillId="0" borderId="107" xfId="0" applyFont="1" applyBorder="1"/>
    <xf numFmtId="204" fontId="109" fillId="0" borderId="107" xfId="0" applyNumberFormat="1" applyFont="1" applyBorder="1" applyAlignment="1">
      <alignment horizontal="right"/>
    </xf>
    <xf numFmtId="165" fontId="109" fillId="0" borderId="106" xfId="0" applyNumberFormat="1" applyFont="1" applyBorder="1" applyAlignment="1">
      <alignment horizontal="right"/>
    </xf>
    <xf numFmtId="165" fontId="109" fillId="0" borderId="107" xfId="0" applyNumberFormat="1" applyFont="1" applyBorder="1" applyAlignment="1">
      <alignment horizontal="right"/>
    </xf>
    <xf numFmtId="167" fontId="109" fillId="0" borderId="106" xfId="0" applyNumberFormat="1" applyFont="1" applyBorder="1" applyAlignment="1">
      <alignment horizontal="right"/>
    </xf>
    <xf numFmtId="167" fontId="109" fillId="0" borderId="107" xfId="0" applyNumberFormat="1" applyFont="1" applyBorder="1" applyAlignment="1">
      <alignment horizontal="right"/>
    </xf>
    <xf numFmtId="1" fontId="109" fillId="0" borderId="107" xfId="0" applyNumberFormat="1" applyFont="1" applyBorder="1" applyAlignment="1">
      <alignment horizontal="right"/>
    </xf>
    <xf numFmtId="166" fontId="109" fillId="0" borderId="107" xfId="0" applyNumberFormat="1" applyFont="1" applyBorder="1" applyAlignment="1">
      <alignment horizontal="right"/>
    </xf>
    <xf numFmtId="0" fontId="107" fillId="0" borderId="106" xfId="0" applyFont="1" applyBorder="1"/>
    <xf numFmtId="0" fontId="129" fillId="31" borderId="2" xfId="0" applyFont="1" applyFill="1" applyBorder="1"/>
    <xf numFmtId="0" fontId="107" fillId="27" borderId="108" xfId="0" applyFont="1" applyFill="1" applyBorder="1"/>
    <xf numFmtId="167" fontId="107" fillId="27" borderId="108" xfId="0" applyNumberFormat="1" applyFont="1" applyFill="1" applyBorder="1" applyAlignment="1">
      <alignment horizontal="right"/>
    </xf>
    <xf numFmtId="165" fontId="107" fillId="27" borderId="108" xfId="0" applyNumberFormat="1" applyFont="1" applyFill="1" applyBorder="1" applyAlignment="1">
      <alignment horizontal="right"/>
    </xf>
    <xf numFmtId="0" fontId="109" fillId="32" borderId="73" xfId="0" applyFont="1" applyFill="1" applyBorder="1"/>
    <xf numFmtId="167" fontId="109" fillId="32" borderId="73" xfId="0" applyNumberFormat="1" applyFont="1" applyFill="1" applyBorder="1" applyAlignment="1">
      <alignment horizontal="right"/>
    </xf>
    <xf numFmtId="0" fontId="109" fillId="32" borderId="107" xfId="0" applyFont="1" applyFill="1" applyBorder="1"/>
    <xf numFmtId="165" fontId="109" fillId="32" borderId="107" xfId="0" applyNumberFormat="1" applyFont="1" applyFill="1" applyBorder="1" applyAlignment="1">
      <alignment horizontal="right"/>
    </xf>
    <xf numFmtId="167" fontId="109" fillId="32" borderId="107" xfId="0" applyNumberFormat="1" applyFont="1" applyFill="1" applyBorder="1" applyAlignment="1">
      <alignment horizontal="right"/>
    </xf>
    <xf numFmtId="1" fontId="109" fillId="32" borderId="107" xfId="0" applyNumberFormat="1" applyFont="1" applyFill="1" applyBorder="1" applyAlignment="1">
      <alignment horizontal="right"/>
    </xf>
    <xf numFmtId="0" fontId="109" fillId="32" borderId="106" xfId="0" applyFont="1" applyFill="1" applyBorder="1"/>
    <xf numFmtId="165" fontId="109" fillId="32" borderId="106" xfId="0" applyNumberFormat="1" applyFont="1" applyFill="1" applyBorder="1" applyAlignment="1">
      <alignment horizontal="right"/>
    </xf>
    <xf numFmtId="1" fontId="109" fillId="32" borderId="73" xfId="0" applyNumberFormat="1" applyFont="1" applyFill="1" applyBorder="1" applyAlignment="1">
      <alignment horizontal="right"/>
    </xf>
    <xf numFmtId="165" fontId="109" fillId="32" borderId="73" xfId="0" applyNumberFormat="1" applyFont="1" applyFill="1" applyBorder="1" applyAlignment="1">
      <alignment horizontal="right"/>
    </xf>
    <xf numFmtId="0" fontId="109" fillId="32" borderId="0" xfId="0" applyFont="1" applyFill="1"/>
    <xf numFmtId="203" fontId="109" fillId="32" borderId="107" xfId="0" applyNumberFormat="1" applyFont="1" applyFill="1" applyBorder="1" applyAlignment="1">
      <alignment horizontal="right"/>
    </xf>
    <xf numFmtId="1" fontId="109" fillId="32" borderId="106" xfId="0" applyNumberFormat="1" applyFont="1" applyFill="1" applyBorder="1" applyAlignment="1">
      <alignment horizontal="right"/>
    </xf>
    <xf numFmtId="167" fontId="109" fillId="0" borderId="0" xfId="0" applyNumberFormat="1" applyFont="1" applyAlignment="1">
      <alignment horizontal="right"/>
    </xf>
    <xf numFmtId="204" fontId="109" fillId="32" borderId="0" xfId="0" applyNumberFormat="1" applyFont="1" applyFill="1" applyAlignment="1">
      <alignment horizontal="right"/>
    </xf>
    <xf numFmtId="0" fontId="109" fillId="0" borderId="106" xfId="0" applyFont="1" applyBorder="1"/>
    <xf numFmtId="167" fontId="109" fillId="32" borderId="0" xfId="0" applyNumberFormat="1" applyFont="1" applyFill="1" applyAlignment="1">
      <alignment horizontal="right"/>
    </xf>
    <xf numFmtId="0" fontId="109" fillId="32" borderId="109" xfId="0" applyFont="1" applyFill="1" applyBorder="1"/>
    <xf numFmtId="203" fontId="109" fillId="32" borderId="109" xfId="0" applyNumberFormat="1" applyFont="1" applyFill="1" applyBorder="1"/>
    <xf numFmtId="203" fontId="109" fillId="32" borderId="106" xfId="0" applyNumberFormat="1" applyFont="1" applyFill="1" applyBorder="1" applyAlignment="1">
      <alignment horizontal="right"/>
    </xf>
    <xf numFmtId="206" fontId="109" fillId="0" borderId="107" xfId="0" applyNumberFormat="1" applyFont="1" applyBorder="1" applyAlignment="1">
      <alignment horizontal="right"/>
    </xf>
    <xf numFmtId="167" fontId="107" fillId="0" borderId="106" xfId="0" applyNumberFormat="1" applyFont="1" applyBorder="1" applyAlignment="1">
      <alignment horizontal="right"/>
    </xf>
    <xf numFmtId="0" fontId="107" fillId="27" borderId="110" xfId="0" applyFont="1" applyFill="1" applyBorder="1"/>
    <xf numFmtId="165" fontId="107" fillId="27" borderId="110" xfId="0" applyNumberFormat="1" applyFont="1" applyFill="1" applyBorder="1" applyAlignment="1">
      <alignment horizontal="right"/>
    </xf>
    <xf numFmtId="167" fontId="107" fillId="27" borderId="110" xfId="0" applyNumberFormat="1" applyFont="1" applyFill="1" applyBorder="1" applyAlignment="1">
      <alignment horizontal="right"/>
    </xf>
    <xf numFmtId="165" fontId="109" fillId="32" borderId="0" xfId="0" applyNumberFormat="1" applyFont="1" applyFill="1" applyAlignment="1">
      <alignment horizontal="right"/>
    </xf>
    <xf numFmtId="0" fontId="107" fillId="27" borderId="2" xfId="0" applyFont="1" applyFill="1" applyBorder="1"/>
    <xf numFmtId="0" fontId="129" fillId="26" borderId="0" xfId="0" applyFont="1" applyFill="1"/>
    <xf numFmtId="0" fontId="0" fillId="26" borderId="0" xfId="0" applyFill="1"/>
    <xf numFmtId="0" fontId="132" fillId="26" borderId="2" xfId="0" applyFont="1" applyFill="1" applyBorder="1" applyAlignment="1">
      <alignment vertical="center"/>
    </xf>
    <xf numFmtId="0" fontId="133" fillId="26" borderId="2" xfId="0" applyFont="1" applyFill="1" applyBorder="1" applyAlignment="1">
      <alignment vertical="center"/>
    </xf>
    <xf numFmtId="10" fontId="109" fillId="0" borderId="0" xfId="0" applyNumberFormat="1" applyFont="1"/>
    <xf numFmtId="0" fontId="108" fillId="0" borderId="0" xfId="0" applyFont="1"/>
    <xf numFmtId="0" fontId="135" fillId="30" borderId="0" xfId="0" applyFont="1" applyFill="1"/>
    <xf numFmtId="165" fontId="108" fillId="0" borderId="111" xfId="0" applyNumberFormat="1" applyFont="1" applyBorder="1" applyAlignment="1">
      <alignment horizontal="center"/>
    </xf>
    <xf numFmtId="1" fontId="134" fillId="0" borderId="112" xfId="0" applyNumberFormat="1" applyFont="1" applyBorder="1" applyAlignment="1">
      <alignment horizontal="center"/>
    </xf>
    <xf numFmtId="165" fontId="108" fillId="0" borderId="113" xfId="0" applyNumberFormat="1" applyFont="1" applyBorder="1" applyAlignment="1">
      <alignment horizontal="center"/>
    </xf>
    <xf numFmtId="165" fontId="127" fillId="28" borderId="114" xfId="0" applyNumberFormat="1" applyFont="1" applyFill="1" applyBorder="1"/>
    <xf numFmtId="1" fontId="134" fillId="29" borderId="117" xfId="0" applyNumberFormat="1" applyFont="1" applyFill="1" applyBorder="1" applyAlignment="1">
      <alignment horizontal="center"/>
    </xf>
    <xf numFmtId="165" fontId="108" fillId="0" borderId="118" xfId="0" applyNumberFormat="1" applyFont="1" applyBorder="1" applyAlignment="1">
      <alignment horizontal="center"/>
    </xf>
    <xf numFmtId="165" fontId="108" fillId="29" borderId="118" xfId="0" applyNumberFormat="1" applyFont="1" applyFill="1" applyBorder="1" applyAlignment="1">
      <alignment horizontal="center"/>
    </xf>
    <xf numFmtId="165" fontId="108" fillId="0" borderId="119" xfId="0" applyNumberFormat="1" applyFont="1" applyBorder="1" applyAlignment="1">
      <alignment horizontal="center"/>
    </xf>
    <xf numFmtId="202" fontId="108" fillId="0" borderId="111" xfId="0" applyNumberFormat="1" applyFont="1" applyBorder="1" applyAlignment="1">
      <alignment horizontal="center"/>
    </xf>
    <xf numFmtId="202" fontId="108" fillId="0" borderId="113" xfId="0" applyNumberFormat="1" applyFont="1" applyBorder="1" applyAlignment="1">
      <alignment horizontal="center"/>
    </xf>
    <xf numFmtId="202" fontId="127" fillId="28" borderId="114" xfId="0" applyNumberFormat="1" applyFont="1" applyFill="1" applyBorder="1"/>
    <xf numFmtId="202" fontId="108" fillId="0" borderId="118" xfId="0" applyNumberFormat="1" applyFont="1" applyBorder="1" applyAlignment="1">
      <alignment horizontal="center"/>
    </xf>
    <xf numFmtId="202" fontId="108" fillId="29" borderId="118" xfId="0" applyNumberFormat="1" applyFont="1" applyFill="1" applyBorder="1" applyAlignment="1">
      <alignment horizontal="center"/>
    </xf>
    <xf numFmtId="202" fontId="108" fillId="0" borderId="119" xfId="0" applyNumberFormat="1" applyFont="1" applyBorder="1" applyAlignment="1">
      <alignment horizontal="center"/>
    </xf>
    <xf numFmtId="165" fontId="103" fillId="0" borderId="111" xfId="0" applyNumberFormat="1" applyFont="1" applyBorder="1" applyAlignment="1">
      <alignment horizontal="center"/>
    </xf>
    <xf numFmtId="165" fontId="127" fillId="29" borderId="111" xfId="0" applyNumberFormat="1" applyFont="1" applyFill="1" applyBorder="1" applyAlignment="1">
      <alignment horizontal="center"/>
    </xf>
    <xf numFmtId="165" fontId="127" fillId="0" borderId="112" xfId="0" applyNumberFormat="1" applyFont="1" applyBorder="1" applyAlignment="1">
      <alignment horizontal="center"/>
    </xf>
    <xf numFmtId="165" fontId="127" fillId="29" borderId="112" xfId="0" applyNumberFormat="1" applyFont="1" applyFill="1" applyBorder="1" applyAlignment="1">
      <alignment horizontal="center"/>
    </xf>
    <xf numFmtId="165" fontId="103" fillId="0" borderId="120" xfId="0" applyNumberFormat="1" applyFont="1" applyBorder="1" applyAlignment="1">
      <alignment horizontal="center"/>
    </xf>
    <xf numFmtId="167" fontId="127" fillId="0" borderId="115" xfId="0" applyNumberFormat="1" applyFont="1" applyBorder="1"/>
    <xf numFmtId="167" fontId="127" fillId="29" borderId="115" xfId="0" applyNumberFormat="1" applyFont="1" applyFill="1" applyBorder="1"/>
    <xf numFmtId="167" fontId="127" fillId="0" borderId="121" xfId="0" applyNumberFormat="1" applyFont="1" applyBorder="1"/>
    <xf numFmtId="165" fontId="127" fillId="0" borderId="122" xfId="0" applyNumberFormat="1" applyFont="1" applyBorder="1" applyAlignment="1">
      <alignment horizontal="center"/>
    </xf>
    <xf numFmtId="165" fontId="103" fillId="0" borderId="123" xfId="0" applyNumberFormat="1" applyFont="1" applyBorder="1" applyAlignment="1">
      <alignment horizontal="center"/>
    </xf>
    <xf numFmtId="165" fontId="103" fillId="0" borderId="124" xfId="0" applyNumberFormat="1" applyFont="1" applyBorder="1" applyAlignment="1">
      <alignment horizontal="center"/>
    </xf>
    <xf numFmtId="202" fontId="103" fillId="0" borderId="111" xfId="0" applyNumberFormat="1" applyFont="1" applyBorder="1" applyAlignment="1">
      <alignment horizontal="center"/>
    </xf>
    <xf numFmtId="202" fontId="127" fillId="29" borderId="111" xfId="0" applyNumberFormat="1" applyFont="1" applyFill="1" applyBorder="1" applyAlignment="1">
      <alignment horizontal="center"/>
    </xf>
    <xf numFmtId="202" fontId="103" fillId="0" borderId="120" xfId="0" applyNumberFormat="1" applyFont="1" applyBorder="1" applyAlignment="1">
      <alignment horizontal="center"/>
    </xf>
    <xf numFmtId="202" fontId="103" fillId="0" borderId="123" xfId="0" applyNumberFormat="1" applyFont="1" applyBorder="1" applyAlignment="1">
      <alignment horizontal="center"/>
    </xf>
    <xf numFmtId="202" fontId="103" fillId="0" borderId="124" xfId="0" applyNumberFormat="1" applyFont="1" applyBorder="1" applyAlignment="1">
      <alignment horizontal="center"/>
    </xf>
    <xf numFmtId="0" fontId="134" fillId="0" borderId="0" xfId="0" applyFont="1"/>
    <xf numFmtId="0" fontId="136" fillId="0" borderId="0" xfId="0" applyFont="1"/>
    <xf numFmtId="0" fontId="127" fillId="0" borderId="0" xfId="0" applyFont="1"/>
    <xf numFmtId="0" fontId="137" fillId="26" borderId="0" xfId="0" applyFont="1" applyFill="1"/>
    <xf numFmtId="0" fontId="108" fillId="26" borderId="0" xfId="0" applyFont="1" applyFill="1"/>
    <xf numFmtId="182" fontId="138" fillId="0" borderId="0" xfId="0" applyNumberFormat="1" applyFont="1"/>
    <xf numFmtId="165" fontId="108" fillId="0" borderId="0" xfId="0" applyNumberFormat="1" applyFont="1"/>
    <xf numFmtId="167" fontId="108" fillId="0" borderId="0" xfId="0" applyNumberFormat="1" applyFont="1"/>
    <xf numFmtId="182" fontId="108" fillId="0" borderId="0" xfId="0" applyNumberFormat="1" applyFont="1"/>
    <xf numFmtId="0" fontId="139" fillId="0" borderId="0" xfId="0" applyFont="1"/>
    <xf numFmtId="204" fontId="108" fillId="0" borderId="0" xfId="0" applyNumberFormat="1" applyFont="1"/>
    <xf numFmtId="0" fontId="140" fillId="0" borderId="0" xfId="0" applyFont="1"/>
    <xf numFmtId="0" fontId="141" fillId="0" borderId="0" xfId="0" applyFont="1"/>
    <xf numFmtId="167" fontId="141" fillId="0" borderId="0" xfId="0" applyNumberFormat="1" applyFont="1"/>
    <xf numFmtId="0" fontId="104" fillId="2" borderId="2" xfId="0" applyFont="1" applyFill="1" applyBorder="1" applyAlignment="1">
      <alignment vertical="center"/>
    </xf>
    <xf numFmtId="190" fontId="0" fillId="0" borderId="0" xfId="0" applyNumberFormat="1" applyAlignment="1">
      <alignment horizontal="right"/>
    </xf>
    <xf numFmtId="190" fontId="7" fillId="0" borderId="0" xfId="0" applyNumberFormat="1" applyFont="1" applyAlignment="1">
      <alignment horizontal="right"/>
    </xf>
    <xf numFmtId="3" fontId="7" fillId="14" borderId="6" xfId="0" applyNumberFormat="1" applyFont="1" applyFill="1" applyBorder="1" applyAlignment="1">
      <alignment horizontal="right"/>
    </xf>
    <xf numFmtId="0" fontId="0" fillId="0" borderId="9" xfId="0" applyBorder="1" applyAlignment="1">
      <alignment horizontal="center"/>
    </xf>
    <xf numFmtId="0" fontId="142" fillId="0" borderId="0" xfId="0" applyFont="1"/>
    <xf numFmtId="0" fontId="143" fillId="0" borderId="0" xfId="0" applyFont="1"/>
    <xf numFmtId="0" fontId="144" fillId="0" borderId="0" xfId="0" applyFont="1"/>
    <xf numFmtId="0" fontId="145" fillId="0" borderId="0" xfId="0" applyFont="1"/>
    <xf numFmtId="0" fontId="37" fillId="33" borderId="0" xfId="0" applyFont="1" applyFill="1"/>
    <xf numFmtId="0" fontId="37" fillId="34" borderId="0" xfId="0" applyFont="1" applyFill="1"/>
    <xf numFmtId="0" fontId="37" fillId="35" borderId="0" xfId="0" applyFont="1" applyFill="1"/>
    <xf numFmtId="0" fontId="37" fillId="36" borderId="0" xfId="0" applyFont="1" applyFill="1"/>
    <xf numFmtId="0" fontId="37" fillId="37" borderId="0" xfId="0" applyFont="1" applyFill="1"/>
    <xf numFmtId="0" fontId="36" fillId="0" borderId="0" xfId="0" applyFont="1"/>
    <xf numFmtId="49" fontId="7" fillId="0" borderId="0" xfId="0" applyNumberFormat="1" applyFont="1"/>
    <xf numFmtId="10" fontId="0" fillId="0" borderId="0" xfId="3" applyNumberFormat="1" applyFont="1"/>
    <xf numFmtId="207" fontId="0" fillId="0" borderId="0" xfId="0" applyNumberFormat="1"/>
    <xf numFmtId="0" fontId="0" fillId="0" borderId="12" xfId="0" applyBorder="1" applyAlignment="1">
      <alignment horizontal="left" vertical="center" indent="1"/>
    </xf>
    <xf numFmtId="0" fontId="7" fillId="0" borderId="8" xfId="0" applyFont="1" applyBorder="1" applyAlignment="1">
      <alignment horizontal="left" vertical="center" indent="1"/>
    </xf>
    <xf numFmtId="0" fontId="142" fillId="0" borderId="6" xfId="0" applyFont="1" applyBorder="1"/>
    <xf numFmtId="0" fontId="142" fillId="0" borderId="1" xfId="0" applyFont="1" applyBorder="1"/>
    <xf numFmtId="0" fontId="143" fillId="0" borderId="5" xfId="0" applyFont="1" applyBorder="1"/>
    <xf numFmtId="0" fontId="7" fillId="0" borderId="5" xfId="0" applyFont="1" applyBorder="1" applyAlignment="1">
      <alignment horizontal="left" vertical="center"/>
    </xf>
    <xf numFmtId="0" fontId="37" fillId="0" borderId="0" xfId="0" applyFont="1" applyAlignment="1">
      <alignment horizontal="left"/>
    </xf>
    <xf numFmtId="0" fontId="7" fillId="0" borderId="12" xfId="0" applyFont="1" applyBorder="1" applyAlignment="1">
      <alignment horizontal="left" vertical="center"/>
    </xf>
    <xf numFmtId="3" fontId="103" fillId="0" borderId="0" xfId="0" applyNumberFormat="1" applyFont="1"/>
    <xf numFmtId="0" fontId="142" fillId="0" borderId="125" xfId="0" applyFont="1" applyBorder="1"/>
    <xf numFmtId="0" fontId="0" fillId="0" borderId="126" xfId="0" applyBorder="1"/>
    <xf numFmtId="0" fontId="0" fillId="0" borderId="125" xfId="0" applyBorder="1"/>
    <xf numFmtId="165" fontId="134" fillId="28" borderId="127" xfId="0" applyNumberFormat="1" applyFont="1" applyFill="1" applyBorder="1"/>
    <xf numFmtId="165" fontId="108" fillId="38" borderId="111" xfId="0" applyNumberFormat="1" applyFont="1" applyFill="1" applyBorder="1" applyAlignment="1">
      <alignment horizontal="center"/>
    </xf>
    <xf numFmtId="165" fontId="108" fillId="38" borderId="118" xfId="0" applyNumberFormat="1" applyFont="1" applyFill="1" applyBorder="1" applyAlignment="1">
      <alignment horizontal="center"/>
    </xf>
    <xf numFmtId="165" fontId="108" fillId="38" borderId="113" xfId="0" applyNumberFormat="1" applyFont="1" applyFill="1" applyBorder="1" applyAlignment="1">
      <alignment horizontal="center"/>
    </xf>
    <xf numFmtId="165" fontId="108" fillId="38" borderId="119" xfId="0" applyNumberFormat="1" applyFont="1" applyFill="1" applyBorder="1" applyAlignment="1">
      <alignment horizontal="center"/>
    </xf>
    <xf numFmtId="1" fontId="134" fillId="38" borderId="128" xfId="0" applyNumberFormat="1" applyFont="1" applyFill="1" applyBorder="1" applyAlignment="1">
      <alignment horizontal="center"/>
    </xf>
    <xf numFmtId="166" fontId="108" fillId="38" borderId="130" xfId="0" applyNumberFormat="1" applyFont="1" applyFill="1" applyBorder="1"/>
    <xf numFmtId="166" fontId="108" fillId="29" borderId="130" xfId="0" applyNumberFormat="1" applyFont="1" applyFill="1" applyBorder="1"/>
    <xf numFmtId="166" fontId="108" fillId="38" borderId="131" xfId="0" applyNumberFormat="1" applyFont="1" applyFill="1" applyBorder="1"/>
    <xf numFmtId="198" fontId="0" fillId="0" borderId="0" xfId="0" applyNumberFormat="1" applyAlignment="1">
      <alignment horizontal="center"/>
    </xf>
    <xf numFmtId="1" fontId="134" fillId="0" borderId="129" xfId="0" applyNumberFormat="1" applyFont="1" applyBorder="1" applyAlignment="1">
      <alignment horizontal="center"/>
    </xf>
    <xf numFmtId="0" fontId="135" fillId="30" borderId="11" xfId="0" applyFont="1" applyFill="1" applyBorder="1"/>
    <xf numFmtId="165" fontId="127" fillId="28" borderId="132" xfId="0" applyNumberFormat="1" applyFont="1" applyFill="1" applyBorder="1"/>
    <xf numFmtId="204" fontId="108" fillId="0" borderId="130" xfId="0" applyNumberFormat="1" applyFont="1" applyBorder="1"/>
    <xf numFmtId="204" fontId="108" fillId="29" borderId="130" xfId="0" applyNumberFormat="1" applyFont="1" applyFill="1" applyBorder="1"/>
    <xf numFmtId="204" fontId="108" fillId="0" borderId="131" xfId="0" applyNumberFormat="1" applyFont="1" applyBorder="1"/>
    <xf numFmtId="0" fontId="103" fillId="0" borderId="10" xfId="0" applyFont="1" applyBorder="1"/>
    <xf numFmtId="202" fontId="127" fillId="28" borderId="132" xfId="0" applyNumberFormat="1" applyFont="1" applyFill="1" applyBorder="1"/>
    <xf numFmtId="0" fontId="135" fillId="30" borderId="10" xfId="0" applyFont="1" applyFill="1" applyBorder="1"/>
    <xf numFmtId="165" fontId="127" fillId="0" borderId="117" xfId="0" applyNumberFormat="1" applyFont="1" applyBorder="1" applyAlignment="1">
      <alignment horizontal="center"/>
    </xf>
    <xf numFmtId="167" fontId="127" fillId="0" borderId="130" xfId="0" applyNumberFormat="1" applyFont="1" applyBorder="1"/>
    <xf numFmtId="165" fontId="103" fillId="0" borderId="118" xfId="0" applyNumberFormat="1" applyFont="1" applyBorder="1" applyAlignment="1">
      <alignment horizontal="center"/>
    </xf>
    <xf numFmtId="167" fontId="127" fillId="29" borderId="130" xfId="0" applyNumberFormat="1" applyFont="1" applyFill="1" applyBorder="1"/>
    <xf numFmtId="167" fontId="127" fillId="0" borderId="136" xfId="0" applyNumberFormat="1" applyFont="1" applyBorder="1"/>
    <xf numFmtId="165" fontId="103" fillId="0" borderId="137" xfId="0" applyNumberFormat="1" applyFont="1" applyBorder="1" applyAlignment="1">
      <alignment horizontal="center"/>
    </xf>
    <xf numFmtId="0" fontId="103" fillId="0" borderId="11" xfId="0" applyFont="1" applyBorder="1"/>
    <xf numFmtId="202" fontId="103" fillId="0" borderId="118" xfId="0" applyNumberFormat="1" applyFont="1" applyBorder="1" applyAlignment="1">
      <alignment horizontal="center"/>
    </xf>
    <xf numFmtId="167" fontId="127" fillId="0" borderId="131" xfId="0" applyNumberFormat="1" applyFont="1" applyBorder="1"/>
    <xf numFmtId="202" fontId="103" fillId="0" borderId="113" xfId="0" applyNumberFormat="1" applyFont="1" applyBorder="1" applyAlignment="1">
      <alignment horizontal="center"/>
    </xf>
    <xf numFmtId="202" fontId="103" fillId="0" borderId="119" xfId="0" applyNumberFormat="1" applyFont="1" applyBorder="1" applyAlignment="1">
      <alignment horizontal="center"/>
    </xf>
    <xf numFmtId="207" fontId="108" fillId="0" borderId="0" xfId="0" applyNumberFormat="1" applyFont="1"/>
    <xf numFmtId="198" fontId="6" fillId="3" borderId="12" xfId="0" applyNumberFormat="1" applyFont="1" applyFill="1" applyBorder="1" applyAlignment="1">
      <alignment horizontal="center"/>
    </xf>
    <xf numFmtId="9" fontId="103" fillId="0" borderId="0" xfId="3" applyFont="1"/>
    <xf numFmtId="2" fontId="12" fillId="0" borderId="0" xfId="0" applyNumberFormat="1" applyFont="1"/>
    <xf numFmtId="165" fontId="146" fillId="0" borderId="0" xfId="0" applyNumberFormat="1" applyFont="1" applyAlignment="1">
      <alignment horizontal="right"/>
    </xf>
    <xf numFmtId="167" fontId="146" fillId="0" borderId="0" xfId="0" applyNumberFormat="1" applyFont="1" applyAlignment="1">
      <alignment horizontal="right"/>
    </xf>
    <xf numFmtId="2" fontId="146" fillId="0" borderId="0" xfId="0" applyNumberFormat="1" applyFont="1" applyAlignment="1">
      <alignment horizontal="right"/>
    </xf>
    <xf numFmtId="166" fontId="146" fillId="0" borderId="0" xfId="0" applyNumberFormat="1" applyFont="1" applyAlignment="1">
      <alignment horizontal="right"/>
    </xf>
    <xf numFmtId="166" fontId="134" fillId="0" borderId="115" xfId="0" applyNumberFormat="1" applyFont="1" applyBorder="1"/>
    <xf numFmtId="166" fontId="134" fillId="29" borderId="115" xfId="0" applyNumberFormat="1" applyFont="1" applyFill="1" applyBorder="1"/>
    <xf numFmtId="166" fontId="134" fillId="0" borderId="116" xfId="0" applyNumberFormat="1" applyFont="1" applyBorder="1"/>
    <xf numFmtId="204" fontId="134" fillId="0" borderId="115" xfId="0" applyNumberFormat="1" applyFont="1" applyBorder="1"/>
    <xf numFmtId="204" fontId="134" fillId="29" borderId="115" xfId="0" applyNumberFormat="1" applyFont="1" applyFill="1" applyBorder="1"/>
    <xf numFmtId="204" fontId="134" fillId="0" borderId="116" xfId="0" applyNumberFormat="1" applyFont="1" applyBorder="1"/>
    <xf numFmtId="0" fontId="147" fillId="0" borderId="0" xfId="0" applyFont="1"/>
    <xf numFmtId="0" fontId="148" fillId="0" borderId="0" xfId="0" applyFont="1"/>
    <xf numFmtId="167" fontId="148" fillId="0" borderId="0" xfId="0" applyNumberFormat="1" applyFont="1"/>
    <xf numFmtId="0" fontId="149" fillId="2" borderId="2" xfId="0" applyFont="1" applyFill="1" applyBorder="1" applyAlignment="1">
      <alignment vertical="center"/>
    </xf>
    <xf numFmtId="0" fontId="150" fillId="2" borderId="2" xfId="0" applyFont="1" applyFill="1" applyBorder="1" applyAlignment="1">
      <alignment horizontal="right" vertical="center"/>
    </xf>
    <xf numFmtId="0" fontId="151" fillId="26" borderId="2" xfId="0" applyFont="1" applyFill="1" applyBorder="1"/>
    <xf numFmtId="0" fontId="11" fillId="26" borderId="2" xfId="0" applyFont="1" applyFill="1" applyBorder="1"/>
    <xf numFmtId="0" fontId="7" fillId="27" borderId="2" xfId="0" applyFont="1" applyFill="1" applyBorder="1"/>
    <xf numFmtId="0" fontId="152" fillId="2" borderId="0" xfId="0" applyFont="1" applyFill="1" applyAlignment="1">
      <alignment vertical="center"/>
    </xf>
    <xf numFmtId="167" fontId="11" fillId="0" borderId="139" xfId="0" applyNumberFormat="1" applyFont="1" applyBorder="1"/>
    <xf numFmtId="9" fontId="12" fillId="0" borderId="11" xfId="3" applyFont="1" applyBorder="1" applyAlignment="1">
      <alignment horizontal="right"/>
    </xf>
    <xf numFmtId="0" fontId="115" fillId="0" borderId="12" xfId="0" applyFont="1" applyBorder="1"/>
    <xf numFmtId="0" fontId="101" fillId="0" borderId="13" xfId="0" applyFont="1" applyBorder="1" applyAlignment="1">
      <alignment horizontal="right"/>
    </xf>
    <xf numFmtId="0" fontId="0" fillId="3" borderId="105" xfId="0" applyFill="1" applyBorder="1"/>
    <xf numFmtId="1" fontId="0" fillId="3" borderId="0" xfId="0" applyNumberFormat="1" applyFill="1" applyAlignment="1">
      <alignment horizontal="center"/>
    </xf>
    <xf numFmtId="0" fontId="0" fillId="3" borderId="11" xfId="0" applyFill="1" applyBorder="1" applyAlignment="1">
      <alignment horizontal="center"/>
    </xf>
    <xf numFmtId="170" fontId="18" fillId="3" borderId="0" xfId="0" applyNumberFormat="1" applyFont="1" applyFill="1" applyAlignment="1">
      <alignment horizontal="center"/>
    </xf>
    <xf numFmtId="170" fontId="32" fillId="3" borderId="0" xfId="0" applyNumberFormat="1" applyFont="1" applyFill="1" applyAlignment="1">
      <alignment horizontal="center"/>
    </xf>
    <xf numFmtId="0" fontId="7" fillId="3" borderId="12" xfId="0" applyFont="1" applyFill="1" applyBorder="1"/>
    <xf numFmtId="0" fontId="0" fillId="3" borderId="1" xfId="0" applyFill="1" applyBorder="1"/>
    <xf numFmtId="0" fontId="0" fillId="3" borderId="13" xfId="0" applyFill="1" applyBorder="1"/>
    <xf numFmtId="0" fontId="8" fillId="3" borderId="12" xfId="0" applyFont="1" applyFill="1" applyBorder="1"/>
    <xf numFmtId="170" fontId="0" fillId="3" borderId="1" xfId="0" applyNumberFormat="1" applyFill="1" applyBorder="1" applyAlignment="1">
      <alignment horizontal="center"/>
    </xf>
    <xf numFmtId="170" fontId="0" fillId="3" borderId="13" xfId="0" applyNumberFormat="1" applyFill="1" applyBorder="1" applyAlignment="1">
      <alignment horizontal="center"/>
    </xf>
    <xf numFmtId="0" fontId="7" fillId="3" borderId="1" xfId="0" applyFont="1" applyFill="1" applyBorder="1"/>
    <xf numFmtId="0" fontId="7" fillId="3" borderId="1" xfId="0" applyFont="1" applyFill="1" applyBorder="1" applyAlignment="1">
      <alignment horizontal="right"/>
    </xf>
    <xf numFmtId="0" fontId="7" fillId="3" borderId="1" xfId="0" applyFont="1" applyFill="1" applyBorder="1" applyAlignment="1">
      <alignment horizontal="center"/>
    </xf>
    <xf numFmtId="0" fontId="11" fillId="3" borderId="1" xfId="0" applyFont="1" applyFill="1" applyBorder="1"/>
    <xf numFmtId="0" fontId="11" fillId="3" borderId="1" xfId="0" applyFont="1" applyFill="1" applyBorder="1" applyAlignment="1">
      <alignment horizontal="right"/>
    </xf>
    <xf numFmtId="0" fontId="11" fillId="3" borderId="1" xfId="0" applyFont="1" applyFill="1" applyBorder="1" applyAlignment="1">
      <alignment horizontal="center"/>
    </xf>
    <xf numFmtId="195" fontId="115" fillId="3" borderId="1" xfId="0" applyNumberFormat="1" applyFont="1" applyFill="1" applyBorder="1" applyAlignment="1">
      <alignment horizontal="right"/>
    </xf>
    <xf numFmtId="197" fontId="112" fillId="3" borderId="1" xfId="0" applyNumberFormat="1" applyFont="1" applyFill="1" applyBorder="1" applyAlignment="1">
      <alignment horizontal="left"/>
    </xf>
    <xf numFmtId="170" fontId="11" fillId="3" borderId="1" xfId="0" applyNumberFormat="1" applyFont="1" applyFill="1" applyBorder="1" applyAlignment="1">
      <alignment horizontal="right"/>
    </xf>
    <xf numFmtId="0" fontId="7" fillId="3" borderId="138" xfId="0" applyFont="1" applyFill="1" applyBorder="1"/>
    <xf numFmtId="0" fontId="11" fillId="3" borderId="138" xfId="0" applyFont="1" applyFill="1" applyBorder="1"/>
    <xf numFmtId="0" fontId="11" fillId="3" borderId="138" xfId="0" applyFont="1" applyFill="1" applyBorder="1" applyAlignment="1">
      <alignment horizontal="center"/>
    </xf>
    <xf numFmtId="0" fontId="11" fillId="3" borderId="138" xfId="0" applyFont="1" applyFill="1" applyBorder="1" applyAlignment="1">
      <alignment horizontal="right"/>
    </xf>
    <xf numFmtId="170" fontId="11" fillId="3" borderId="138" xfId="0" applyNumberFormat="1" applyFont="1" applyFill="1" applyBorder="1" applyAlignment="1">
      <alignment horizontal="right"/>
    </xf>
    <xf numFmtId="0" fontId="7" fillId="3" borderId="0" xfId="0" applyFont="1" applyFill="1"/>
    <xf numFmtId="170" fontId="11" fillId="3" borderId="0" xfId="0" applyNumberFormat="1" applyFont="1" applyFill="1" applyAlignment="1">
      <alignment horizontal="right"/>
    </xf>
    <xf numFmtId="0" fontId="7" fillId="3" borderId="138" xfId="0" applyFont="1" applyFill="1" applyBorder="1" applyAlignment="1">
      <alignment horizontal="right"/>
    </xf>
    <xf numFmtId="10" fontId="11" fillId="3" borderId="138" xfId="3" applyNumberFormat="1" applyFont="1" applyFill="1" applyBorder="1" applyAlignment="1">
      <alignment horizontal="left"/>
    </xf>
    <xf numFmtId="175" fontId="11" fillId="3" borderId="138" xfId="0" applyNumberFormat="1" applyFont="1" applyFill="1" applyBorder="1" applyAlignment="1">
      <alignment horizontal="left"/>
    </xf>
    <xf numFmtId="0" fontId="7" fillId="27" borderId="133" xfId="0" applyFont="1" applyFill="1" applyBorder="1"/>
    <xf numFmtId="0" fontId="7" fillId="27" borderId="134" xfId="0" applyFont="1" applyFill="1" applyBorder="1"/>
    <xf numFmtId="0" fontId="7" fillId="27" borderId="135" xfId="0" applyFont="1" applyFill="1" applyBorder="1"/>
    <xf numFmtId="167" fontId="11" fillId="0" borderId="0" xfId="0" applyNumberFormat="1" applyFont="1"/>
    <xf numFmtId="167" fontId="11" fillId="0" borderId="11" xfId="0" applyNumberFormat="1" applyFont="1" applyBorder="1"/>
    <xf numFmtId="0" fontId="7" fillId="0" borderId="140" xfId="0" applyFont="1" applyBorder="1"/>
    <xf numFmtId="167" fontId="11" fillId="0" borderId="141" xfId="0" applyNumberFormat="1" applyFont="1" applyBorder="1"/>
    <xf numFmtId="0" fontId="11" fillId="0" borderId="10" xfId="0" applyFont="1" applyBorder="1"/>
    <xf numFmtId="0" fontId="11" fillId="0" borderId="11" xfId="0" applyFont="1" applyBorder="1"/>
    <xf numFmtId="0" fontId="7" fillId="27" borderId="20" xfId="0" applyFont="1" applyFill="1" applyBorder="1"/>
    <xf numFmtId="0" fontId="7" fillId="27" borderId="21" xfId="0" applyFont="1" applyFill="1" applyBorder="1"/>
    <xf numFmtId="1" fontId="11" fillId="0" borderId="10" xfId="0" applyNumberFormat="1" applyFont="1" applyBorder="1" applyAlignment="1">
      <alignment horizontal="center"/>
    </xf>
    <xf numFmtId="1" fontId="11" fillId="0" borderId="0" xfId="0" applyNumberFormat="1" applyFont="1"/>
    <xf numFmtId="166" fontId="11" fillId="0" borderId="0" xfId="0" applyNumberFormat="1" applyFont="1"/>
    <xf numFmtId="166" fontId="101" fillId="0" borderId="0" xfId="0" applyNumberFormat="1" applyFont="1"/>
    <xf numFmtId="166" fontId="11" fillId="0" borderId="11" xfId="0" applyNumberFormat="1" applyFont="1" applyBorder="1"/>
    <xf numFmtId="1" fontId="11" fillId="14" borderId="10" xfId="0" applyNumberFormat="1" applyFont="1" applyFill="1" applyBorder="1" applyAlignment="1">
      <alignment horizontal="center"/>
    </xf>
    <xf numFmtId="1" fontId="11" fillId="14" borderId="0" xfId="0" applyNumberFormat="1" applyFont="1" applyFill="1"/>
    <xf numFmtId="166" fontId="11" fillId="14" borderId="0" xfId="0" applyNumberFormat="1" applyFont="1" applyFill="1"/>
    <xf numFmtId="166" fontId="101" fillId="14" borderId="0" xfId="0" applyNumberFormat="1" applyFont="1" applyFill="1"/>
    <xf numFmtId="166" fontId="11" fillId="14" borderId="11" xfId="0" applyNumberFormat="1" applyFont="1" applyFill="1" applyBorder="1"/>
    <xf numFmtId="1" fontId="11" fillId="14" borderId="12" xfId="0" applyNumberFormat="1" applyFont="1" applyFill="1" applyBorder="1" applyAlignment="1">
      <alignment horizontal="center"/>
    </xf>
    <xf numFmtId="1" fontId="11" fillId="14" borderId="138" xfId="0" applyNumberFormat="1" applyFont="1" applyFill="1" applyBorder="1"/>
    <xf numFmtId="166" fontId="11" fillId="14" borderId="138" xfId="0" applyNumberFormat="1" applyFont="1" applyFill="1" applyBorder="1"/>
    <xf numFmtId="166" fontId="101" fillId="14" borderId="138" xfId="0" applyNumberFormat="1" applyFont="1" applyFill="1" applyBorder="1"/>
    <xf numFmtId="166" fontId="11" fillId="14" borderId="13" xfId="0" applyNumberFormat="1" applyFont="1" applyFill="1" applyBorder="1"/>
    <xf numFmtId="0" fontId="153" fillId="0" borderId="0" xfId="0" applyFont="1"/>
    <xf numFmtId="0" fontId="7" fillId="0" borderId="10" xfId="0" applyFont="1" applyBorder="1" applyAlignment="1">
      <alignment horizontal="left" indent="1"/>
    </xf>
    <xf numFmtId="0" fontId="11" fillId="0" borderId="10" xfId="0" applyFont="1" applyBorder="1" applyAlignment="1">
      <alignment horizontal="left" indent="1"/>
    </xf>
    <xf numFmtId="0" fontId="107" fillId="32" borderId="107" xfId="0" applyFont="1" applyFill="1" applyBorder="1"/>
    <xf numFmtId="0" fontId="109" fillId="38" borderId="107" xfId="0" applyFont="1" applyFill="1" applyBorder="1"/>
    <xf numFmtId="165" fontId="109" fillId="38" borderId="107" xfId="0" applyNumberFormat="1" applyFont="1" applyFill="1" applyBorder="1" applyAlignment="1">
      <alignment horizontal="right"/>
    </xf>
    <xf numFmtId="177" fontId="109" fillId="32" borderId="107" xfId="0" applyNumberFormat="1" applyFont="1" applyFill="1" applyBorder="1" applyAlignment="1">
      <alignment horizontal="right"/>
    </xf>
    <xf numFmtId="10" fontId="109" fillId="38" borderId="107" xfId="0" applyNumberFormat="1" applyFont="1" applyFill="1" applyBorder="1" applyAlignment="1">
      <alignment horizontal="right"/>
    </xf>
    <xf numFmtId="174" fontId="0" fillId="0" borderId="0" xfId="0" applyNumberFormat="1"/>
    <xf numFmtId="0" fontId="0" fillId="0" borderId="138" xfId="0" applyBorder="1"/>
    <xf numFmtId="167" fontId="3" fillId="0" borderId="11" xfId="0" applyNumberFormat="1" applyFont="1" applyBorder="1" applyAlignment="1">
      <alignment horizontal="right"/>
    </xf>
    <xf numFmtId="175" fontId="0" fillId="0" borderId="11" xfId="0" applyNumberFormat="1" applyBorder="1" applyAlignment="1">
      <alignment horizontal="right"/>
    </xf>
    <xf numFmtId="10" fontId="0" fillId="0" borderId="11" xfId="3" applyNumberFormat="1" applyFont="1" applyBorder="1" applyAlignment="1">
      <alignment horizontal="right"/>
    </xf>
    <xf numFmtId="166" fontId="0" fillId="0" borderId="11" xfId="0" applyNumberFormat="1" applyBorder="1" applyAlignment="1">
      <alignment horizontal="right"/>
    </xf>
    <xf numFmtId="165" fontId="0" fillId="0" borderId="11" xfId="3" applyNumberFormat="1" applyFont="1" applyBorder="1" applyAlignment="1" applyProtection="1">
      <alignment horizontal="right"/>
    </xf>
    <xf numFmtId="177" fontId="0" fillId="0" borderId="11" xfId="3" applyNumberFormat="1" applyFont="1" applyBorder="1" applyAlignment="1" applyProtection="1">
      <alignment horizontal="right"/>
    </xf>
    <xf numFmtId="10" fontId="0" fillId="0" borderId="11" xfId="0" applyNumberFormat="1" applyBorder="1" applyAlignment="1">
      <alignment horizontal="right"/>
    </xf>
    <xf numFmtId="172" fontId="0" fillId="0" borderId="11" xfId="0" applyNumberFormat="1" applyBorder="1" applyAlignment="1">
      <alignment horizontal="right"/>
    </xf>
    <xf numFmtId="172" fontId="11" fillId="0" borderId="11" xfId="0" applyNumberFormat="1" applyFont="1" applyBorder="1" applyAlignment="1">
      <alignment horizontal="right"/>
    </xf>
    <xf numFmtId="165" fontId="11" fillId="0" borderId="11" xfId="0" applyNumberFormat="1" applyFont="1" applyBorder="1" applyAlignment="1">
      <alignment horizontal="right"/>
    </xf>
    <xf numFmtId="177" fontId="11" fillId="0" borderId="11" xfId="0" applyNumberFormat="1" applyFont="1" applyBorder="1" applyAlignment="1">
      <alignment horizontal="right"/>
    </xf>
    <xf numFmtId="10" fontId="11" fillId="0" borderId="11" xfId="0" applyNumberFormat="1" applyFont="1" applyBorder="1" applyAlignment="1">
      <alignment horizontal="right"/>
    </xf>
    <xf numFmtId="166" fontId="7" fillId="0" borderId="11" xfId="0" applyNumberFormat="1" applyFont="1" applyBorder="1" applyAlignment="1">
      <alignment horizontal="right"/>
    </xf>
    <xf numFmtId="10" fontId="7" fillId="0" borderId="11" xfId="3" applyNumberFormat="1" applyFont="1" applyBorder="1" applyAlignment="1">
      <alignment horizontal="right"/>
    </xf>
    <xf numFmtId="10" fontId="7" fillId="0" borderId="13" xfId="0" applyNumberFormat="1" applyFont="1" applyBorder="1" applyAlignment="1">
      <alignment horizontal="right"/>
    </xf>
    <xf numFmtId="167" fontId="0" fillId="0" borderId="11" xfId="0" applyNumberFormat="1" applyBorder="1" applyAlignment="1">
      <alignment horizontal="right"/>
    </xf>
    <xf numFmtId="167" fontId="3" fillId="0" borderId="11" xfId="0" applyNumberFormat="1" applyFont="1" applyBorder="1" applyAlignment="1">
      <alignment horizontal="right" vertical="center"/>
    </xf>
    <xf numFmtId="10" fontId="0" fillId="0" borderId="11" xfId="3" applyNumberFormat="1" applyFont="1" applyFill="1" applyBorder="1" applyAlignment="1" applyProtection="1">
      <alignment horizontal="right"/>
    </xf>
    <xf numFmtId="0" fontId="0" fillId="0" borderId="11" xfId="0" applyBorder="1" applyAlignment="1">
      <alignment horizontal="right"/>
    </xf>
    <xf numFmtId="166" fontId="0" fillId="0" borderId="11" xfId="3" applyNumberFormat="1" applyFont="1" applyFill="1" applyBorder="1" applyAlignment="1" applyProtection="1">
      <alignment horizontal="right"/>
    </xf>
    <xf numFmtId="165" fontId="0" fillId="0" borderId="11" xfId="0" applyNumberFormat="1" applyBorder="1" applyAlignment="1">
      <alignment horizontal="right"/>
    </xf>
    <xf numFmtId="165" fontId="0" fillId="0" borderId="13" xfId="3" applyNumberFormat="1" applyFont="1" applyFill="1" applyBorder="1" applyAlignment="1" applyProtection="1">
      <alignment horizontal="right"/>
    </xf>
    <xf numFmtId="0" fontId="11" fillId="38" borderId="107" xfId="0" applyFont="1" applyFill="1" applyBorder="1"/>
    <xf numFmtId="0" fontId="109" fillId="32" borderId="107" xfId="0" applyFont="1" applyFill="1" applyBorder="1" applyAlignment="1">
      <alignment horizontal="right"/>
    </xf>
    <xf numFmtId="0" fontId="11" fillId="32" borderId="107" xfId="0" applyFont="1" applyFill="1" applyBorder="1"/>
    <xf numFmtId="0" fontId="11" fillId="32" borderId="106" xfId="0" applyFont="1" applyFill="1" applyBorder="1"/>
    <xf numFmtId="166" fontId="109" fillId="38" borderId="107" xfId="0" applyNumberFormat="1" applyFont="1" applyFill="1" applyBorder="1" applyAlignment="1">
      <alignment horizontal="right"/>
    </xf>
    <xf numFmtId="1" fontId="6" fillId="3" borderId="17" xfId="0" applyNumberFormat="1" applyFont="1" applyFill="1" applyBorder="1" applyAlignment="1">
      <alignment horizontal="center"/>
    </xf>
    <xf numFmtId="1" fontId="6" fillId="3" borderId="19" xfId="0" applyNumberFormat="1" applyFont="1" applyFill="1" applyBorder="1" applyAlignment="1">
      <alignment horizontal="center"/>
    </xf>
    <xf numFmtId="1" fontId="6" fillId="3" borderId="18" xfId="0" applyNumberFormat="1" applyFont="1" applyFill="1" applyBorder="1" applyAlignment="1">
      <alignment horizontal="center"/>
    </xf>
    <xf numFmtId="0" fontId="96" fillId="0" borderId="0" xfId="0" applyFont="1" applyAlignment="1">
      <alignment horizontal="left" vertical="top" wrapText="1"/>
    </xf>
    <xf numFmtId="0" fontId="97" fillId="0" borderId="0" xfId="0" applyFont="1" applyAlignment="1">
      <alignment horizontal="left" vertical="center"/>
    </xf>
    <xf numFmtId="0" fontId="31" fillId="0" borderId="10" xfId="0" applyFont="1" applyBorder="1" applyAlignment="1">
      <alignment horizontal="center"/>
    </xf>
    <xf numFmtId="0" fontId="31" fillId="0" borderId="0" xfId="0" applyFont="1" applyAlignment="1">
      <alignment horizontal="center"/>
    </xf>
    <xf numFmtId="0" fontId="6" fillId="3" borderId="12" xfId="0" applyFont="1" applyFill="1" applyBorder="1" applyAlignment="1">
      <alignment horizontal="center"/>
    </xf>
    <xf numFmtId="0" fontId="6" fillId="3" borderId="1" xfId="0" applyFont="1" applyFill="1" applyBorder="1" applyAlignment="1">
      <alignment horizontal="center"/>
    </xf>
    <xf numFmtId="0" fontId="0" fillId="0" borderId="10" xfId="0" applyBorder="1" applyAlignment="1">
      <alignment horizontal="center"/>
    </xf>
    <xf numFmtId="0" fontId="0" fillId="0" borderId="0" xfId="0" applyAlignment="1">
      <alignment horizontal="center"/>
    </xf>
    <xf numFmtId="0" fontId="29" fillId="2" borderId="8" xfId="0" applyFont="1" applyFill="1" applyBorder="1" applyAlignment="1">
      <alignment horizontal="center"/>
    </xf>
    <xf numFmtId="0" fontId="29" fillId="2" borderId="3" xfId="0" applyFont="1" applyFill="1" applyBorder="1" applyAlignment="1">
      <alignment horizontal="center"/>
    </xf>
    <xf numFmtId="0" fontId="29" fillId="2" borderId="9" xfId="0" applyFont="1" applyFill="1" applyBorder="1" applyAlignment="1">
      <alignment horizontal="center"/>
    </xf>
    <xf numFmtId="0" fontId="2" fillId="0" borderId="0" xfId="0" applyFont="1" applyAlignment="1">
      <alignment horizontal="center"/>
    </xf>
    <xf numFmtId="181" fontId="48" fillId="0" borderId="70" xfId="0" applyNumberFormat="1" applyFont="1" applyBorder="1" applyAlignment="1">
      <alignment horizontal="center" vertical="center" wrapText="1"/>
    </xf>
    <xf numFmtId="181" fontId="48" fillId="0" borderId="71" xfId="0" applyNumberFormat="1" applyFont="1" applyBorder="1" applyAlignment="1">
      <alignment horizontal="center" vertical="center" wrapText="1"/>
    </xf>
    <xf numFmtId="181" fontId="48" fillId="0" borderId="91" xfId="0" applyNumberFormat="1" applyFont="1" applyBorder="1" applyAlignment="1">
      <alignment horizontal="center" vertical="center" wrapText="1"/>
    </xf>
    <xf numFmtId="0" fontId="46" fillId="19" borderId="83" xfId="0" applyFont="1" applyFill="1" applyBorder="1" applyAlignment="1">
      <alignment horizontal="center" vertical="center"/>
    </xf>
    <xf numFmtId="0" fontId="47" fillId="0" borderId="47" xfId="0" applyFont="1" applyBorder="1" applyAlignment="1">
      <alignment horizontal="center" vertical="center"/>
    </xf>
    <xf numFmtId="0" fontId="47" fillId="0" borderId="48" xfId="0" applyFont="1" applyBorder="1" applyAlignment="1">
      <alignment vertical="center"/>
    </xf>
    <xf numFmtId="0" fontId="47" fillId="0" borderId="49" xfId="0" applyFont="1" applyBorder="1" applyAlignment="1">
      <alignment vertical="center"/>
    </xf>
    <xf numFmtId="0" fontId="47" fillId="0" borderId="50" xfId="0" applyFont="1" applyBorder="1" applyAlignment="1">
      <alignment horizontal="center" vertical="center"/>
    </xf>
    <xf numFmtId="181" fontId="48" fillId="0" borderId="70" xfId="0" applyNumberFormat="1" applyFont="1" applyBorder="1" applyAlignment="1">
      <alignment horizontal="center" vertical="center"/>
    </xf>
    <xf numFmtId="181" fontId="48" fillId="0" borderId="71" xfId="0" applyNumberFormat="1" applyFont="1" applyBorder="1" applyAlignment="1">
      <alignment horizontal="center" vertical="center"/>
    </xf>
    <xf numFmtId="181" fontId="48" fillId="0" borderId="72" xfId="0" applyNumberFormat="1" applyFont="1" applyBorder="1" applyAlignment="1">
      <alignment horizontal="center" vertical="center"/>
    </xf>
    <xf numFmtId="0" fontId="48" fillId="0" borderId="79" xfId="0" applyFont="1" applyBorder="1" applyAlignment="1">
      <alignment horizontal="center" vertical="center"/>
    </xf>
    <xf numFmtId="0" fontId="48" fillId="0" borderId="80" xfId="0" applyFont="1" applyBorder="1" applyAlignment="1">
      <alignment horizontal="center" vertical="center"/>
    </xf>
    <xf numFmtId="0" fontId="48" fillId="0" borderId="81" xfId="0" applyFont="1" applyBorder="1" applyAlignment="1">
      <alignment horizontal="center" vertical="center"/>
    </xf>
    <xf numFmtId="0" fontId="48" fillId="0" borderId="82" xfId="0" applyFont="1" applyBorder="1" applyAlignment="1">
      <alignment horizontal="center" vertical="center"/>
    </xf>
    <xf numFmtId="0" fontId="7" fillId="7" borderId="5" xfId="0" applyFont="1" applyFill="1" applyBorder="1" applyAlignment="1">
      <alignment horizontal="left"/>
    </xf>
    <xf numFmtId="0" fontId="7" fillId="7" borderId="7" xfId="0" applyFont="1" applyFill="1" applyBorder="1" applyAlignment="1">
      <alignment horizontal="left"/>
    </xf>
    <xf numFmtId="0" fontId="46" fillId="19" borderId="74" xfId="0" applyFont="1" applyFill="1" applyBorder="1" applyAlignment="1">
      <alignment horizontal="center" vertical="center"/>
    </xf>
    <xf numFmtId="0" fontId="47" fillId="0" borderId="75" xfId="0" applyFont="1" applyBorder="1" applyAlignment="1">
      <alignment horizontal="center" vertical="center"/>
    </xf>
    <xf numFmtId="0" fontId="47" fillId="0" borderId="76" xfId="0" applyFont="1" applyBorder="1" applyAlignment="1">
      <alignment vertical="center"/>
    </xf>
    <xf numFmtId="0" fontId="47" fillId="0" borderId="77" xfId="0" applyFont="1" applyBorder="1" applyAlignment="1">
      <alignment vertical="center"/>
    </xf>
    <xf numFmtId="0" fontId="47" fillId="0" borderId="78" xfId="0" applyFont="1" applyBorder="1" applyAlignment="1">
      <alignment horizontal="center" vertical="center"/>
    </xf>
    <xf numFmtId="181" fontId="47" fillId="0" borderId="47" xfId="0" applyNumberFormat="1" applyFont="1" applyBorder="1" applyAlignment="1">
      <alignment horizontal="center" vertical="center"/>
    </xf>
    <xf numFmtId="181" fontId="47" fillId="0" borderId="48" xfId="0" applyNumberFormat="1" applyFont="1" applyBorder="1" applyAlignment="1">
      <alignment vertical="center"/>
    </xf>
    <xf numFmtId="181" fontId="47" fillId="0" borderId="49" xfId="0" applyNumberFormat="1" applyFont="1" applyBorder="1" applyAlignment="1">
      <alignment vertical="center"/>
    </xf>
    <xf numFmtId="181" fontId="47" fillId="0" borderId="50" xfId="0" applyNumberFormat="1" applyFont="1" applyBorder="1" applyAlignment="1">
      <alignment horizontal="center" vertical="center"/>
    </xf>
    <xf numFmtId="181" fontId="47" fillId="0" borderId="78" xfId="0" applyNumberFormat="1" applyFont="1" applyBorder="1" applyAlignment="1">
      <alignment horizontal="center" vertical="center"/>
    </xf>
    <xf numFmtId="181" fontId="47" fillId="0" borderId="76" xfId="0" applyNumberFormat="1" applyFont="1" applyBorder="1" applyAlignment="1">
      <alignment vertical="center"/>
    </xf>
    <xf numFmtId="181" fontId="47" fillId="0" borderId="77" xfId="0" applyNumberFormat="1" applyFont="1" applyBorder="1" applyAlignment="1">
      <alignment vertical="center"/>
    </xf>
    <xf numFmtId="181" fontId="48" fillId="0" borderId="79" xfId="0" applyNumberFormat="1" applyFont="1" applyBorder="1" applyAlignment="1">
      <alignment horizontal="center" vertical="center"/>
    </xf>
    <xf numFmtId="181" fontId="48" fillId="0" borderId="80" xfId="0" applyNumberFormat="1" applyFont="1" applyBorder="1" applyAlignment="1">
      <alignment horizontal="center" vertical="center"/>
    </xf>
    <xf numFmtId="181" fontId="48" fillId="0" borderId="81" xfId="0" applyNumberFormat="1" applyFont="1" applyBorder="1" applyAlignment="1">
      <alignment horizontal="center" vertical="center"/>
    </xf>
    <xf numFmtId="181" fontId="48" fillId="0" borderId="82" xfId="0" applyNumberFormat="1" applyFont="1" applyBorder="1" applyAlignment="1">
      <alignment horizontal="center" vertical="center"/>
    </xf>
    <xf numFmtId="0" fontId="0" fillId="17" borderId="37" xfId="0" applyFill="1" applyBorder="1" applyAlignment="1">
      <alignment horizontal="right" vertical="center"/>
    </xf>
    <xf numFmtId="0" fontId="0" fillId="7" borderId="43" xfId="0" applyFill="1" applyBorder="1" applyAlignment="1">
      <alignment horizontal="center" vertical="center"/>
    </xf>
    <xf numFmtId="0" fontId="0" fillId="7" borderId="44" xfId="0" applyFill="1" applyBorder="1" applyAlignment="1">
      <alignment horizontal="center" vertical="center"/>
    </xf>
    <xf numFmtId="0" fontId="0" fillId="7" borderId="45" xfId="0" applyFill="1" applyBorder="1" applyAlignment="1">
      <alignment horizontal="center" vertical="center"/>
    </xf>
    <xf numFmtId="0" fontId="43" fillId="15" borderId="6" xfId="6" applyFont="1" applyFill="1" applyBorder="1" applyAlignment="1">
      <alignment horizontal="center"/>
    </xf>
    <xf numFmtId="0" fontId="43" fillId="15" borderId="7" xfId="6" applyFont="1" applyFill="1" applyBorder="1" applyAlignment="1">
      <alignment horizontal="center"/>
    </xf>
    <xf numFmtId="0" fontId="0" fillId="16" borderId="43" xfId="0" applyFill="1" applyBorder="1" applyAlignment="1">
      <alignment horizontal="center" vertical="center"/>
    </xf>
    <xf numFmtId="0" fontId="0" fillId="16" borderId="44" xfId="0" applyFill="1" applyBorder="1" applyAlignment="1">
      <alignment horizontal="center" vertical="center"/>
    </xf>
    <xf numFmtId="0" fontId="0" fillId="16" borderId="45" xfId="0" applyFill="1" applyBorder="1" applyAlignment="1">
      <alignment horizontal="center" vertical="center"/>
    </xf>
    <xf numFmtId="0" fontId="0" fillId="16" borderId="37" xfId="0" applyFill="1" applyBorder="1" applyAlignment="1">
      <alignment horizontal="right" vertical="center"/>
    </xf>
    <xf numFmtId="0" fontId="7" fillId="7" borderId="12" xfId="0" applyFont="1" applyFill="1" applyBorder="1" applyAlignment="1">
      <alignment horizontal="left"/>
    </xf>
    <xf numFmtId="0" fontId="7" fillId="7" borderId="13" xfId="0" applyFont="1" applyFill="1" applyBorder="1" applyAlignment="1">
      <alignment horizontal="left"/>
    </xf>
    <xf numFmtId="181" fontId="47" fillId="0" borderId="75" xfId="0" applyNumberFormat="1" applyFont="1" applyBorder="1" applyAlignment="1">
      <alignment horizontal="center" vertical="center"/>
    </xf>
    <xf numFmtId="0" fontId="58" fillId="0" borderId="0" xfId="0" applyFont="1" applyAlignment="1">
      <alignment horizontal="left"/>
    </xf>
    <xf numFmtId="0" fontId="56" fillId="3" borderId="96" xfId="0" applyFont="1" applyFill="1" applyBorder="1" applyAlignment="1">
      <alignment horizontal="center"/>
    </xf>
    <xf numFmtId="0" fontId="56" fillId="3" borderId="73" xfId="0" applyFont="1" applyFill="1" applyBorder="1" applyAlignment="1">
      <alignment horizontal="center"/>
    </xf>
    <xf numFmtId="0" fontId="56" fillId="3" borderId="102" xfId="0" applyFont="1" applyFill="1" applyBorder="1" applyAlignment="1">
      <alignment horizontal="center"/>
    </xf>
    <xf numFmtId="0" fontId="59" fillId="3" borderId="103" xfId="0" applyFont="1" applyFill="1" applyBorder="1" applyAlignment="1">
      <alignment horizontal="center" vertical="center"/>
    </xf>
    <xf numFmtId="0" fontId="59" fillId="3" borderId="2" xfId="0" applyFont="1" applyFill="1" applyBorder="1" applyAlignment="1">
      <alignment horizontal="center" vertical="center"/>
    </xf>
    <xf numFmtId="0" fontId="59" fillId="3" borderId="104" xfId="0" applyFont="1" applyFill="1" applyBorder="1" applyAlignment="1">
      <alignment horizontal="center" vertical="center"/>
    </xf>
    <xf numFmtId="0" fontId="56" fillId="23" borderId="97" xfId="0" applyFont="1" applyFill="1" applyBorder="1" applyAlignment="1">
      <alignment horizontal="center" vertical="center"/>
    </xf>
    <xf numFmtId="0" fontId="56" fillId="22" borderId="10" xfId="0" applyFont="1" applyFill="1" applyBorder="1" applyAlignment="1">
      <alignment horizontal="left" vertical="center"/>
    </xf>
    <xf numFmtId="0" fontId="56" fillId="22" borderId="0" xfId="0" applyFont="1" applyFill="1" applyAlignment="1">
      <alignment horizontal="left" vertical="center"/>
    </xf>
    <xf numFmtId="0" fontId="0" fillId="0" borderId="0" xfId="0" applyAlignment="1">
      <alignment horizontal="center" vertical="center" wrapText="1"/>
    </xf>
    <xf numFmtId="0" fontId="0" fillId="0" borderId="11" xfId="0" applyBorder="1" applyAlignment="1">
      <alignment horizontal="center" vertical="center" wrapText="1"/>
    </xf>
    <xf numFmtId="0" fontId="11" fillId="23" borderId="0" xfId="0" applyFont="1" applyFill="1" applyAlignment="1">
      <alignment horizontal="left"/>
    </xf>
    <xf numFmtId="0" fontId="7" fillId="3" borderId="0" xfId="0" applyFont="1" applyFill="1" applyAlignment="1">
      <alignment horizontal="center" wrapText="1"/>
    </xf>
    <xf numFmtId="0" fontId="7" fillId="3" borderId="138" xfId="0" applyFont="1" applyFill="1" applyBorder="1" applyAlignment="1">
      <alignment horizontal="center" wrapText="1"/>
    </xf>
    <xf numFmtId="0" fontId="7" fillId="3" borderId="1" xfId="0" applyFont="1" applyFill="1" applyBorder="1" applyAlignment="1">
      <alignment horizontal="center" wrapText="1"/>
    </xf>
    <xf numFmtId="0" fontId="8" fillId="3" borderId="0" xfId="0" applyFont="1" applyFill="1" applyAlignment="1">
      <alignment horizontal="center"/>
    </xf>
    <xf numFmtId="0" fontId="7" fillId="3" borderId="1" xfId="0" applyFont="1" applyFill="1" applyBorder="1" applyAlignment="1">
      <alignment horizontal="center"/>
    </xf>
    <xf numFmtId="0" fontId="11" fillId="23" borderId="0" xfId="0" applyFont="1" applyFill="1" applyAlignment="1">
      <alignment horizontal="center" vertical="center" wrapText="1"/>
    </xf>
    <xf numFmtId="0" fontId="124" fillId="26" borderId="0" xfId="0" applyFont="1" applyFill="1" applyAlignment="1">
      <alignment horizontal="center"/>
    </xf>
    <xf numFmtId="0" fontId="124" fillId="26" borderId="0" xfId="0" applyFont="1" applyFill="1"/>
    <xf numFmtId="0" fontId="126" fillId="30" borderId="10" xfId="0" applyFont="1" applyFill="1" applyBorder="1"/>
    <xf numFmtId="0" fontId="126" fillId="30" borderId="0" xfId="0" applyFont="1" applyFill="1"/>
    <xf numFmtId="0" fontId="125" fillId="27" borderId="133" xfId="0" applyFont="1" applyFill="1" applyBorder="1" applyAlignment="1">
      <alignment horizontal="center"/>
    </xf>
    <xf numFmtId="0" fontId="125" fillId="27" borderId="134" xfId="0" applyFont="1" applyFill="1" applyBorder="1" applyAlignment="1">
      <alignment horizontal="center"/>
    </xf>
    <xf numFmtId="0" fontId="125" fillId="27" borderId="135" xfId="0" applyFont="1" applyFill="1" applyBorder="1" applyAlignment="1">
      <alignment horizontal="center"/>
    </xf>
    <xf numFmtId="0" fontId="125" fillId="27" borderId="134" xfId="0" applyFont="1" applyFill="1" applyBorder="1"/>
    <xf numFmtId="0" fontId="125" fillId="27" borderId="135" xfId="0" applyFont="1" applyFill="1" applyBorder="1"/>
    <xf numFmtId="0" fontId="38" fillId="0" borderId="0" xfId="0" applyFont="1"/>
    <xf numFmtId="0" fontId="38" fillId="0" borderId="11" xfId="0" applyFont="1" applyBorder="1"/>
    <xf numFmtId="0" fontId="125" fillId="27" borderId="2" xfId="0" applyFont="1" applyFill="1" applyBorder="1" applyAlignment="1">
      <alignment horizontal="center"/>
    </xf>
    <xf numFmtId="0" fontId="125" fillId="27" borderId="2" xfId="0" applyFont="1" applyFill="1" applyBorder="1"/>
    <xf numFmtId="0" fontId="130" fillId="26" borderId="0" xfId="0" applyFont="1" applyFill="1" applyAlignment="1">
      <alignment horizontal="center"/>
    </xf>
    <xf numFmtId="0" fontId="128" fillId="26" borderId="0" xfId="0" applyFont="1" applyFill="1"/>
    <xf numFmtId="0" fontId="128" fillId="26" borderId="2" xfId="0" applyFont="1" applyFill="1" applyBorder="1"/>
    <xf numFmtId="0" fontId="121" fillId="26" borderId="0" xfId="0" applyFont="1" applyFill="1" applyAlignment="1">
      <alignment horizontal="center"/>
    </xf>
    <xf numFmtId="0" fontId="131" fillId="0" borderId="0" xfId="0" applyFont="1" applyAlignment="1">
      <alignment wrapText="1"/>
    </xf>
    <xf numFmtId="0" fontId="0" fillId="0" borderId="0" xfId="0"/>
    <xf numFmtId="0" fontId="14" fillId="0" borderId="10" xfId="0" applyFont="1" applyFill="1" applyBorder="1"/>
    <xf numFmtId="0" fontId="0" fillId="0" borderId="0" xfId="0" applyFill="1"/>
    <xf numFmtId="0" fontId="0" fillId="0" borderId="11" xfId="0" applyFill="1" applyBorder="1"/>
    <xf numFmtId="43" fontId="0" fillId="0" borderId="0" xfId="0" applyNumberFormat="1" applyFill="1"/>
    <xf numFmtId="0" fontId="0" fillId="0" borderId="10" xfId="0" applyFill="1" applyBorder="1"/>
    <xf numFmtId="10" fontId="12" fillId="4" borderId="0" xfId="3" applyNumberFormat="1" applyFont="1" applyFill="1" applyBorder="1"/>
    <xf numFmtId="213" fontId="64" fillId="0" borderId="2" xfId="8" applyNumberFormat="1" applyFont="1" applyBorder="1" applyAlignment="1">
      <alignment horizontal="center"/>
    </xf>
  </cellXfs>
  <cellStyles count="16">
    <cellStyle name="Comma" xfId="1" builtinId="3"/>
    <cellStyle name="Comma 2" xfId="12" xr:uid="{8B6E8A9E-5C98-FD40-9158-ADB3A7BEB6ED}"/>
    <cellStyle name="Comma_Analysis LafayetteLA BW 290 revised" xfId="10" xr:uid="{E1E023F4-A389-DC46-909D-D7BF3452E5E4}"/>
    <cellStyle name="Comma_Income Expense La Casa" xfId="13" xr:uid="{EE21DFF9-84CC-384B-B9C1-577AD570F65C}"/>
    <cellStyle name="Currency" xfId="2" builtinId="4"/>
    <cellStyle name="Currency_Analysis LafayetteLA BW 290 revised" xfId="11" xr:uid="{789663A2-E3CF-574A-A90D-08BADFE67F0A}"/>
    <cellStyle name="Currency_Income Expense La Casa" xfId="14" xr:uid="{D34FC8FF-0B2D-434C-8B02-BDAB796DE8C5}"/>
    <cellStyle name="Hyperlink" xfId="5" builtinId="8"/>
    <cellStyle name="Normal" xfId="0" builtinId="0"/>
    <cellStyle name="Normal 2" xfId="4" xr:uid="{A2589F58-28E6-D34C-AAB8-1FAB072D1B82}"/>
    <cellStyle name="Normal 8" xfId="6" xr:uid="{495F6A7D-A9C9-D44B-84D1-CD808B54AB23}"/>
    <cellStyle name="Normal_Analysis LafayetteLA BW 290 revised" xfId="15" xr:uid="{B17A5402-731A-3D4E-8164-8A7F8DA2F23A}"/>
    <cellStyle name="Normal_Income Expense La Casa" xfId="8" xr:uid="{A0BF5586-660D-C147-A2E7-952EA4D054B7}"/>
    <cellStyle name="Percent" xfId="3" builtinId="5"/>
    <cellStyle name="Percent 2" xfId="9" xr:uid="{499C4A52-F1F6-BD4C-9107-962B4EF25AFA}"/>
    <cellStyle name="Style 1298 2" xfId="7" xr:uid="{44269444-A3BE-D949-A5A9-C23BCA69881A}"/>
  </cellStyles>
  <dxfs count="25">
    <dxf>
      <font>
        <color theme="9" tint="-0.24994659260841701"/>
      </font>
    </dxf>
    <dxf>
      <numFmt numFmtId="208" formatCode="&quot; up to &quot;0.00&quot;X EM to LP&quot;"/>
    </dxf>
    <dxf>
      <font>
        <color theme="0"/>
      </font>
    </dxf>
    <dxf>
      <font>
        <color theme="0"/>
      </font>
    </dxf>
    <dxf>
      <font>
        <color theme="0"/>
      </font>
      <numFmt numFmtId="0" formatCode="General"/>
      <fill>
        <patternFill patternType="none">
          <bgColor auto="1"/>
        </patternFill>
      </fill>
    </dxf>
    <dxf>
      <font>
        <color theme="0"/>
      </font>
      <fill>
        <patternFill patternType="none">
          <bgColor auto="1"/>
        </patternFill>
      </fill>
    </dxf>
    <dxf>
      <font>
        <b/>
        <i val="0"/>
      </font>
      <border>
        <top style="thin">
          <color auto="1"/>
        </top>
        <bottom style="thin">
          <color auto="1"/>
        </bottom>
        <vertical/>
        <horizontal/>
      </border>
    </dxf>
    <dxf>
      <border>
        <bottom style="thin">
          <color auto="1"/>
        </bottom>
        <vertical/>
        <horizontal/>
      </border>
    </dxf>
    <dxf>
      <font>
        <b/>
        <i val="0"/>
      </font>
      <border>
        <top style="thin">
          <color auto="1"/>
        </top>
        <bottom/>
        <vertical/>
        <horizontal/>
      </border>
    </dxf>
    <dxf>
      <font>
        <b/>
        <i val="0"/>
      </font>
    </dxf>
    <dxf>
      <font>
        <b/>
        <i val="0"/>
      </font>
      <border>
        <top style="thin">
          <color auto="1"/>
        </top>
        <vertical/>
        <horizontal/>
      </border>
    </dxf>
    <dxf>
      <font>
        <color rgb="FFFF0000"/>
      </font>
    </dxf>
    <dxf>
      <font>
        <color rgb="FFFF0000"/>
      </font>
    </dxf>
    <dxf>
      <font>
        <color rgb="FFFF0000"/>
      </font>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
      <font>
        <b/>
        <i val="0"/>
      </font>
      <border>
        <top style="thin">
          <color auto="1"/>
        </top>
        <vertical/>
        <horizontal/>
      </border>
    </dxf>
  </dxfs>
  <tableStyles count="0" defaultTableStyle="TableStyleMedium2" defaultPivotStyle="PivotStyleLight16"/>
  <colors>
    <mruColors>
      <color rgb="FFFFFE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OCC</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'STR INPUT'!$BG$5</c:f>
              <c:strCache>
                <c:ptCount val="1"/>
                <c:pt idx="0">
                  <c:v>Subject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'STR INPUT'!$BF$6:$BF$9</c:f>
              <c:numCache>
                <c:formatCode>General</c:formatCode>
                <c:ptCount val="4"/>
                <c:pt idx="0" formatCode="0">
                  <c:v>0</c:v>
                </c:pt>
                <c:pt idx="1">
                  <c:v>0</c:v>
                </c:pt>
                <c:pt idx="2">
                  <c:v>0</c:v>
                </c:pt>
                <c:pt idx="3">
                  <c:v>-1</c:v>
                </c:pt>
              </c:numCache>
            </c:numRef>
          </c:cat>
          <c:val>
            <c:numRef>
              <c:f>'STR INPUT'!$BG$6:$BG$9</c:f>
              <c:numCache>
                <c:formatCode>0.00%</c:formatCode>
                <c:ptCount val="4"/>
                <c:pt idx="0">
                  <c:v>0</c:v>
                </c:pt>
                <c:pt idx="1">
                  <c:v>0</c:v>
                </c:pt>
                <c:pt idx="2">
                  <c:v>0</c:v>
                </c:pt>
                <c:pt idx="3">
                  <c:v>0</c:v>
                </c:pt>
              </c:numCache>
            </c:numRef>
          </c:val>
          <c:extLst>
            <c:ext xmlns:c16="http://schemas.microsoft.com/office/drawing/2014/chart" uri="{C3380CC4-5D6E-409C-BE32-E72D297353CC}">
              <c16:uniqueId val="{00000000-95DA-C740-840A-244E90BED90C}"/>
            </c:ext>
          </c:extLst>
        </c:ser>
        <c:ser>
          <c:idx val="1"/>
          <c:order val="1"/>
          <c:tx>
            <c:strRef>
              <c:f>'STR INPUT'!$BH$5</c:f>
              <c:strCache>
                <c:ptCount val="1"/>
                <c:pt idx="0">
                  <c:v>Comp</c:v>
                </c:pt>
              </c:strCache>
            </c:strRef>
          </c:tx>
          <c:spPr>
            <a:solidFill>
              <a:schemeClr val="bg1">
                <a:lumMod val="75000"/>
              </a:schemeClr>
            </a:solidFill>
            <a:ln>
              <a:noFill/>
            </a:ln>
            <a:effectLst>
              <a:outerShdw blurRad="57150" dist="19050" dir="5400000" algn="ctr" rotWithShape="0">
                <a:srgbClr val="000000">
                  <a:alpha val="63000"/>
                </a:srgbClr>
              </a:outerShdw>
            </a:effectLst>
          </c:spPr>
          <c:invertIfNegative val="0"/>
          <c:cat>
            <c:numRef>
              <c:f>'STR INPUT'!$BF$6:$BF$9</c:f>
              <c:numCache>
                <c:formatCode>General</c:formatCode>
                <c:ptCount val="4"/>
                <c:pt idx="0" formatCode="0">
                  <c:v>0</c:v>
                </c:pt>
                <c:pt idx="1">
                  <c:v>0</c:v>
                </c:pt>
                <c:pt idx="2">
                  <c:v>0</c:v>
                </c:pt>
                <c:pt idx="3">
                  <c:v>-1</c:v>
                </c:pt>
              </c:numCache>
            </c:numRef>
          </c:cat>
          <c:val>
            <c:numRef>
              <c:f>'STR INPUT'!$BH$6:$BH$9</c:f>
              <c:numCache>
                <c:formatCode>0.00%</c:formatCode>
                <c:ptCount val="4"/>
                <c:pt idx="0">
                  <c:v>0</c:v>
                </c:pt>
                <c:pt idx="1">
                  <c:v>0</c:v>
                </c:pt>
                <c:pt idx="2">
                  <c:v>0</c:v>
                </c:pt>
                <c:pt idx="3">
                  <c:v>0</c:v>
                </c:pt>
              </c:numCache>
            </c:numRef>
          </c:val>
          <c:extLst>
            <c:ext xmlns:c16="http://schemas.microsoft.com/office/drawing/2014/chart" uri="{C3380CC4-5D6E-409C-BE32-E72D297353CC}">
              <c16:uniqueId val="{00000001-95DA-C740-840A-244E90BED90C}"/>
            </c:ext>
          </c:extLst>
        </c:ser>
        <c:dLbls>
          <c:showLegendKey val="0"/>
          <c:showVal val="0"/>
          <c:showCatName val="0"/>
          <c:showSerName val="0"/>
          <c:showPercent val="0"/>
          <c:showBubbleSize val="0"/>
        </c:dLbls>
        <c:gapWidth val="100"/>
        <c:overlap val="-24"/>
        <c:axId val="347306431"/>
        <c:axId val="347293439"/>
      </c:barChart>
      <c:catAx>
        <c:axId val="347306431"/>
        <c:scaling>
          <c:orientation val="maxMin"/>
        </c:scaling>
        <c:delete val="0"/>
        <c:axPos val="b"/>
        <c:numFmt formatCode="0"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293439"/>
        <c:crosses val="autoZero"/>
        <c:auto val="1"/>
        <c:lblAlgn val="ctr"/>
        <c:lblOffset val="100"/>
        <c:noMultiLvlLbl val="0"/>
      </c:catAx>
      <c:valAx>
        <c:axId val="34729343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306431"/>
        <c:crosses val="max"/>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ADR</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'STR INPUT'!$BG$11:$BG$12</c:f>
              <c:strCache>
                <c:ptCount val="2"/>
                <c:pt idx="0">
                  <c:v>ADR</c:v>
                </c:pt>
                <c:pt idx="1">
                  <c:v>Subject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'STR INPUT'!$BF$13:$BF$16</c:f>
              <c:numCache>
                <c:formatCode>General</c:formatCode>
                <c:ptCount val="4"/>
                <c:pt idx="0" formatCode="0">
                  <c:v>0</c:v>
                </c:pt>
                <c:pt idx="1">
                  <c:v>0</c:v>
                </c:pt>
                <c:pt idx="2">
                  <c:v>0</c:v>
                </c:pt>
                <c:pt idx="3">
                  <c:v>-1</c:v>
                </c:pt>
              </c:numCache>
            </c:numRef>
          </c:cat>
          <c:val>
            <c:numRef>
              <c:f>'STR INPUT'!$BG$13:$BG$16</c:f>
              <c:numCache>
                <c:formatCode>0.0</c:formatCode>
                <c:ptCount val="4"/>
                <c:pt idx="0">
                  <c:v>0</c:v>
                </c:pt>
                <c:pt idx="1">
                  <c:v>0</c:v>
                </c:pt>
                <c:pt idx="2">
                  <c:v>0</c:v>
                </c:pt>
                <c:pt idx="3">
                  <c:v>0</c:v>
                </c:pt>
              </c:numCache>
            </c:numRef>
          </c:val>
          <c:extLst>
            <c:ext xmlns:c16="http://schemas.microsoft.com/office/drawing/2014/chart" uri="{C3380CC4-5D6E-409C-BE32-E72D297353CC}">
              <c16:uniqueId val="{00000000-F6F4-6941-AE3F-612235DC92B5}"/>
            </c:ext>
          </c:extLst>
        </c:ser>
        <c:ser>
          <c:idx val="1"/>
          <c:order val="1"/>
          <c:tx>
            <c:strRef>
              <c:f>'STR INPUT'!$BH$11:$BH$12</c:f>
              <c:strCache>
                <c:ptCount val="2"/>
                <c:pt idx="0">
                  <c:v>ADR</c:v>
                </c:pt>
                <c:pt idx="1">
                  <c:v>Comp</c:v>
                </c:pt>
              </c:strCache>
            </c:strRef>
          </c:tx>
          <c:spPr>
            <a:solidFill>
              <a:schemeClr val="bg1">
                <a:lumMod val="75000"/>
              </a:schemeClr>
            </a:solidFill>
            <a:ln>
              <a:noFill/>
            </a:ln>
            <a:effectLst>
              <a:outerShdw blurRad="57150" dist="19050" dir="5400000" algn="ctr" rotWithShape="0">
                <a:srgbClr val="000000">
                  <a:alpha val="63000"/>
                </a:srgbClr>
              </a:outerShdw>
            </a:effectLst>
          </c:spPr>
          <c:invertIfNegative val="0"/>
          <c:cat>
            <c:numRef>
              <c:f>'STR INPUT'!$BF$13:$BF$16</c:f>
              <c:numCache>
                <c:formatCode>General</c:formatCode>
                <c:ptCount val="4"/>
                <c:pt idx="0" formatCode="0">
                  <c:v>0</c:v>
                </c:pt>
                <c:pt idx="1">
                  <c:v>0</c:v>
                </c:pt>
                <c:pt idx="2">
                  <c:v>0</c:v>
                </c:pt>
                <c:pt idx="3">
                  <c:v>-1</c:v>
                </c:pt>
              </c:numCache>
            </c:numRef>
          </c:cat>
          <c:val>
            <c:numRef>
              <c:f>'STR INPUT'!$BH$13:$BH$16</c:f>
              <c:numCache>
                <c:formatCode>0.00</c:formatCode>
                <c:ptCount val="4"/>
                <c:pt idx="0">
                  <c:v>0</c:v>
                </c:pt>
                <c:pt idx="1">
                  <c:v>0</c:v>
                </c:pt>
                <c:pt idx="2">
                  <c:v>0</c:v>
                </c:pt>
                <c:pt idx="3">
                  <c:v>0</c:v>
                </c:pt>
              </c:numCache>
            </c:numRef>
          </c:val>
          <c:extLst>
            <c:ext xmlns:c16="http://schemas.microsoft.com/office/drawing/2014/chart" uri="{C3380CC4-5D6E-409C-BE32-E72D297353CC}">
              <c16:uniqueId val="{00000001-F6F4-6941-AE3F-612235DC92B5}"/>
            </c:ext>
          </c:extLst>
        </c:ser>
        <c:dLbls>
          <c:showLegendKey val="0"/>
          <c:showVal val="0"/>
          <c:showCatName val="0"/>
          <c:showSerName val="0"/>
          <c:showPercent val="0"/>
          <c:showBubbleSize val="0"/>
        </c:dLbls>
        <c:gapWidth val="100"/>
        <c:overlap val="-24"/>
        <c:axId val="347294335"/>
        <c:axId val="347299711"/>
      </c:barChart>
      <c:catAx>
        <c:axId val="347294335"/>
        <c:scaling>
          <c:orientation val="maxMin"/>
        </c:scaling>
        <c:delete val="0"/>
        <c:axPos val="b"/>
        <c:numFmt formatCode="0"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299711"/>
        <c:crosses val="autoZero"/>
        <c:auto val="1"/>
        <c:lblAlgn val="ctr"/>
        <c:lblOffset val="100"/>
        <c:noMultiLvlLbl val="0"/>
      </c:catAx>
      <c:valAx>
        <c:axId val="34729971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294335"/>
        <c:crosses val="max"/>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RevPar</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'STR INPUT'!$BG$18:$BG$19</c:f>
              <c:strCache>
                <c:ptCount val="2"/>
                <c:pt idx="0">
                  <c:v>RevPar</c:v>
                </c:pt>
                <c:pt idx="1">
                  <c:v>Subject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'STR INPUT'!$BF$20:$BF$23</c:f>
              <c:numCache>
                <c:formatCode>0</c:formatCode>
                <c:ptCount val="4"/>
                <c:pt idx="0">
                  <c:v>0</c:v>
                </c:pt>
                <c:pt idx="1">
                  <c:v>0</c:v>
                </c:pt>
                <c:pt idx="2">
                  <c:v>0</c:v>
                </c:pt>
                <c:pt idx="3">
                  <c:v>-1</c:v>
                </c:pt>
              </c:numCache>
            </c:numRef>
          </c:cat>
          <c:val>
            <c:numRef>
              <c:f>'STR INPUT'!$BG$20:$BG$23</c:f>
              <c:numCache>
                <c:formatCode>0.00</c:formatCode>
                <c:ptCount val="4"/>
                <c:pt idx="0">
                  <c:v>0</c:v>
                </c:pt>
                <c:pt idx="1">
                  <c:v>0</c:v>
                </c:pt>
                <c:pt idx="2">
                  <c:v>0</c:v>
                </c:pt>
                <c:pt idx="3">
                  <c:v>0</c:v>
                </c:pt>
              </c:numCache>
            </c:numRef>
          </c:val>
          <c:extLst>
            <c:ext xmlns:c16="http://schemas.microsoft.com/office/drawing/2014/chart" uri="{C3380CC4-5D6E-409C-BE32-E72D297353CC}">
              <c16:uniqueId val="{00000000-8EA2-7041-AF14-30B65C76FCDC}"/>
            </c:ext>
          </c:extLst>
        </c:ser>
        <c:ser>
          <c:idx val="1"/>
          <c:order val="1"/>
          <c:tx>
            <c:strRef>
              <c:f>'STR INPUT'!$BH$18:$BH$19</c:f>
              <c:strCache>
                <c:ptCount val="2"/>
                <c:pt idx="0">
                  <c:v>RevPar</c:v>
                </c:pt>
                <c:pt idx="1">
                  <c:v>Comp</c:v>
                </c:pt>
              </c:strCache>
            </c:strRef>
          </c:tx>
          <c:spPr>
            <a:solidFill>
              <a:schemeClr val="bg1">
                <a:lumMod val="75000"/>
              </a:schemeClr>
            </a:solidFill>
            <a:ln>
              <a:noFill/>
            </a:ln>
            <a:effectLst>
              <a:outerShdw blurRad="57150" dist="19050" dir="5400000" algn="ctr" rotWithShape="0">
                <a:srgbClr val="000000">
                  <a:alpha val="63000"/>
                </a:srgbClr>
              </a:outerShdw>
            </a:effectLst>
          </c:spPr>
          <c:invertIfNegative val="0"/>
          <c:cat>
            <c:numRef>
              <c:f>'STR INPUT'!$BF$20:$BF$23</c:f>
              <c:numCache>
                <c:formatCode>0</c:formatCode>
                <c:ptCount val="4"/>
                <c:pt idx="0">
                  <c:v>0</c:v>
                </c:pt>
                <c:pt idx="1">
                  <c:v>0</c:v>
                </c:pt>
                <c:pt idx="2">
                  <c:v>0</c:v>
                </c:pt>
                <c:pt idx="3">
                  <c:v>-1</c:v>
                </c:pt>
              </c:numCache>
            </c:numRef>
          </c:cat>
          <c:val>
            <c:numRef>
              <c:f>'STR INPUT'!$BH$20:$BH$23</c:f>
              <c:numCache>
                <c:formatCode>0.00</c:formatCode>
                <c:ptCount val="4"/>
                <c:pt idx="0">
                  <c:v>0</c:v>
                </c:pt>
                <c:pt idx="1">
                  <c:v>0</c:v>
                </c:pt>
                <c:pt idx="2">
                  <c:v>0</c:v>
                </c:pt>
                <c:pt idx="3">
                  <c:v>0</c:v>
                </c:pt>
              </c:numCache>
            </c:numRef>
          </c:val>
          <c:extLst>
            <c:ext xmlns:c16="http://schemas.microsoft.com/office/drawing/2014/chart" uri="{C3380CC4-5D6E-409C-BE32-E72D297353CC}">
              <c16:uniqueId val="{00000001-8EA2-7041-AF14-30B65C76FCDC}"/>
            </c:ext>
          </c:extLst>
        </c:ser>
        <c:dLbls>
          <c:showLegendKey val="0"/>
          <c:showVal val="0"/>
          <c:showCatName val="0"/>
          <c:showSerName val="0"/>
          <c:showPercent val="0"/>
          <c:showBubbleSize val="0"/>
        </c:dLbls>
        <c:gapWidth val="100"/>
        <c:overlap val="-24"/>
        <c:axId val="392892799"/>
        <c:axId val="392889215"/>
      </c:barChart>
      <c:catAx>
        <c:axId val="392892799"/>
        <c:scaling>
          <c:orientation val="maxMin"/>
        </c:scaling>
        <c:delete val="0"/>
        <c:axPos val="b"/>
        <c:numFmt formatCode="0"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889215"/>
        <c:crosses val="autoZero"/>
        <c:auto val="1"/>
        <c:lblAlgn val="ctr"/>
        <c:lblOffset val="100"/>
        <c:noMultiLvlLbl val="0"/>
      </c:catAx>
      <c:valAx>
        <c:axId val="392889215"/>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892799"/>
        <c:crosses val="max"/>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Room Revenue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'STR INPUT'!$BG$25:$BG$26</c:f>
              <c:strCache>
                <c:ptCount val="2"/>
                <c:pt idx="0">
                  <c:v>Room Revenue</c:v>
                </c:pt>
                <c:pt idx="1">
                  <c:v>Subject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'STR INPUT'!$BF$27:$BF$30</c:f>
              <c:numCache>
                <c:formatCode>0</c:formatCode>
                <c:ptCount val="4"/>
                <c:pt idx="0">
                  <c:v>0</c:v>
                </c:pt>
                <c:pt idx="1">
                  <c:v>0</c:v>
                </c:pt>
                <c:pt idx="2">
                  <c:v>0</c:v>
                </c:pt>
                <c:pt idx="3">
                  <c:v>-1</c:v>
                </c:pt>
              </c:numCache>
            </c:numRef>
          </c:cat>
          <c:val>
            <c:numRef>
              <c:f>'STR INPUT'!$BG$27:$BG$30</c:f>
              <c:numCache>
                <c:formatCode>_(* #,##0_);_(* \(#,##0\);_(* "-"??_);_(@_)</c:formatCode>
                <c:ptCount val="4"/>
                <c:pt idx="0">
                  <c:v>0</c:v>
                </c:pt>
                <c:pt idx="1">
                  <c:v>0</c:v>
                </c:pt>
                <c:pt idx="2">
                  <c:v>0</c:v>
                </c:pt>
                <c:pt idx="3">
                  <c:v>0</c:v>
                </c:pt>
              </c:numCache>
            </c:numRef>
          </c:val>
          <c:extLst>
            <c:ext xmlns:c16="http://schemas.microsoft.com/office/drawing/2014/chart" uri="{C3380CC4-5D6E-409C-BE32-E72D297353CC}">
              <c16:uniqueId val="{00000000-5B71-D74A-A594-D2DF7AA7961E}"/>
            </c:ext>
          </c:extLst>
        </c:ser>
        <c:dLbls>
          <c:showLegendKey val="0"/>
          <c:showVal val="0"/>
          <c:showCatName val="0"/>
          <c:showSerName val="0"/>
          <c:showPercent val="0"/>
          <c:showBubbleSize val="0"/>
        </c:dLbls>
        <c:gapWidth val="100"/>
        <c:overlap val="-24"/>
        <c:axId val="356296319"/>
        <c:axId val="356301247"/>
      </c:barChart>
      <c:catAx>
        <c:axId val="356296319"/>
        <c:scaling>
          <c:orientation val="maxMin"/>
        </c:scaling>
        <c:delete val="0"/>
        <c:axPos val="b"/>
        <c:numFmt formatCode="0"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301247"/>
        <c:crosses val="autoZero"/>
        <c:auto val="1"/>
        <c:lblAlgn val="ctr"/>
        <c:lblOffset val="100"/>
        <c:noMultiLvlLbl val="0"/>
      </c:catAx>
      <c:valAx>
        <c:axId val="356301247"/>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296319"/>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E2841"/>
                </a:solidFill>
                <a:latin typeface="Aptos Narrow"/>
                <a:ea typeface="Aptos Narrow"/>
                <a:cs typeface="Aptos Narrow"/>
              </a:defRPr>
            </a:pPr>
            <a:r>
              <a:rPr lang="en-US"/>
              <a:t>Monthly Room Revenue Breakdown</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E2841"/>
              </a:solidFill>
              <a:latin typeface="Aptos Narrow"/>
              <a:ea typeface="Aptos Narrow"/>
              <a:cs typeface="Aptos Narrow"/>
            </a:defRPr>
          </a:pPr>
          <a:endParaRPr lang="en-US"/>
        </a:p>
      </c:txPr>
    </c:title>
    <c:autoTitleDeleted val="0"/>
    <c:plotArea>
      <c:layout/>
      <c:barChart>
        <c:barDir val="col"/>
        <c:grouping val="clustered"/>
        <c:varyColors val="0"/>
        <c:ser>
          <c:idx val="0"/>
          <c:order val="0"/>
          <c:tx>
            <c:strRef>
              <c:f>'MONTHLY REVENUE CHART - PRINT'!$T$3</c:f>
              <c:strCache>
                <c:ptCount val="1"/>
                <c:pt idx="0">
                  <c:v>Year 1</c:v>
                </c:pt>
              </c:strCache>
            </c:strRef>
          </c:tx>
          <c:spPr>
            <a:solidFill>
              <a:srgbClr val="0E2841"/>
            </a:solidFill>
            <a:ln>
              <a:noFill/>
            </a:ln>
            <a:effectLst/>
          </c:spPr>
          <c:invertIfNegative val="0"/>
          <c:cat>
            <c:strRef>
              <c:f>'MONTHLY REVENUE CHART - PRINT'!$S$4:$S$15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REVENUE CHART - PRINT'!$T$4:$T$15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282-144B-84FB-492889AFF3A2}"/>
            </c:ext>
          </c:extLst>
        </c:ser>
        <c:ser>
          <c:idx val="1"/>
          <c:order val="1"/>
          <c:tx>
            <c:strRef>
              <c:f>'MONTHLY REVENUE CHART - PRINT'!$U$3</c:f>
              <c:strCache>
                <c:ptCount val="1"/>
                <c:pt idx="0">
                  <c:v>Year 0</c:v>
                </c:pt>
              </c:strCache>
            </c:strRef>
          </c:tx>
          <c:spPr>
            <a:solidFill>
              <a:srgbClr val="5B7FA3"/>
            </a:solidFill>
            <a:ln>
              <a:noFill/>
            </a:ln>
            <a:effectLst/>
          </c:spPr>
          <c:invertIfNegative val="0"/>
          <c:cat>
            <c:strRef>
              <c:f>'MONTHLY REVENUE CHART - PRINT'!$S$4:$S$15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REVENUE CHART - PRINT'!$U$4:$U$15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282-144B-84FB-492889AFF3A2}"/>
            </c:ext>
          </c:extLst>
        </c:ser>
        <c:ser>
          <c:idx val="2"/>
          <c:order val="2"/>
          <c:tx>
            <c:strRef>
              <c:f>'MONTHLY REVENUE CHART - PRINT'!$V$3</c:f>
              <c:strCache>
                <c:ptCount val="1"/>
                <c:pt idx="0">
                  <c:v>Year 0</c:v>
                </c:pt>
              </c:strCache>
            </c:strRef>
          </c:tx>
          <c:spPr>
            <a:solidFill>
              <a:srgbClr val="C0E6F5"/>
            </a:solidFill>
            <a:ln>
              <a:noFill/>
            </a:ln>
            <a:effectLst/>
          </c:spPr>
          <c:invertIfNegative val="0"/>
          <c:cat>
            <c:strRef>
              <c:f>'MONTHLY REVENUE CHART - PRINT'!$S$4:$S$15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REVENUE CHART - PRINT'!$V$4:$V$15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7282-144B-84FB-492889AFF3A2}"/>
            </c:ext>
          </c:extLst>
        </c:ser>
        <c:dLbls>
          <c:showLegendKey val="0"/>
          <c:showVal val="0"/>
          <c:showCatName val="0"/>
          <c:showSerName val="0"/>
          <c:showPercent val="0"/>
          <c:showBubbleSize val="0"/>
        </c:dLbls>
        <c:gapWidth val="219"/>
        <c:overlap val="-27"/>
        <c:axId val="837634239"/>
        <c:axId val="319178495"/>
      </c:barChart>
      <c:catAx>
        <c:axId val="837634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Narrow"/>
                <a:ea typeface="Aptos Narrow"/>
                <a:cs typeface="Aptos Narrow"/>
              </a:defRPr>
            </a:pPr>
            <a:endParaRPr lang="en-US"/>
          </a:p>
        </c:txPr>
        <c:crossAx val="319178495"/>
        <c:crosses val="autoZero"/>
        <c:auto val="1"/>
        <c:lblAlgn val="ctr"/>
        <c:lblOffset val="100"/>
        <c:noMultiLvlLbl val="0"/>
      </c:catAx>
      <c:valAx>
        <c:axId val="31917849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ptos Narrow"/>
                <a:ea typeface="Aptos Narrow"/>
                <a:cs typeface="Aptos Narrow"/>
              </a:defRPr>
            </a:pPr>
            <a:endParaRPr lang="en-US"/>
          </a:p>
        </c:txPr>
        <c:crossAx val="8376342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ptos Narrow"/>
              <a:ea typeface="Aptos Narrow"/>
              <a:cs typeface="Aptos Narrow"/>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xdr:col>
      <xdr:colOff>635000</xdr:colOff>
      <xdr:row>10</xdr:row>
      <xdr:rowOff>165100</xdr:rowOff>
    </xdr:from>
    <xdr:to>
      <xdr:col>7</xdr:col>
      <xdr:colOff>609600</xdr:colOff>
      <xdr:row>25</xdr:row>
      <xdr:rowOff>50800</xdr:rowOff>
    </xdr:to>
    <xdr:graphicFrame macro="">
      <xdr:nvGraphicFramePr>
        <xdr:cNvPr id="2" name="Chart 1">
          <a:extLst>
            <a:ext uri="{FF2B5EF4-FFF2-40B4-BE49-F238E27FC236}">
              <a16:creationId xmlns:a16="http://schemas.microsoft.com/office/drawing/2014/main" id="{E5AA73E9-E186-3948-80DB-6FF3D797BE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723900</xdr:colOff>
      <xdr:row>10</xdr:row>
      <xdr:rowOff>165100</xdr:rowOff>
    </xdr:from>
    <xdr:to>
      <xdr:col>13</xdr:col>
      <xdr:colOff>660400</xdr:colOff>
      <xdr:row>25</xdr:row>
      <xdr:rowOff>50800</xdr:rowOff>
    </xdr:to>
    <xdr:graphicFrame macro="">
      <xdr:nvGraphicFramePr>
        <xdr:cNvPr id="8" name="Chart 7">
          <a:extLst>
            <a:ext uri="{FF2B5EF4-FFF2-40B4-BE49-F238E27FC236}">
              <a16:creationId xmlns:a16="http://schemas.microsoft.com/office/drawing/2014/main" id="{CE267435-9326-5A4D-973A-26B21421BC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622300</xdr:colOff>
      <xdr:row>25</xdr:row>
      <xdr:rowOff>165100</xdr:rowOff>
    </xdr:from>
    <xdr:to>
      <xdr:col>7</xdr:col>
      <xdr:colOff>596900</xdr:colOff>
      <xdr:row>40</xdr:row>
      <xdr:rowOff>152400</xdr:rowOff>
    </xdr:to>
    <xdr:graphicFrame macro="">
      <xdr:nvGraphicFramePr>
        <xdr:cNvPr id="9" name="Chart 8">
          <a:extLst>
            <a:ext uri="{FF2B5EF4-FFF2-40B4-BE49-F238E27FC236}">
              <a16:creationId xmlns:a16="http://schemas.microsoft.com/office/drawing/2014/main" id="{919B7129-A169-6B4A-B778-9097099E0B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723900</xdr:colOff>
      <xdr:row>25</xdr:row>
      <xdr:rowOff>165100</xdr:rowOff>
    </xdr:from>
    <xdr:to>
      <xdr:col>13</xdr:col>
      <xdr:colOff>660400</xdr:colOff>
      <xdr:row>40</xdr:row>
      <xdr:rowOff>152400</xdr:rowOff>
    </xdr:to>
    <xdr:graphicFrame macro="">
      <xdr:nvGraphicFramePr>
        <xdr:cNvPr id="10" name="Chart 9">
          <a:extLst>
            <a:ext uri="{FF2B5EF4-FFF2-40B4-BE49-F238E27FC236}">
              <a16:creationId xmlns:a16="http://schemas.microsoft.com/office/drawing/2014/main" id="{3FCB197C-6BAB-0E46-B53F-2C9A742DA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203200</xdr:colOff>
      <xdr:row>2</xdr:row>
      <xdr:rowOff>25400</xdr:rowOff>
    </xdr:from>
    <xdr:to>
      <xdr:col>10</xdr:col>
      <xdr:colOff>647700</xdr:colOff>
      <xdr:row>25</xdr:row>
      <xdr:rowOff>50800</xdr:rowOff>
    </xdr:to>
    <xdr:graphicFrame macro="">
      <xdr:nvGraphicFramePr>
        <xdr:cNvPr id="3" name="Chart 2">
          <a:extLst>
            <a:ext uri="{FF2B5EF4-FFF2-40B4-BE49-F238E27FC236}">
              <a16:creationId xmlns:a16="http://schemas.microsoft.com/office/drawing/2014/main" id="{41001B95-E0C3-88A7-B85B-5A8BAFF8E3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119</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 dockstate="right" visibility="0" width="350" row="0">
    <wetp:webextensionref xmlns:r="http://schemas.openxmlformats.org/officeDocument/2006/relationships" r:id="rId2"/>
  </wetp:taskpane>
  <wetp:taskpane dockstate="right" visibility="0" width="350" row="0">
    <wetp:webextensionref xmlns:r="http://schemas.openxmlformats.org/officeDocument/2006/relationships" r:id="rId3"/>
  </wetp:taskpane>
</wetp:taskpanes>
</file>

<file path=xl/webextensions/webextension1.xml><?xml version="1.0" encoding="utf-8"?>
<we:webextension xmlns:we="http://schemas.microsoft.com/office/webextensions/webextension/2010/11" id="{FCBDFAE0-4997-3140-AA71-F16963D38100}">
  <we:reference id="wa200009404" version="1.0.0.8" store="en-US" storeType="OMEX"/>
  <we:alternateReferences>
    <we:reference id="WA200009404" version="1.0.0.8" store="" storeType="OMEX"/>
  </we:alternateReferences>
  <we:properties>
    <we:property name="Office.AutoShowTaskpaneWithDocument" value="true"/>
  </we:properties>
  <we:bindings/>
  <we:snapshot xmlns:r="http://schemas.openxmlformats.org/officeDocument/2006/relationships"/>
</we:webextension>
</file>

<file path=xl/webextensions/webextension2.xml><?xml version="1.0" encoding="utf-8"?>
<we:webextension xmlns:we="http://schemas.microsoft.com/office/webextensions/webextension/2010/11" id="{6DE39F6E-7E2C-5541-A240-6F9E03E31243}">
  <we:reference id="wa200005502" version="1.0.0.11" store="en-US" storeType="OMEX"/>
  <we:alternateReferences>
    <we:reference id="WA200005502" version="1.0.0.11" store="" storeType="OMEX"/>
  </we:alternateReferences>
  <we:properties>
    <we:property name="docId" value="&quot;TKZmR_e0HLm167lPuAPit&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ebextensions/webextension3.xml><?xml version="1.0" encoding="utf-8"?>
<we:webextension xmlns:we="http://schemas.microsoft.com/office/webextensions/webextension/2010/11" id="{F101A9BE-CD1E-9D4D-B4B9-BF50DC16A529}">
  <we:reference id="wa200005271" version="2.4.1.0" store="en-US" storeType="OMEX"/>
  <we:alternateReferences>
    <we:reference id="WA200005271" version="2.4.1.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hyperlink" Target="mailto:Reed.Gizinski@marcusmillichap.com"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ABC42-1119-734D-8446-D3A2A9BC05EC}">
  <sheetPr>
    <tabColor theme="2" tint="-0.249977111117893"/>
    <pageSetUpPr fitToPage="1"/>
  </sheetPr>
  <dimension ref="B1:I48"/>
  <sheetViews>
    <sheetView showGridLines="0" tabSelected="1" workbookViewId="0">
      <selection activeCell="K31" sqref="K31"/>
    </sheetView>
  </sheetViews>
  <sheetFormatPr baseColWidth="10" defaultRowHeight="16"/>
  <cols>
    <col min="1" max="1" width="2" customWidth="1"/>
    <col min="2" max="2" width="14.33203125" customWidth="1"/>
    <col min="3" max="3" width="15.5" customWidth="1"/>
  </cols>
  <sheetData>
    <row r="1" spans="2:9" ht="9" customHeight="1"/>
    <row r="2" spans="2:9" s="415" customFormat="1" ht="25" customHeight="1" thickBot="1">
      <c r="B2" s="415" t="s">
        <v>252</v>
      </c>
      <c r="G2" s="1016" t="s">
        <v>744</v>
      </c>
    </row>
    <row r="4" spans="2:9" ht="17" thickBot="1">
      <c r="B4" s="1118" t="s">
        <v>253</v>
      </c>
      <c r="C4" s="1119"/>
      <c r="D4" s="1120"/>
    </row>
    <row r="5" spans="2:9">
      <c r="B5" s="3" t="s">
        <v>254</v>
      </c>
      <c r="C5" s="3" t="s">
        <v>257</v>
      </c>
      <c r="D5" s="3"/>
    </row>
    <row r="6" spans="2:9">
      <c r="B6" s="3" t="s">
        <v>255</v>
      </c>
      <c r="C6" s="3" t="s">
        <v>258</v>
      </c>
      <c r="D6" s="3"/>
    </row>
    <row r="7" spans="2:9" ht="19" customHeight="1">
      <c r="B7" s="219" t="s">
        <v>256</v>
      </c>
      <c r="C7" s="220" t="s">
        <v>259</v>
      </c>
      <c r="D7" s="221"/>
    </row>
    <row r="9" spans="2:9" s="597" customFormat="1" ht="41" customHeight="1">
      <c r="B9" s="1122" t="s">
        <v>392</v>
      </c>
      <c r="C9" s="1122"/>
      <c r="D9" s="1122"/>
      <c r="E9" s="1122"/>
      <c r="F9" s="1122"/>
      <c r="G9" s="1122"/>
      <c r="H9" s="1122"/>
      <c r="I9" s="1122"/>
    </row>
    <row r="10" spans="2:9">
      <c r="B10" s="1121" t="s">
        <v>393</v>
      </c>
      <c r="C10" s="1121"/>
      <c r="D10" s="1121"/>
      <c r="E10" s="1121"/>
      <c r="F10" s="1121"/>
      <c r="G10" s="1121"/>
      <c r="H10" s="1121"/>
      <c r="I10" s="1121"/>
    </row>
    <row r="11" spans="2:9">
      <c r="B11" s="1121"/>
      <c r="C11" s="1121"/>
      <c r="D11" s="1121"/>
      <c r="E11" s="1121"/>
      <c r="F11" s="1121"/>
      <c r="G11" s="1121"/>
      <c r="H11" s="1121"/>
      <c r="I11" s="1121"/>
    </row>
    <row r="12" spans="2:9">
      <c r="B12" s="1121"/>
      <c r="C12" s="1121"/>
      <c r="D12" s="1121"/>
      <c r="E12" s="1121"/>
      <c r="F12" s="1121"/>
      <c r="G12" s="1121"/>
      <c r="H12" s="1121"/>
      <c r="I12" s="1121"/>
    </row>
    <row r="13" spans="2:9">
      <c r="B13" s="1121"/>
      <c r="C13" s="1121"/>
      <c r="D13" s="1121"/>
      <c r="E13" s="1121"/>
      <c r="F13" s="1121"/>
      <c r="G13" s="1121"/>
      <c r="H13" s="1121"/>
      <c r="I13" s="1121"/>
    </row>
    <row r="14" spans="2:9">
      <c r="B14" s="1121"/>
      <c r="C14" s="1121"/>
      <c r="D14" s="1121"/>
      <c r="E14" s="1121"/>
      <c r="F14" s="1121"/>
      <c r="G14" s="1121"/>
      <c r="H14" s="1121"/>
      <c r="I14" s="1121"/>
    </row>
    <row r="15" spans="2:9">
      <c r="B15" s="1121"/>
      <c r="C15" s="1121"/>
      <c r="D15" s="1121"/>
      <c r="E15" s="1121"/>
      <c r="F15" s="1121"/>
      <c r="G15" s="1121"/>
      <c r="H15" s="1121"/>
      <c r="I15" s="1121"/>
    </row>
    <row r="16" spans="2:9">
      <c r="B16" s="1121"/>
      <c r="C16" s="1121"/>
      <c r="D16" s="1121"/>
      <c r="E16" s="1121"/>
      <c r="F16" s="1121"/>
      <c r="G16" s="1121"/>
      <c r="H16" s="1121"/>
      <c r="I16" s="1121"/>
    </row>
    <row r="17" spans="2:9">
      <c r="B17" s="1121"/>
      <c r="C17" s="1121"/>
      <c r="D17" s="1121"/>
      <c r="E17" s="1121"/>
      <c r="F17" s="1121"/>
      <c r="G17" s="1121"/>
      <c r="H17" s="1121"/>
      <c r="I17" s="1121"/>
    </row>
    <row r="18" spans="2:9">
      <c r="B18" s="1121"/>
      <c r="C18" s="1121"/>
      <c r="D18" s="1121"/>
      <c r="E18" s="1121"/>
      <c r="F18" s="1121"/>
      <c r="G18" s="1121"/>
      <c r="H18" s="1121"/>
      <c r="I18" s="1121"/>
    </row>
    <row r="19" spans="2:9">
      <c r="B19" s="1121"/>
      <c r="C19" s="1121"/>
      <c r="D19" s="1121"/>
      <c r="E19" s="1121"/>
      <c r="F19" s="1121"/>
      <c r="G19" s="1121"/>
      <c r="H19" s="1121"/>
      <c r="I19" s="1121"/>
    </row>
    <row r="20" spans="2:9">
      <c r="B20" s="1121"/>
      <c r="C20" s="1121"/>
      <c r="D20" s="1121"/>
      <c r="E20" s="1121"/>
      <c r="F20" s="1121"/>
      <c r="G20" s="1121"/>
      <c r="H20" s="1121"/>
      <c r="I20" s="1121"/>
    </row>
    <row r="21" spans="2:9">
      <c r="B21" s="1121"/>
      <c r="C21" s="1121"/>
      <c r="D21" s="1121"/>
      <c r="E21" s="1121"/>
      <c r="F21" s="1121"/>
      <c r="G21" s="1121"/>
      <c r="H21" s="1121"/>
      <c r="I21" s="1121"/>
    </row>
    <row r="22" spans="2:9">
      <c r="B22" s="1121"/>
      <c r="C22" s="1121"/>
      <c r="D22" s="1121"/>
      <c r="E22" s="1121"/>
      <c r="F22" s="1121"/>
      <c r="G22" s="1121"/>
      <c r="H22" s="1121"/>
      <c r="I22" s="1121"/>
    </row>
    <row r="23" spans="2:9">
      <c r="B23" s="1121"/>
      <c r="C23" s="1121"/>
      <c r="D23" s="1121"/>
      <c r="E23" s="1121"/>
      <c r="F23" s="1121"/>
      <c r="G23" s="1121"/>
      <c r="H23" s="1121"/>
      <c r="I23" s="1121"/>
    </row>
    <row r="24" spans="2:9">
      <c r="B24" s="1121"/>
      <c r="C24" s="1121"/>
      <c r="D24" s="1121"/>
      <c r="E24" s="1121"/>
      <c r="F24" s="1121"/>
      <c r="G24" s="1121"/>
      <c r="H24" s="1121"/>
      <c r="I24" s="1121"/>
    </row>
    <row r="25" spans="2:9">
      <c r="B25" s="1121"/>
      <c r="C25" s="1121"/>
      <c r="D25" s="1121"/>
      <c r="E25" s="1121"/>
      <c r="F25" s="1121"/>
      <c r="G25" s="1121"/>
      <c r="H25" s="1121"/>
      <c r="I25" s="1121"/>
    </row>
    <row r="26" spans="2:9">
      <c r="B26" s="1121"/>
      <c r="C26" s="1121"/>
      <c r="D26" s="1121"/>
      <c r="E26" s="1121"/>
      <c r="F26" s="1121"/>
      <c r="G26" s="1121"/>
      <c r="H26" s="1121"/>
      <c r="I26" s="1121"/>
    </row>
    <row r="27" spans="2:9">
      <c r="B27" s="1121"/>
      <c r="C27" s="1121"/>
      <c r="D27" s="1121"/>
      <c r="E27" s="1121"/>
      <c r="F27" s="1121"/>
      <c r="G27" s="1121"/>
      <c r="H27" s="1121"/>
      <c r="I27" s="1121"/>
    </row>
    <row r="28" spans="2:9">
      <c r="B28" s="1121"/>
      <c r="C28" s="1121"/>
      <c r="D28" s="1121"/>
      <c r="E28" s="1121"/>
      <c r="F28" s="1121"/>
      <c r="G28" s="1121"/>
      <c r="H28" s="1121"/>
      <c r="I28" s="1121"/>
    </row>
    <row r="29" spans="2:9">
      <c r="B29" s="1121"/>
      <c r="C29" s="1121"/>
      <c r="D29" s="1121"/>
      <c r="E29" s="1121"/>
      <c r="F29" s="1121"/>
      <c r="G29" s="1121"/>
      <c r="H29" s="1121"/>
      <c r="I29" s="1121"/>
    </row>
    <row r="30" spans="2:9">
      <c r="B30" s="1121"/>
      <c r="C30" s="1121"/>
      <c r="D30" s="1121"/>
      <c r="E30" s="1121"/>
      <c r="F30" s="1121"/>
      <c r="G30" s="1121"/>
      <c r="H30" s="1121"/>
      <c r="I30" s="1121"/>
    </row>
    <row r="31" spans="2:9">
      <c r="B31" s="1121"/>
      <c r="C31" s="1121"/>
      <c r="D31" s="1121"/>
      <c r="E31" s="1121"/>
      <c r="F31" s="1121"/>
      <c r="G31" s="1121"/>
      <c r="H31" s="1121"/>
      <c r="I31" s="1121"/>
    </row>
    <row r="32" spans="2:9">
      <c r="B32" s="1121"/>
      <c r="C32" s="1121"/>
      <c r="D32" s="1121"/>
      <c r="E32" s="1121"/>
      <c r="F32" s="1121"/>
      <c r="G32" s="1121"/>
      <c r="H32" s="1121"/>
      <c r="I32" s="1121"/>
    </row>
    <row r="33" spans="2:9">
      <c r="B33" s="1121"/>
      <c r="C33" s="1121"/>
      <c r="D33" s="1121"/>
      <c r="E33" s="1121"/>
      <c r="F33" s="1121"/>
      <c r="G33" s="1121"/>
      <c r="H33" s="1121"/>
      <c r="I33" s="1121"/>
    </row>
    <row r="34" spans="2:9">
      <c r="B34" s="1121"/>
      <c r="C34" s="1121"/>
      <c r="D34" s="1121"/>
      <c r="E34" s="1121"/>
      <c r="F34" s="1121"/>
      <c r="G34" s="1121"/>
      <c r="H34" s="1121"/>
      <c r="I34" s="1121"/>
    </row>
    <row r="35" spans="2:9">
      <c r="B35" s="1121"/>
      <c r="C35" s="1121"/>
      <c r="D35" s="1121"/>
      <c r="E35" s="1121"/>
      <c r="F35" s="1121"/>
      <c r="G35" s="1121"/>
      <c r="H35" s="1121"/>
      <c r="I35" s="1121"/>
    </row>
    <row r="36" spans="2:9">
      <c r="B36" s="1121"/>
      <c r="C36" s="1121"/>
      <c r="D36" s="1121"/>
      <c r="E36" s="1121"/>
      <c r="F36" s="1121"/>
      <c r="G36" s="1121"/>
      <c r="H36" s="1121"/>
      <c r="I36" s="1121"/>
    </row>
    <row r="37" spans="2:9">
      <c r="B37" s="1121"/>
      <c r="C37" s="1121"/>
      <c r="D37" s="1121"/>
      <c r="E37" s="1121"/>
      <c r="F37" s="1121"/>
      <c r="G37" s="1121"/>
      <c r="H37" s="1121"/>
      <c r="I37" s="1121"/>
    </row>
    <row r="38" spans="2:9">
      <c r="B38" s="1121"/>
      <c r="C38" s="1121"/>
      <c r="D38" s="1121"/>
      <c r="E38" s="1121"/>
      <c r="F38" s="1121"/>
      <c r="G38" s="1121"/>
      <c r="H38" s="1121"/>
      <c r="I38" s="1121"/>
    </row>
    <row r="39" spans="2:9">
      <c r="B39" s="1121"/>
      <c r="C39" s="1121"/>
      <c r="D39" s="1121"/>
      <c r="E39" s="1121"/>
      <c r="F39" s="1121"/>
      <c r="G39" s="1121"/>
      <c r="H39" s="1121"/>
      <c r="I39" s="1121"/>
    </row>
    <row r="40" spans="2:9">
      <c r="B40" s="1121"/>
      <c r="C40" s="1121"/>
      <c r="D40" s="1121"/>
      <c r="E40" s="1121"/>
      <c r="F40" s="1121"/>
      <c r="G40" s="1121"/>
      <c r="H40" s="1121"/>
      <c r="I40" s="1121"/>
    </row>
    <row r="41" spans="2:9">
      <c r="B41" s="1121"/>
      <c r="C41" s="1121"/>
      <c r="D41" s="1121"/>
      <c r="E41" s="1121"/>
      <c r="F41" s="1121"/>
      <c r="G41" s="1121"/>
      <c r="H41" s="1121"/>
      <c r="I41" s="1121"/>
    </row>
    <row r="42" spans="2:9">
      <c r="B42" s="1121"/>
      <c r="C42" s="1121"/>
      <c r="D42" s="1121"/>
      <c r="E42" s="1121"/>
      <c r="F42" s="1121"/>
      <c r="G42" s="1121"/>
      <c r="H42" s="1121"/>
      <c r="I42" s="1121"/>
    </row>
    <row r="43" spans="2:9">
      <c r="B43" s="1121"/>
      <c r="C43" s="1121"/>
      <c r="D43" s="1121"/>
      <c r="E43" s="1121"/>
      <c r="F43" s="1121"/>
      <c r="G43" s="1121"/>
      <c r="H43" s="1121"/>
      <c r="I43" s="1121"/>
    </row>
    <row r="44" spans="2:9">
      <c r="B44" s="1121"/>
      <c r="C44" s="1121"/>
      <c r="D44" s="1121"/>
      <c r="E44" s="1121"/>
      <c r="F44" s="1121"/>
      <c r="G44" s="1121"/>
      <c r="H44" s="1121"/>
      <c r="I44" s="1121"/>
    </row>
    <row r="45" spans="2:9">
      <c r="B45" s="1121"/>
      <c r="C45" s="1121"/>
      <c r="D45" s="1121"/>
      <c r="E45" s="1121"/>
      <c r="F45" s="1121"/>
      <c r="G45" s="1121"/>
      <c r="H45" s="1121"/>
      <c r="I45" s="1121"/>
    </row>
    <row r="46" spans="2:9">
      <c r="B46" s="1121"/>
      <c r="C46" s="1121"/>
      <c r="D46" s="1121"/>
      <c r="E46" s="1121"/>
      <c r="F46" s="1121"/>
      <c r="G46" s="1121"/>
      <c r="H46" s="1121"/>
      <c r="I46" s="1121"/>
    </row>
    <row r="47" spans="2:9">
      <c r="B47" s="1121"/>
      <c r="C47" s="1121"/>
      <c r="D47" s="1121"/>
      <c r="E47" s="1121"/>
      <c r="F47" s="1121"/>
      <c r="G47" s="1121"/>
      <c r="H47" s="1121"/>
      <c r="I47" s="1121"/>
    </row>
    <row r="48" spans="2:9">
      <c r="B48" s="1121"/>
      <c r="C48" s="1121"/>
      <c r="D48" s="1121"/>
      <c r="E48" s="1121"/>
      <c r="F48" s="1121"/>
      <c r="G48" s="1121"/>
      <c r="H48" s="1121"/>
      <c r="I48" s="1121"/>
    </row>
  </sheetData>
  <mergeCells count="3">
    <mergeCell ref="B4:D4"/>
    <mergeCell ref="B10:I48"/>
    <mergeCell ref="B9:I9"/>
  </mergeCells>
  <conditionalFormatting sqref="B4">
    <cfRule type="expression" dxfId="24" priority="1" stopIfTrue="1">
      <formula>AND($B4="Total Income",B$89&lt;&gt;"")</formula>
    </cfRule>
  </conditionalFormatting>
  <hyperlinks>
    <hyperlink ref="C7" r:id="rId1" xr:uid="{9F1E6AC4-C6B1-2443-91A9-016F9F8EAC3D}"/>
  </hyperlinks>
  <pageMargins left="0.25" right="0.25" top="0.25" bottom="0.25" header="0" footer="0"/>
  <pageSetup scale="77"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83EC-3E9C-8144-81A2-E2F7C5198D4D}">
  <sheetPr>
    <tabColor theme="2" tint="-9.9978637043366805E-2"/>
    <pageSetUpPr fitToPage="1"/>
  </sheetPr>
  <dimension ref="A2:T87"/>
  <sheetViews>
    <sheetView showGridLines="0" workbookViewId="0">
      <selection activeCell="I2" sqref="I2"/>
    </sheetView>
  </sheetViews>
  <sheetFormatPr baseColWidth="10" defaultRowHeight="16"/>
  <cols>
    <col min="1" max="1" width="3.83203125" customWidth="1"/>
    <col min="2" max="2" width="30.5" customWidth="1"/>
    <col min="3" max="3" width="14.83203125" customWidth="1"/>
    <col min="10" max="10" width="50" customWidth="1"/>
    <col min="13" max="13" width="14.33203125" customWidth="1"/>
  </cols>
  <sheetData>
    <row r="2" spans="1:20" s="415" customFormat="1" ht="21" thickBot="1">
      <c r="B2" s="415" t="s">
        <v>260</v>
      </c>
      <c r="H2" s="1015"/>
      <c r="I2" s="1016" t="s">
        <v>744</v>
      </c>
    </row>
    <row r="3" spans="1:20">
      <c r="A3" s="223"/>
      <c r="B3" s="224"/>
      <c r="C3" s="224"/>
      <c r="D3" s="224"/>
      <c r="E3" s="224"/>
      <c r="F3" s="224"/>
      <c r="G3" s="224"/>
      <c r="H3" s="224"/>
      <c r="I3" s="224"/>
      <c r="J3" s="225"/>
    </row>
    <row r="4" spans="1:20" ht="19" thickBot="1">
      <c r="A4" s="226"/>
      <c r="B4" s="222" t="s">
        <v>263</v>
      </c>
      <c r="C4" s="222"/>
      <c r="D4" s="222"/>
      <c r="E4" s="222"/>
      <c r="F4" s="227"/>
      <c r="G4" s="227"/>
      <c r="H4" s="227"/>
      <c r="I4" s="227"/>
      <c r="J4" s="228"/>
      <c r="L4" s="222" t="s">
        <v>282</v>
      </c>
      <c r="M4" s="222"/>
    </row>
    <row r="5" spans="1:20">
      <c r="A5" s="226"/>
      <c r="C5" s="227"/>
      <c r="D5" s="227"/>
      <c r="E5" s="227"/>
      <c r="F5" s="227"/>
      <c r="G5" s="227"/>
      <c r="H5" s="227"/>
      <c r="I5" s="227"/>
      <c r="J5" s="228"/>
    </row>
    <row r="6" spans="1:20">
      <c r="A6" s="226"/>
      <c r="B6" s="236" t="s">
        <v>264</v>
      </c>
      <c r="C6" s="237"/>
      <c r="D6" s="237"/>
      <c r="E6" s="237"/>
      <c r="F6" s="237"/>
      <c r="G6" s="237"/>
      <c r="H6" s="237"/>
      <c r="I6" s="237"/>
      <c r="J6" s="238"/>
      <c r="L6" s="236" t="s">
        <v>287</v>
      </c>
      <c r="M6" s="4"/>
      <c r="N6" s="4"/>
      <c r="O6" s="246"/>
    </row>
    <row r="7" spans="1:20">
      <c r="A7" s="226"/>
      <c r="B7" s="108"/>
      <c r="C7" s="227"/>
      <c r="D7" s="227"/>
      <c r="E7" s="227"/>
      <c r="F7" s="227"/>
      <c r="G7" s="227"/>
      <c r="H7" s="227"/>
      <c r="I7" s="227"/>
      <c r="J7" s="239"/>
      <c r="L7" s="247"/>
      <c r="M7" t="s">
        <v>288</v>
      </c>
      <c r="O7" s="15"/>
    </row>
    <row r="8" spans="1:20">
      <c r="A8" s="226"/>
      <c r="B8" s="161" t="s">
        <v>261</v>
      </c>
      <c r="C8" s="4" t="s">
        <v>262</v>
      </c>
      <c r="D8" s="237"/>
      <c r="E8" s="237"/>
      <c r="F8" s="237"/>
      <c r="G8" s="237"/>
      <c r="H8" s="237"/>
      <c r="I8" s="237"/>
      <c r="J8" s="238"/>
      <c r="L8" s="248"/>
      <c r="M8" t="s">
        <v>289</v>
      </c>
      <c r="O8" s="15"/>
      <c r="T8" s="3"/>
    </row>
    <row r="9" spans="1:20">
      <c r="A9" s="226"/>
      <c r="B9" s="14"/>
      <c r="C9" t="s">
        <v>283</v>
      </c>
      <c r="D9" s="227"/>
      <c r="E9" s="227"/>
      <c r="F9" s="227"/>
      <c r="G9" s="227"/>
      <c r="H9" s="227"/>
      <c r="I9" s="227"/>
      <c r="J9" s="239"/>
      <c r="L9" s="249"/>
      <c r="M9" s="139" t="s">
        <v>290</v>
      </c>
      <c r="N9" s="139"/>
      <c r="O9" s="17"/>
    </row>
    <row r="10" spans="1:20">
      <c r="A10" s="226"/>
      <c r="B10" s="19"/>
      <c r="C10" s="139" t="s">
        <v>284</v>
      </c>
      <c r="D10" s="234"/>
      <c r="E10" s="234"/>
      <c r="F10" s="234"/>
      <c r="G10" s="234"/>
      <c r="H10" s="234"/>
      <c r="I10" s="234"/>
      <c r="J10" s="240"/>
      <c r="L10" s="14"/>
      <c r="O10" s="15"/>
    </row>
    <row r="11" spans="1:20">
      <c r="A11" s="226"/>
      <c r="B11" s="121" t="s">
        <v>268</v>
      </c>
      <c r="C11" s="227" t="s">
        <v>269</v>
      </c>
      <c r="D11" s="227"/>
      <c r="E11" s="227"/>
      <c r="F11" s="227"/>
      <c r="G11" s="227"/>
      <c r="H11" s="227"/>
      <c r="I11" s="227"/>
      <c r="J11" s="239"/>
      <c r="L11" s="236" t="s">
        <v>291</v>
      </c>
      <c r="M11" s="4"/>
      <c r="N11" s="4"/>
      <c r="O11" s="246"/>
    </row>
    <row r="12" spans="1:20">
      <c r="A12" s="226"/>
      <c r="B12" s="19"/>
      <c r="C12" s="234" t="s">
        <v>270</v>
      </c>
      <c r="D12" s="234"/>
      <c r="E12" s="234"/>
      <c r="F12" s="234"/>
      <c r="G12" s="234"/>
      <c r="H12" s="234"/>
      <c r="I12" s="234"/>
      <c r="J12" s="240"/>
      <c r="L12" s="250"/>
      <c r="M12" t="s">
        <v>292</v>
      </c>
      <c r="O12" s="15"/>
    </row>
    <row r="13" spans="1:20">
      <c r="A13" s="226"/>
      <c r="B13" s="241" t="s">
        <v>271</v>
      </c>
      <c r="C13" s="235" t="s">
        <v>272</v>
      </c>
      <c r="D13" s="235"/>
      <c r="E13" s="235"/>
      <c r="F13" s="235"/>
      <c r="G13" s="235"/>
      <c r="H13" s="235"/>
      <c r="I13" s="235"/>
      <c r="J13" s="242"/>
      <c r="L13" s="251"/>
      <c r="M13" t="s">
        <v>293</v>
      </c>
      <c r="O13" s="15"/>
    </row>
    <row r="14" spans="1:20">
      <c r="A14" s="226"/>
      <c r="B14" s="140"/>
      <c r="C14" s="227"/>
      <c r="D14" s="227"/>
      <c r="E14" s="227"/>
      <c r="F14" s="227"/>
      <c r="G14" s="227"/>
      <c r="H14" s="227"/>
      <c r="I14" s="227"/>
      <c r="J14" s="228"/>
      <c r="L14" s="252"/>
      <c r="M14" t="s">
        <v>294</v>
      </c>
      <c r="O14" s="15"/>
    </row>
    <row r="15" spans="1:20">
      <c r="A15" s="226"/>
      <c r="B15" s="236" t="s">
        <v>273</v>
      </c>
      <c r="C15" s="237"/>
      <c r="D15" s="237"/>
      <c r="E15" s="237"/>
      <c r="F15" s="237"/>
      <c r="G15" s="237"/>
      <c r="H15" s="237"/>
      <c r="I15" s="237"/>
      <c r="J15" s="238"/>
      <c r="L15" s="253"/>
      <c r="M15" s="139" t="s">
        <v>295</v>
      </c>
      <c r="N15" s="139"/>
      <c r="O15" s="17"/>
    </row>
    <row r="16" spans="1:20">
      <c r="A16" s="226"/>
      <c r="B16" s="243"/>
      <c r="C16" s="227"/>
      <c r="D16" s="227"/>
      <c r="E16" s="227"/>
      <c r="F16" s="227"/>
      <c r="G16" s="227"/>
      <c r="H16" s="227"/>
      <c r="I16" s="227"/>
      <c r="J16" s="239"/>
    </row>
    <row r="17" spans="1:13" ht="19" thickBot="1">
      <c r="A17" s="226"/>
      <c r="B17" s="161" t="s">
        <v>274</v>
      </c>
      <c r="C17" s="237" t="s">
        <v>285</v>
      </c>
      <c r="D17" s="237"/>
      <c r="E17" s="237"/>
      <c r="F17" s="237"/>
      <c r="G17" s="237"/>
      <c r="H17" s="237"/>
      <c r="I17" s="237"/>
      <c r="J17" s="238"/>
      <c r="L17" s="222" t="s">
        <v>514</v>
      </c>
      <c r="M17" s="222"/>
    </row>
    <row r="18" spans="1:13">
      <c r="A18" s="226"/>
      <c r="B18" s="244"/>
      <c r="C18" s="234" t="s">
        <v>275</v>
      </c>
      <c r="D18" s="234"/>
      <c r="E18" s="234"/>
      <c r="F18" s="234"/>
      <c r="G18" s="234"/>
      <c r="H18" s="234"/>
      <c r="I18" s="234"/>
      <c r="J18" s="240"/>
    </row>
    <row r="19" spans="1:13">
      <c r="A19" s="226"/>
      <c r="B19" s="245" t="s">
        <v>276</v>
      </c>
      <c r="C19" s="235" t="s">
        <v>277</v>
      </c>
      <c r="D19" s="235"/>
      <c r="E19" s="235"/>
      <c r="F19" s="235"/>
      <c r="G19" s="235"/>
      <c r="H19" s="235"/>
      <c r="I19" s="235"/>
      <c r="J19" s="242"/>
      <c r="L19" s="3" t="s">
        <v>515</v>
      </c>
    </row>
    <row r="20" spans="1:13">
      <c r="A20" s="226"/>
      <c r="B20" s="229"/>
      <c r="C20" s="227"/>
      <c r="D20" s="227"/>
      <c r="E20" s="227"/>
      <c r="F20" s="227"/>
      <c r="G20" s="227"/>
      <c r="H20" s="227"/>
      <c r="I20" s="227"/>
      <c r="J20" s="228"/>
    </row>
    <row r="21" spans="1:13">
      <c r="A21" s="226"/>
      <c r="B21" s="236" t="s">
        <v>265</v>
      </c>
      <c r="C21" s="237"/>
      <c r="D21" s="237"/>
      <c r="E21" s="237"/>
      <c r="F21" s="237"/>
      <c r="G21" s="237"/>
      <c r="H21" s="237"/>
      <c r="I21" s="237"/>
      <c r="J21" s="238"/>
    </row>
    <row r="22" spans="1:13">
      <c r="A22" s="226"/>
      <c r="B22" s="956"/>
      <c r="C22" s="234"/>
      <c r="D22" s="234"/>
      <c r="E22" s="234"/>
      <c r="F22" s="234"/>
      <c r="G22" s="234"/>
      <c r="H22" s="234"/>
      <c r="I22" s="234"/>
      <c r="J22" s="240"/>
    </row>
    <row r="23" spans="1:13">
      <c r="A23" s="226"/>
      <c r="B23" s="161" t="s">
        <v>278</v>
      </c>
      <c r="C23" s="237" t="s">
        <v>789</v>
      </c>
      <c r="D23" s="237"/>
      <c r="E23" s="237"/>
      <c r="F23" s="237"/>
      <c r="G23" s="237"/>
      <c r="H23" s="237"/>
      <c r="I23" s="237"/>
      <c r="J23" s="238"/>
    </row>
    <row r="24" spans="1:13">
      <c r="A24" s="226"/>
      <c r="B24" s="243"/>
      <c r="C24" t="s">
        <v>286</v>
      </c>
      <c r="D24" s="227"/>
      <c r="E24" s="227"/>
      <c r="F24" s="227"/>
      <c r="G24" s="227"/>
      <c r="H24" s="227"/>
      <c r="I24" s="227"/>
      <c r="J24" s="239"/>
    </row>
    <row r="25" spans="1:13">
      <c r="A25" s="226"/>
      <c r="B25" s="19"/>
      <c r="C25" s="234" t="s">
        <v>279</v>
      </c>
      <c r="D25" s="234"/>
      <c r="E25" s="234"/>
      <c r="F25" s="234"/>
      <c r="G25" s="234"/>
      <c r="H25" s="234"/>
      <c r="I25" s="234"/>
      <c r="J25" s="240"/>
    </row>
    <row r="26" spans="1:13">
      <c r="A26" s="226"/>
      <c r="B26" s="245" t="s">
        <v>280</v>
      </c>
      <c r="C26" s="235" t="s">
        <v>790</v>
      </c>
      <c r="D26" s="235"/>
      <c r="E26" s="235"/>
      <c r="F26" s="235"/>
      <c r="G26" s="235"/>
      <c r="H26" s="235"/>
      <c r="I26" s="235"/>
      <c r="J26" s="242"/>
    </row>
    <row r="27" spans="1:13">
      <c r="A27" s="226"/>
      <c r="B27" s="236" t="s">
        <v>281</v>
      </c>
      <c r="C27" s="237" t="s">
        <v>791</v>
      </c>
      <c r="D27" s="237"/>
      <c r="E27" s="237"/>
      <c r="F27" s="237"/>
      <c r="G27" s="237"/>
      <c r="H27" s="237"/>
      <c r="I27" s="237"/>
      <c r="J27" s="238"/>
    </row>
    <row r="28" spans="1:13">
      <c r="A28" s="226"/>
      <c r="B28" s="243"/>
      <c r="C28" s="227" t="s">
        <v>792</v>
      </c>
      <c r="D28" s="227"/>
      <c r="E28" s="227"/>
      <c r="F28" s="227"/>
      <c r="G28" s="227"/>
      <c r="H28" s="227"/>
      <c r="I28" s="227"/>
      <c r="J28" s="239"/>
    </row>
    <row r="29" spans="1:13">
      <c r="B29" s="956"/>
      <c r="C29" s="234" t="s">
        <v>733</v>
      </c>
      <c r="D29" s="139"/>
      <c r="E29" s="139"/>
      <c r="F29" s="139"/>
      <c r="G29" s="139"/>
      <c r="H29" s="139"/>
      <c r="I29" s="139"/>
      <c r="J29" s="17"/>
    </row>
    <row r="30" spans="1:13">
      <c r="A30" s="226"/>
      <c r="B30" s="230"/>
      <c r="C30" s="227"/>
      <c r="D30" s="227"/>
      <c r="E30" s="227"/>
      <c r="F30" s="227"/>
      <c r="G30" s="227"/>
      <c r="H30" s="227"/>
      <c r="I30" s="227"/>
      <c r="J30" s="228"/>
    </row>
    <row r="31" spans="1:13">
      <c r="A31" s="226"/>
      <c r="B31" s="957" t="s">
        <v>673</v>
      </c>
      <c r="C31" s="237"/>
      <c r="D31" s="237"/>
      <c r="E31" s="237"/>
      <c r="F31" s="237"/>
      <c r="G31" s="237"/>
      <c r="H31" s="237"/>
      <c r="I31" s="237"/>
      <c r="J31" s="238"/>
    </row>
    <row r="32" spans="1:13">
      <c r="A32" s="226"/>
      <c r="B32" s="244"/>
      <c r="C32" s="234"/>
      <c r="D32" s="234"/>
      <c r="E32" s="234"/>
      <c r="F32" s="234"/>
      <c r="G32" s="234"/>
      <c r="H32" s="234"/>
      <c r="I32" s="234"/>
      <c r="J32" s="240"/>
    </row>
    <row r="33" spans="1:10">
      <c r="A33" s="226"/>
      <c r="B33" s="961" t="s">
        <v>674</v>
      </c>
      <c r="C33" s="958" t="s">
        <v>675</v>
      </c>
      <c r="D33" s="235"/>
      <c r="E33" s="235"/>
      <c r="F33" s="235"/>
      <c r="G33" s="235"/>
      <c r="H33" s="235"/>
      <c r="I33" s="235"/>
      <c r="J33" s="242"/>
    </row>
    <row r="34" spans="1:10">
      <c r="A34" s="226"/>
      <c r="B34" s="961" t="s">
        <v>676</v>
      </c>
      <c r="C34" s="958" t="s">
        <v>734</v>
      </c>
      <c r="D34" s="235"/>
      <c r="E34" s="235"/>
      <c r="F34" s="235"/>
      <c r="G34" s="235"/>
      <c r="H34" s="235"/>
      <c r="I34" s="235"/>
      <c r="J34" s="242"/>
    </row>
    <row r="35" spans="1:10">
      <c r="A35" s="226"/>
      <c r="B35" s="961" t="s">
        <v>677</v>
      </c>
      <c r="C35" s="958" t="s">
        <v>803</v>
      </c>
      <c r="D35" s="235"/>
      <c r="E35" s="235"/>
      <c r="F35" s="235" t="s">
        <v>793</v>
      </c>
      <c r="G35" s="235"/>
      <c r="H35" s="235"/>
      <c r="I35" s="235"/>
      <c r="J35" s="242"/>
    </row>
    <row r="36" spans="1:10">
      <c r="A36" s="226"/>
      <c r="B36" s="961" t="s">
        <v>678</v>
      </c>
      <c r="C36" s="958" t="s">
        <v>735</v>
      </c>
      <c r="D36" s="235"/>
      <c r="E36" s="235"/>
      <c r="F36" s="235" t="s">
        <v>735</v>
      </c>
      <c r="G36" s="235"/>
      <c r="H36" s="235"/>
      <c r="I36" s="235"/>
      <c r="J36" s="242"/>
    </row>
    <row r="37" spans="1:10">
      <c r="A37" s="226"/>
      <c r="B37" s="962"/>
      <c r="C37" s="227"/>
      <c r="D37" s="227"/>
      <c r="E37" s="227"/>
      <c r="F37" s="227"/>
      <c r="G37" s="227"/>
      <c r="H37" s="227"/>
      <c r="I37" s="227"/>
      <c r="J37" s="228"/>
    </row>
    <row r="38" spans="1:10">
      <c r="A38" s="226"/>
      <c r="B38" s="236" t="s">
        <v>266</v>
      </c>
      <c r="C38" s="237"/>
      <c r="D38" s="237"/>
      <c r="E38" s="237"/>
      <c r="F38" s="237"/>
      <c r="G38" s="237"/>
      <c r="H38" s="237"/>
      <c r="I38" s="237"/>
      <c r="J38" s="238"/>
    </row>
    <row r="39" spans="1:10">
      <c r="A39" s="226"/>
      <c r="B39" s="956"/>
      <c r="C39" s="234"/>
      <c r="D39" s="234"/>
      <c r="E39" s="234"/>
      <c r="F39" s="234"/>
      <c r="G39" s="234"/>
      <c r="H39" s="234"/>
      <c r="I39" s="234"/>
      <c r="J39" s="240"/>
    </row>
    <row r="40" spans="1:10">
      <c r="A40" s="226"/>
      <c r="B40" s="963" t="s">
        <v>679</v>
      </c>
      <c r="C40" s="959" t="s">
        <v>680</v>
      </c>
      <c r="D40" s="234"/>
      <c r="E40" s="234"/>
      <c r="F40" s="234"/>
      <c r="G40" s="234"/>
      <c r="H40" s="234"/>
      <c r="I40" s="234"/>
      <c r="J40" s="240"/>
    </row>
    <row r="41" spans="1:10">
      <c r="A41" s="226"/>
      <c r="B41" s="961" t="s">
        <v>681</v>
      </c>
      <c r="C41" s="958" t="s">
        <v>682</v>
      </c>
      <c r="D41" s="235"/>
      <c r="E41" s="235"/>
      <c r="F41" s="235"/>
      <c r="G41" s="235"/>
      <c r="H41" s="235"/>
      <c r="I41" s="235"/>
      <c r="J41" s="242"/>
    </row>
    <row r="42" spans="1:10">
      <c r="A42" s="226"/>
      <c r="B42" s="961" t="s">
        <v>683</v>
      </c>
      <c r="C42" s="958" t="s">
        <v>684</v>
      </c>
      <c r="D42" s="235"/>
      <c r="E42" s="235"/>
      <c r="F42" s="235"/>
      <c r="G42" s="235"/>
      <c r="H42" s="235"/>
      <c r="I42" s="235"/>
      <c r="J42" s="242"/>
    </row>
    <row r="43" spans="1:10">
      <c r="A43" s="226"/>
      <c r="B43" s="961" t="s">
        <v>685</v>
      </c>
      <c r="C43" s="958" t="s">
        <v>686</v>
      </c>
      <c r="D43" s="235"/>
      <c r="E43" s="235"/>
      <c r="F43" s="235"/>
      <c r="G43" s="235"/>
      <c r="H43" s="235"/>
      <c r="I43" s="235"/>
      <c r="J43" s="242"/>
    </row>
    <row r="44" spans="1:10">
      <c r="A44" s="231"/>
      <c r="B44" s="960" t="s">
        <v>687</v>
      </c>
      <c r="C44" s="958" t="s">
        <v>688</v>
      </c>
      <c r="D44" s="235"/>
      <c r="E44" s="235"/>
      <c r="F44" s="235"/>
      <c r="G44" s="235"/>
      <c r="H44" s="235"/>
      <c r="I44" s="235"/>
      <c r="J44" s="242"/>
    </row>
    <row r="46" spans="1:10">
      <c r="A46" s="223"/>
      <c r="B46" s="224"/>
      <c r="C46" s="224"/>
      <c r="D46" s="224"/>
      <c r="E46" s="224"/>
      <c r="F46" s="224"/>
      <c r="G46" s="224"/>
      <c r="H46" s="224"/>
      <c r="I46" s="224"/>
      <c r="J46" s="225"/>
    </row>
    <row r="47" spans="1:10" ht="19" thickBot="1">
      <c r="A47" s="226"/>
      <c r="B47" s="222" t="s">
        <v>267</v>
      </c>
      <c r="C47" s="222"/>
      <c r="D47" s="222"/>
      <c r="E47" s="222"/>
      <c r="F47" s="227"/>
      <c r="G47" s="227"/>
      <c r="H47" s="227"/>
      <c r="I47" s="227"/>
      <c r="J47" s="228"/>
    </row>
    <row r="48" spans="1:10">
      <c r="A48" s="226"/>
      <c r="B48" s="227"/>
      <c r="C48" s="227"/>
      <c r="D48" s="227"/>
      <c r="E48" s="227"/>
      <c r="F48" s="227"/>
      <c r="G48" s="227"/>
      <c r="H48" s="227"/>
      <c r="I48" s="227"/>
      <c r="J48" s="228"/>
    </row>
    <row r="49" spans="1:10">
      <c r="A49" s="226"/>
      <c r="B49" s="945" t="s">
        <v>689</v>
      </c>
      <c r="C49" s="946"/>
      <c r="D49" s="945" t="s">
        <v>690</v>
      </c>
      <c r="E49" s="946"/>
      <c r="F49" s="945" t="s">
        <v>691</v>
      </c>
      <c r="G49" s="227"/>
      <c r="H49" s="227"/>
      <c r="I49" s="227"/>
      <c r="J49" s="228"/>
    </row>
    <row r="50" spans="1:10">
      <c r="A50" s="226"/>
      <c r="B50" s="944" t="s">
        <v>252</v>
      </c>
      <c r="C50" s="947"/>
      <c r="D50" s="943" t="s">
        <v>692</v>
      </c>
      <c r="E50" s="227"/>
      <c r="F50" s="943" t="s">
        <v>693</v>
      </c>
      <c r="G50" s="227"/>
      <c r="H50" s="227"/>
      <c r="I50" s="227"/>
      <c r="J50" s="228"/>
    </row>
    <row r="51" spans="1:10">
      <c r="A51" s="226"/>
      <c r="B51" s="944" t="s">
        <v>260</v>
      </c>
      <c r="C51" s="948"/>
      <c r="D51" s="943" t="s">
        <v>692</v>
      </c>
      <c r="E51" s="227"/>
      <c r="F51" s="943" t="s">
        <v>694</v>
      </c>
      <c r="G51" s="227"/>
      <c r="H51" s="227"/>
      <c r="I51" s="227"/>
      <c r="J51" s="228"/>
    </row>
    <row r="52" spans="1:10">
      <c r="A52" s="226"/>
      <c r="B52" s="944" t="s">
        <v>198</v>
      </c>
      <c r="C52" s="949"/>
      <c r="D52" s="943" t="s">
        <v>695</v>
      </c>
      <c r="E52" s="227"/>
      <c r="F52" s="943" t="s">
        <v>794</v>
      </c>
      <c r="G52" s="227"/>
      <c r="H52" s="227"/>
      <c r="I52" s="227"/>
      <c r="J52" s="228"/>
    </row>
    <row r="53" spans="1:10">
      <c r="A53" s="226"/>
      <c r="B53" s="944" t="s">
        <v>0</v>
      </c>
      <c r="C53" s="950"/>
      <c r="D53" s="943" t="s">
        <v>696</v>
      </c>
      <c r="E53" s="227"/>
      <c r="F53" s="943" t="s">
        <v>795</v>
      </c>
      <c r="G53" s="227"/>
      <c r="H53" s="227"/>
      <c r="I53" s="227"/>
      <c r="J53" s="228"/>
    </row>
    <row r="54" spans="1:10">
      <c r="A54" s="226"/>
      <c r="B54" s="944" t="s">
        <v>411</v>
      </c>
      <c r="C54" s="950"/>
      <c r="D54" s="943" t="s">
        <v>696</v>
      </c>
      <c r="E54" s="227"/>
      <c r="F54" s="943" t="s">
        <v>796</v>
      </c>
      <c r="G54" s="227"/>
      <c r="H54" s="227"/>
      <c r="I54" s="227"/>
      <c r="J54" s="228"/>
    </row>
    <row r="55" spans="1:10">
      <c r="A55" s="226"/>
      <c r="B55" s="944" t="s">
        <v>25</v>
      </c>
      <c r="C55" s="950"/>
      <c r="D55" s="943" t="s">
        <v>696</v>
      </c>
      <c r="E55" s="227"/>
      <c r="F55" s="943" t="s">
        <v>697</v>
      </c>
      <c r="G55" s="227"/>
      <c r="H55" s="227"/>
      <c r="I55" s="227"/>
      <c r="J55" s="228"/>
    </row>
    <row r="56" spans="1:10">
      <c r="A56" s="226"/>
      <c r="B56" s="944" t="s">
        <v>42</v>
      </c>
      <c r="C56" s="950"/>
      <c r="D56" s="943" t="s">
        <v>696</v>
      </c>
      <c r="E56" s="227"/>
      <c r="F56" s="943" t="s">
        <v>698</v>
      </c>
      <c r="G56" s="227"/>
      <c r="I56" s="227"/>
      <c r="J56" s="228"/>
    </row>
    <row r="57" spans="1:10">
      <c r="A57" s="226"/>
      <c r="B57" s="944" t="s">
        <v>66</v>
      </c>
      <c r="C57" s="951"/>
      <c r="D57" s="943" t="s">
        <v>699</v>
      </c>
      <c r="E57" s="227"/>
      <c r="F57" s="943" t="s">
        <v>700</v>
      </c>
      <c r="G57" s="227"/>
      <c r="H57" s="227"/>
      <c r="I57" s="227"/>
      <c r="J57" s="228"/>
    </row>
    <row r="58" spans="1:10">
      <c r="A58" s="226"/>
      <c r="B58" s="944" t="s">
        <v>701</v>
      </c>
      <c r="C58" s="951"/>
      <c r="D58" s="943" t="s">
        <v>699</v>
      </c>
      <c r="E58" s="227"/>
      <c r="F58" s="943" t="s">
        <v>702</v>
      </c>
      <c r="G58" s="227"/>
      <c r="H58" s="227"/>
      <c r="I58" s="227"/>
      <c r="J58" s="228"/>
    </row>
    <row r="59" spans="1:10">
      <c r="A59" s="226"/>
      <c r="B59" s="944" t="s">
        <v>69</v>
      </c>
      <c r="C59" s="950"/>
      <c r="D59" s="943" t="s">
        <v>696</v>
      </c>
      <c r="E59" s="227"/>
      <c r="F59" s="943" t="s">
        <v>703</v>
      </c>
      <c r="G59" s="227"/>
      <c r="H59" s="227"/>
      <c r="I59" s="227"/>
      <c r="J59" s="228"/>
    </row>
    <row r="60" spans="1:10">
      <c r="A60" s="226"/>
      <c r="B60" s="944" t="s">
        <v>348</v>
      </c>
      <c r="C60" s="951"/>
      <c r="D60" s="943" t="s">
        <v>699</v>
      </c>
      <c r="E60" s="227"/>
      <c r="F60" s="943" t="s">
        <v>704</v>
      </c>
      <c r="G60" s="227"/>
      <c r="H60" s="227"/>
      <c r="I60" s="227"/>
      <c r="J60" s="228"/>
    </row>
    <row r="61" spans="1:10">
      <c r="A61" s="226"/>
      <c r="B61" s="944" t="s">
        <v>362</v>
      </c>
      <c r="C61" s="951"/>
      <c r="D61" s="943" t="s">
        <v>699</v>
      </c>
      <c r="E61" s="227"/>
      <c r="F61" s="943" t="s">
        <v>705</v>
      </c>
      <c r="G61" s="227"/>
      <c r="H61" s="227"/>
      <c r="I61" s="227"/>
      <c r="J61" s="228"/>
    </row>
    <row r="62" spans="1:10">
      <c r="A62" s="226"/>
      <c r="B62" s="944" t="s">
        <v>394</v>
      </c>
      <c r="C62" s="951"/>
      <c r="D62" s="943" t="s">
        <v>699</v>
      </c>
      <c r="E62" s="227"/>
      <c r="F62" s="943" t="s">
        <v>706</v>
      </c>
      <c r="G62" s="227"/>
      <c r="H62" s="227"/>
      <c r="I62" s="227"/>
      <c r="J62" s="228"/>
    </row>
    <row r="63" spans="1:10">
      <c r="A63" s="226"/>
      <c r="B63" s="944" t="s">
        <v>87</v>
      </c>
      <c r="C63" s="950"/>
      <c r="D63" s="943" t="s">
        <v>696</v>
      </c>
      <c r="E63" s="227"/>
      <c r="F63" s="943" t="s">
        <v>707</v>
      </c>
      <c r="G63" s="227"/>
      <c r="H63" s="227"/>
      <c r="I63" s="227"/>
      <c r="J63" s="228"/>
    </row>
    <row r="64" spans="1:10">
      <c r="A64" s="226"/>
      <c r="B64" s="944" t="s">
        <v>708</v>
      </c>
      <c r="C64" s="949"/>
      <c r="D64" s="943" t="s">
        <v>695</v>
      </c>
      <c r="E64" s="227"/>
      <c r="F64" s="943" t="s">
        <v>709</v>
      </c>
      <c r="G64" s="227"/>
      <c r="H64" s="227"/>
      <c r="I64" s="227"/>
      <c r="J64" s="228"/>
    </row>
    <row r="65" spans="1:10">
      <c r="A65" s="226"/>
      <c r="B65" s="944" t="s">
        <v>421</v>
      </c>
      <c r="C65" s="949"/>
      <c r="D65" s="943" t="s">
        <v>695</v>
      </c>
      <c r="E65" s="227"/>
      <c r="F65" s="943" t="s">
        <v>736</v>
      </c>
      <c r="G65" s="227"/>
      <c r="H65" s="227"/>
      <c r="I65" s="227"/>
      <c r="J65" s="228"/>
    </row>
    <row r="66" spans="1:10">
      <c r="A66" s="226"/>
      <c r="B66" s="944" t="s">
        <v>395</v>
      </c>
      <c r="C66" s="949"/>
      <c r="D66" s="943" t="s">
        <v>695</v>
      </c>
      <c r="E66" s="227"/>
      <c r="F66" s="943" t="s">
        <v>797</v>
      </c>
      <c r="G66" s="227"/>
      <c r="H66" s="227"/>
      <c r="I66" s="227"/>
      <c r="J66" s="228"/>
    </row>
    <row r="67" spans="1:10">
      <c r="A67" s="226"/>
      <c r="B67" s="944" t="s">
        <v>710</v>
      </c>
      <c r="C67" s="951"/>
      <c r="D67" s="943" t="s">
        <v>699</v>
      </c>
      <c r="E67" s="227"/>
      <c r="F67" s="943" t="s">
        <v>737</v>
      </c>
      <c r="G67" s="227"/>
      <c r="H67" s="227"/>
      <c r="I67" s="227"/>
      <c r="J67" s="228"/>
    </row>
    <row r="68" spans="1:10">
      <c r="A68" s="226"/>
      <c r="B68" s="944" t="s">
        <v>711</v>
      </c>
      <c r="C68" s="951"/>
      <c r="D68" s="943" t="s">
        <v>699</v>
      </c>
      <c r="E68" s="227"/>
      <c r="F68" s="943" t="s">
        <v>738</v>
      </c>
      <c r="G68" s="227"/>
      <c r="H68" s="227"/>
      <c r="I68" s="227"/>
      <c r="J68" s="228"/>
    </row>
    <row r="69" spans="1:10">
      <c r="A69" s="226"/>
      <c r="B69" s="944" t="s">
        <v>396</v>
      </c>
      <c r="C69" s="951"/>
      <c r="D69" s="943" t="s">
        <v>699</v>
      </c>
      <c r="E69" s="227"/>
      <c r="F69" s="943" t="s">
        <v>798</v>
      </c>
      <c r="G69" s="227"/>
      <c r="H69" s="227"/>
      <c r="I69" s="227"/>
      <c r="J69" s="228"/>
    </row>
    <row r="70" spans="1:10">
      <c r="A70" s="226"/>
      <c r="B70" s="944" t="s">
        <v>712</v>
      </c>
      <c r="C70" s="951"/>
      <c r="D70" s="943" t="s">
        <v>699</v>
      </c>
      <c r="E70" s="227"/>
      <c r="F70" s="943" t="s">
        <v>713</v>
      </c>
      <c r="G70" s="227"/>
      <c r="H70" s="227"/>
      <c r="I70" s="227"/>
      <c r="J70" s="228"/>
    </row>
    <row r="71" spans="1:10">
      <c r="A71" s="226"/>
      <c r="B71" s="944" t="s">
        <v>714</v>
      </c>
      <c r="C71" s="951"/>
      <c r="D71" s="943" t="s">
        <v>699</v>
      </c>
      <c r="E71" s="227"/>
      <c r="F71" s="943" t="s">
        <v>715</v>
      </c>
      <c r="G71" s="227"/>
      <c r="H71" s="227"/>
      <c r="I71" s="227"/>
      <c r="J71" s="228"/>
    </row>
    <row r="72" spans="1:10">
      <c r="A72" s="226"/>
      <c r="B72" s="944" t="s">
        <v>716</v>
      </c>
      <c r="C72" s="951"/>
      <c r="D72" s="943" t="s">
        <v>699</v>
      </c>
      <c r="E72" s="227"/>
      <c r="F72" s="943" t="s">
        <v>717</v>
      </c>
      <c r="G72" s="227"/>
      <c r="H72" s="227"/>
      <c r="I72" s="227"/>
      <c r="J72" s="228"/>
    </row>
    <row r="73" spans="1:10">
      <c r="A73" s="226"/>
      <c r="B73" s="227"/>
      <c r="C73" s="227"/>
      <c r="D73" s="227"/>
      <c r="E73" s="227"/>
      <c r="F73" s="227"/>
      <c r="G73" s="227"/>
      <c r="H73" s="227"/>
      <c r="I73" s="227"/>
      <c r="J73" s="228"/>
    </row>
    <row r="74" spans="1:10">
      <c r="A74" s="226"/>
      <c r="B74" s="227"/>
      <c r="C74" s="227"/>
      <c r="D74" s="227"/>
      <c r="E74" s="227"/>
      <c r="F74" s="227"/>
      <c r="G74" s="227"/>
      <c r="H74" s="227"/>
      <c r="I74" s="227"/>
      <c r="J74" s="228"/>
    </row>
    <row r="75" spans="1:10" ht="18">
      <c r="A75" s="226"/>
      <c r="B75" s="952" t="s">
        <v>718</v>
      </c>
      <c r="C75" s="227"/>
      <c r="D75" s="227"/>
      <c r="E75" s="227"/>
      <c r="F75" s="227"/>
      <c r="G75" s="227"/>
      <c r="H75" s="227"/>
      <c r="I75" s="227"/>
      <c r="J75" s="228"/>
    </row>
    <row r="76" spans="1:10">
      <c r="A76" s="226"/>
      <c r="B76" s="227"/>
      <c r="C76" s="227"/>
      <c r="D76" s="227"/>
      <c r="E76" s="227"/>
      <c r="F76" s="227"/>
      <c r="G76" s="227"/>
      <c r="H76" s="227"/>
      <c r="I76" s="227"/>
      <c r="J76" s="228"/>
    </row>
    <row r="77" spans="1:10">
      <c r="A77" s="226"/>
      <c r="B77" s="953" t="s">
        <v>722</v>
      </c>
      <c r="C77" s="943" t="s">
        <v>758</v>
      </c>
      <c r="D77" s="227"/>
      <c r="E77" s="227"/>
      <c r="F77" s="227"/>
      <c r="G77" s="227"/>
      <c r="H77" s="227"/>
      <c r="I77" s="227"/>
      <c r="J77" s="228"/>
    </row>
    <row r="78" spans="1:10">
      <c r="A78" s="226"/>
      <c r="B78" s="953" t="s">
        <v>723</v>
      </c>
      <c r="C78" s="943" t="s">
        <v>719</v>
      </c>
      <c r="D78" s="227"/>
      <c r="E78" s="227"/>
      <c r="F78" s="227"/>
      <c r="G78" s="227"/>
      <c r="H78" s="227"/>
      <c r="I78" s="227"/>
      <c r="J78" s="228"/>
    </row>
    <row r="79" spans="1:10">
      <c r="A79" s="226"/>
      <c r="B79" s="953" t="s">
        <v>724</v>
      </c>
      <c r="C79" s="943" t="s">
        <v>720</v>
      </c>
      <c r="D79" s="227"/>
      <c r="E79" s="227"/>
      <c r="F79" s="227"/>
      <c r="G79" s="227"/>
      <c r="H79" s="227"/>
      <c r="I79" s="227"/>
      <c r="J79" s="228"/>
    </row>
    <row r="80" spans="1:10">
      <c r="A80" s="226"/>
      <c r="B80" s="953" t="s">
        <v>725</v>
      </c>
      <c r="C80" s="943" t="s">
        <v>739</v>
      </c>
      <c r="D80" s="227"/>
      <c r="E80" s="227"/>
      <c r="F80" s="227"/>
      <c r="G80" s="227"/>
      <c r="H80" s="227"/>
      <c r="I80" s="227"/>
      <c r="J80" s="228"/>
    </row>
    <row r="81" spans="1:10">
      <c r="A81" s="231"/>
      <c r="B81" s="953" t="s">
        <v>726</v>
      </c>
      <c r="C81" s="943" t="s">
        <v>759</v>
      </c>
      <c r="D81" s="232"/>
      <c r="E81" s="232"/>
      <c r="F81" s="232"/>
      <c r="G81" s="232"/>
      <c r="H81" s="232"/>
      <c r="I81" s="232"/>
      <c r="J81" s="233"/>
    </row>
    <row r="82" spans="1:10">
      <c r="B82" s="953" t="s">
        <v>727</v>
      </c>
      <c r="C82" s="943" t="s">
        <v>721</v>
      </c>
      <c r="I82" s="226"/>
      <c r="J82" s="227"/>
    </row>
    <row r="83" spans="1:10">
      <c r="A83" s="966"/>
      <c r="B83" s="953" t="s">
        <v>740</v>
      </c>
      <c r="C83" s="943" t="s">
        <v>799</v>
      </c>
      <c r="I83" s="226"/>
      <c r="J83" s="227"/>
    </row>
    <row r="84" spans="1:10">
      <c r="A84" s="966"/>
      <c r="B84" s="953" t="s">
        <v>741</v>
      </c>
      <c r="C84" s="943" t="s">
        <v>800</v>
      </c>
      <c r="I84" s="226"/>
      <c r="J84" s="227"/>
    </row>
    <row r="85" spans="1:10">
      <c r="A85" s="966"/>
      <c r="B85" s="953" t="s">
        <v>742</v>
      </c>
      <c r="C85" s="943" t="s">
        <v>801</v>
      </c>
      <c r="I85" s="226"/>
      <c r="J85" s="227"/>
    </row>
    <row r="86" spans="1:10">
      <c r="A86" s="967"/>
      <c r="B86" s="953" t="s">
        <v>743</v>
      </c>
      <c r="C86" s="965" t="s">
        <v>802</v>
      </c>
      <c r="I86" s="226"/>
      <c r="J86" s="227"/>
    </row>
    <row r="87" spans="1:10">
      <c r="I87" s="231"/>
      <c r="J87" s="232"/>
    </row>
  </sheetData>
  <pageMargins left="0.25" right="0.25" top="0.25" bottom="0.25" header="0" footer="0"/>
  <pageSetup scale="43"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D91CF-683D-4148-88B9-35EE7FBB599B}">
  <sheetPr>
    <tabColor theme="6" tint="0.79998168889431442"/>
    <pageSetUpPr fitToPage="1"/>
  </sheetPr>
  <dimension ref="B2:U36"/>
  <sheetViews>
    <sheetView showGridLines="0" workbookViewId="0">
      <selection activeCell="J7" sqref="J7"/>
    </sheetView>
  </sheetViews>
  <sheetFormatPr baseColWidth="10" defaultRowHeight="16"/>
  <cols>
    <col min="1" max="1" width="2.5" customWidth="1"/>
    <col min="2" max="3" width="13.83203125" customWidth="1"/>
    <col min="4" max="4" width="11.5" bestFit="1" customWidth="1"/>
    <col min="7" max="7" width="12.1640625" customWidth="1"/>
    <col min="9" max="9" width="12.1640625" customWidth="1"/>
    <col min="13" max="13" width="22.1640625" customWidth="1"/>
    <col min="20" max="20" width="12.33203125" customWidth="1"/>
  </cols>
  <sheetData>
    <row r="2" spans="2:21" s="415" customFormat="1" ht="21" thickBot="1">
      <c r="B2" s="415" t="s">
        <v>198</v>
      </c>
    </row>
    <row r="4" spans="2:21" ht="19">
      <c r="B4" s="1129" t="s">
        <v>173</v>
      </c>
      <c r="C4" s="1130"/>
      <c r="D4" s="1130"/>
      <c r="E4" s="1131"/>
      <c r="G4" s="1129" t="s">
        <v>174</v>
      </c>
      <c r="H4" s="1130"/>
      <c r="I4" s="1130"/>
      <c r="J4" s="1131"/>
      <c r="L4" s="1129" t="s">
        <v>175</v>
      </c>
      <c r="M4" s="1130"/>
      <c r="N4" s="1130"/>
      <c r="O4" s="1130"/>
      <c r="P4" s="1130"/>
      <c r="Q4" s="1130"/>
      <c r="R4" s="1130"/>
      <c r="S4" s="1131"/>
      <c r="T4" s="828"/>
      <c r="U4" s="3"/>
    </row>
    <row r="5" spans="2:21">
      <c r="B5" s="130" t="s">
        <v>145</v>
      </c>
      <c r="C5" s="5"/>
      <c r="D5" s="5"/>
      <c r="E5" s="124"/>
      <c r="G5" s="14" t="s">
        <v>231</v>
      </c>
      <c r="J5" s="1098">
        <f>INPUTS!I5</f>
        <v>0</v>
      </c>
      <c r="L5" s="14" t="s">
        <v>176</v>
      </c>
      <c r="N5" s="141">
        <f>WATERFALL!D12</f>
        <v>0</v>
      </c>
      <c r="O5" s="134"/>
      <c r="Q5" s="142" t="s">
        <v>177</v>
      </c>
      <c r="R5" s="142"/>
      <c r="S5" s="829">
        <v>100000</v>
      </c>
      <c r="T5" s="143"/>
    </row>
    <row r="6" spans="2:21">
      <c r="B6" s="131" t="s">
        <v>113</v>
      </c>
      <c r="C6" s="132"/>
      <c r="D6" s="132"/>
      <c r="E6" s="1091">
        <f>INPUTS!C12</f>
        <v>0</v>
      </c>
      <c r="G6" s="14" t="s">
        <v>178</v>
      </c>
      <c r="J6" s="1098">
        <f>INPUTS!I13</f>
        <v>0</v>
      </c>
      <c r="L6" s="14" t="s">
        <v>179</v>
      </c>
      <c r="N6" s="5"/>
      <c r="O6" s="137"/>
      <c r="Q6" s="142"/>
      <c r="R6" s="142"/>
      <c r="S6" s="829"/>
      <c r="T6" s="143"/>
    </row>
    <row r="7" spans="2:21">
      <c r="B7" s="133" t="s">
        <v>20</v>
      </c>
      <c r="E7" s="1092" t="e">
        <f>E6/'CLEAN P&amp;L'!H6</f>
        <v>#DIV/0!</v>
      </c>
      <c r="G7" s="14"/>
      <c r="J7" s="1106"/>
      <c r="L7" s="14" t="str">
        <f>IF(U4="IRR","Unlevered IRR","Unlevered Cash On Cash")</f>
        <v>Unlevered Cash On Cash</v>
      </c>
      <c r="N7" s="818"/>
      <c r="O7" s="135"/>
      <c r="P7" s="68" t="s">
        <v>533</v>
      </c>
      <c r="Q7" s="68" t="s">
        <v>417</v>
      </c>
      <c r="R7" s="68" t="s">
        <v>180</v>
      </c>
      <c r="S7" s="68" t="s">
        <v>181</v>
      </c>
      <c r="T7" s="144" t="s">
        <v>534</v>
      </c>
      <c r="U7" t="s">
        <v>529</v>
      </c>
    </row>
    <row r="8" spans="2:21">
      <c r="B8" s="133" t="s">
        <v>21</v>
      </c>
      <c r="E8" s="1093" t="e">
        <f>'CLEAN P&amp;L'!H44/SUMMARY!E6</f>
        <v>#DIV/0!</v>
      </c>
      <c r="G8" s="108" t="s">
        <v>182</v>
      </c>
      <c r="H8" s="140"/>
      <c r="I8" s="140"/>
      <c r="J8" s="1107">
        <f>INPUTS!F20+(INPUTS!F20*(INPUTS!F7+INPUTS!F16))</f>
        <v>0</v>
      </c>
      <c r="L8" s="14" t="str">
        <f>IF(U4="IRR","Project IRR","Projected Cash On Cash")</f>
        <v>Projected Cash On Cash</v>
      </c>
      <c r="N8" s="819" t="str">
        <f>IFERROR(WATERFALL!F62,"NA")</f>
        <v>NA</v>
      </c>
      <c r="O8" s="823"/>
      <c r="P8" s="999" t="e">
        <f>N11</f>
        <v>#DIV/0!</v>
      </c>
      <c r="Q8" s="825" t="str">
        <f>N10</f>
        <v>NA</v>
      </c>
      <c r="R8" s="146" cm="1">
        <f t="array" ref="R8">IFERROR($S$5/IF($U$7="LP-B",WATERFALL!$D$11,WATERFALL!$D$10)*IF($U$7="LP-B",SUMPRODUCT((WATERFALL!G26:P26)*(WATERFALL!G20:P20&lt;&gt;INPUTS!$C$33)*(WATERFALL!G20:P20&lt;&gt;INPUTS!$I$13)*(WATERFALL!G20:P20&lt;&gt;0)),SUMPRODUCT((WATERFALL!G33:P33)*(WATERFALL!G20:P20&lt;&gt;INPUTS!$C$33)*(WATERFALL!G20:P20&lt;&gt;INPUTS!$I$13)*(WATERFALL!G20:P20&lt;&gt;0))),0)</f>
        <v>0</v>
      </c>
      <c r="S8" s="146" cm="1">
        <f t="array" ref="S8">IFERROR($S$5/IF($U$7="LP-B",WATERFALL!$D$11,WATERFALL!$D$10)*IF($U$7="LP-B",SUMPRODUCT((WATERFALL!G26:P26)*((WATERFALL!G20:P20=INPUTS!$C$33)+(WATERFALL!G20:P20=INPUTS!$I$13))),SUMPRODUCT((WATERFALL!G33:P33)*((WATERFALL!G20:P20=INPUTS!$C$33)+(WATERFALL!G20:P20=INPUTS!$I$13)))),0)</f>
        <v>0</v>
      </c>
      <c r="T8" s="147">
        <f>IFERROR($S$5/IF($U$7="LP-B",WATERFALL!$D$11,WATERFALL!$D$10)*IF($U$7="LP-B",WATERFALL!$D$27-WATERFALL!$D$11,WATERFALL!$D$36-WATERFALL!$D$10),0)</f>
        <v>0</v>
      </c>
      <c r="U8" s="16" t="s">
        <v>529</v>
      </c>
    </row>
    <row r="9" spans="2:21">
      <c r="B9" s="130" t="s">
        <v>229</v>
      </c>
      <c r="E9" s="1094">
        <f>IFERROR(E6/INPUTS!C7,0)</f>
        <v>0</v>
      </c>
      <c r="G9" s="14"/>
      <c r="H9" t="s">
        <v>153</v>
      </c>
      <c r="J9" s="1106">
        <f>IF(INPUTS!F23="Simple",0,PIP!G36)</f>
        <v>0</v>
      </c>
      <c r="L9" s="131" t="s">
        <v>184</v>
      </c>
      <c r="N9" s="5"/>
      <c r="O9" s="124"/>
      <c r="P9" s="822"/>
      <c r="Q9" s="69"/>
      <c r="R9" s="145"/>
      <c r="S9" s="145"/>
      <c r="T9" s="145"/>
      <c r="U9" s="16" t="s">
        <v>526</v>
      </c>
    </row>
    <row r="10" spans="2:21">
      <c r="B10" s="131" t="s">
        <v>183</v>
      </c>
      <c r="C10" s="132"/>
      <c r="D10" s="132"/>
      <c r="E10" s="1091">
        <f>DEBT!I9</f>
        <v>0</v>
      </c>
      <c r="G10" s="14"/>
      <c r="H10" t="s">
        <v>186</v>
      </c>
      <c r="J10" s="1106">
        <f>IF(INPUTS!F23="Simple",0,PIP!G65)</f>
        <v>0</v>
      </c>
      <c r="L10" s="14"/>
      <c r="M10" t="str">
        <f>IF($U$7="LP-B","LP-B IRR","LP-A/MP IRR")</f>
        <v>LP-B IRR</v>
      </c>
      <c r="N10" s="819" t="str">
        <f>IF($U$7="LP-B",IFERROR(WATERFALL!D29,"NA"),IFERROR(WATERFALL!D38,"NA"))</f>
        <v>NA</v>
      </c>
      <c r="O10" s="135"/>
      <c r="P10" s="826"/>
      <c r="Q10" s="69"/>
      <c r="R10" s="145"/>
      <c r="S10" s="73"/>
      <c r="T10" s="73"/>
    </row>
    <row r="11" spans="2:21">
      <c r="B11" s="133" t="s">
        <v>185</v>
      </c>
      <c r="E11" s="1095">
        <f>DEBT!I7</f>
        <v>0</v>
      </c>
      <c r="G11" s="14"/>
      <c r="H11" t="s">
        <v>163</v>
      </c>
      <c r="J11" s="1106">
        <f>INPUTS!F20*INPUTS!F7</f>
        <v>0</v>
      </c>
      <c r="L11" s="14"/>
      <c r="M11" t="str">
        <f>IF($U$7="LP-B","LP-B Equity Multiple","LP-A/MP Equity Multiple")</f>
        <v>LP-B Equity Multiple</v>
      </c>
      <c r="N11" s="977" t="e">
        <f>IF($U$7="LP-B",WATERFALL!D30,WATERFALL!D39)</f>
        <v>#DIV/0!</v>
      </c>
      <c r="O11" s="823"/>
      <c r="P11" s="826"/>
      <c r="Q11" s="69"/>
      <c r="R11" s="145"/>
      <c r="S11" s="827"/>
      <c r="T11" s="827"/>
    </row>
    <row r="12" spans="2:21">
      <c r="B12" s="133" t="s">
        <v>232</v>
      </c>
      <c r="D12" s="136"/>
      <c r="E12" s="1096">
        <f>INPUTS!C17</f>
        <v>0</v>
      </c>
      <c r="G12" s="131" t="s">
        <v>187</v>
      </c>
      <c r="H12" s="132"/>
      <c r="I12" s="132"/>
      <c r="J12" s="1091" t="e">
        <f>INPUTS!I11*(INDEX('PRO FORMA'!E17:X17,MATCH(INPUTS!I13,'PRO FORMA'!E5:X5,0)))</f>
        <v>#N/A</v>
      </c>
      <c r="L12" s="14"/>
      <c r="M12" t="str">
        <f>IF($U$7="LP-B","LP-B Cash-on-Cash (Yr 5)","LP-A/MP Cash-on-Cash (Yr 5)")</f>
        <v>LP-B Cash-on-Cash (Yr 5)</v>
      </c>
      <c r="N12" s="214" t="str">
        <f>IF($U$7="LP-B",IFERROR(WATERFALL!K26/WATERFALL!D11,"NA"),IFERROR(WATERFALL!K33/WATERFALL!D10,"NA"))</f>
        <v>NA</v>
      </c>
      <c r="O12" s="135"/>
      <c r="P12" s="822"/>
      <c r="Q12" s="69"/>
      <c r="R12" s="145"/>
      <c r="S12" s="145"/>
      <c r="T12" s="145"/>
    </row>
    <row r="13" spans="2:21">
      <c r="B13" s="133" t="s">
        <v>12</v>
      </c>
      <c r="E13" s="1097">
        <f>INPUTS!C18</f>
        <v>0</v>
      </c>
      <c r="G13" s="14" t="s">
        <v>20</v>
      </c>
      <c r="J13" s="1092">
        <f>INPUTS!I11</f>
        <v>0</v>
      </c>
      <c r="L13" s="14"/>
      <c r="M13" t="str">
        <f>IF($U$7="LP-B","LP-B Avg Cash-on-Cash","LP-A/MP Avg Cash-on-Cash")</f>
        <v>LP-B Avg Cash-on-Cash</v>
      </c>
      <c r="N13" s="214" t="str">
        <f>IF($U$7="LP-B",IFERROR(AVERAGE(WATERFALL!G26:O26)/WATERFALL!D11,"NA"),IFERROR(AVERAGE(WATERFALL!G33:O33)/WATERFALL!D10,"NA"))</f>
        <v>NA</v>
      </c>
      <c r="O13" s="824"/>
      <c r="P13" s="822"/>
      <c r="Q13" s="69"/>
      <c r="R13" s="145"/>
      <c r="S13" s="145"/>
      <c r="T13" s="145"/>
    </row>
    <row r="14" spans="2:21">
      <c r="B14" s="133" t="s">
        <v>188</v>
      </c>
      <c r="E14" s="1098">
        <f>INPUTS!C20</f>
        <v>0</v>
      </c>
      <c r="G14" s="14" t="s">
        <v>229</v>
      </c>
      <c r="J14" s="1106">
        <f>IFERROR(J12/INPUTS!C7,0)</f>
        <v>0</v>
      </c>
      <c r="L14" s="131" t="s">
        <v>189</v>
      </c>
      <c r="N14" s="6" t="s">
        <v>532</v>
      </c>
      <c r="O14" s="124"/>
      <c r="P14" s="822"/>
      <c r="Q14" s="69"/>
      <c r="R14" s="145"/>
      <c r="S14" s="145"/>
      <c r="T14" s="145"/>
    </row>
    <row r="15" spans="2:21">
      <c r="B15" s="1082" t="s">
        <v>669</v>
      </c>
      <c r="E15" s="1099" t="str">
        <f>IF(INPUTS!C24="Yes","Yes","No")</f>
        <v>No</v>
      </c>
      <c r="G15" s="14" t="s">
        <v>193</v>
      </c>
      <c r="I15" s="1089"/>
      <c r="J15" s="1108" t="str">
        <f>IFERROR(INDEX('PRO FORMA'!E55:W55, MATCH(INPUTS!I13, 'PRO FORMA'!E5:W5, 0)) / J12, "")</f>
        <v/>
      </c>
      <c r="L15" s="131"/>
      <c r="N15" s="6"/>
      <c r="O15" s="124"/>
      <c r="P15" s="822"/>
      <c r="Q15" s="69"/>
      <c r="R15" s="145"/>
      <c r="S15" s="145"/>
      <c r="T15" s="145"/>
    </row>
    <row r="16" spans="2:21">
      <c r="B16" s="1083" t="s">
        <v>777</v>
      </c>
      <c r="E16" s="1100" t="str">
        <f>IF(INPUTS!C24="Yes",INPUTS!C25,"N/A")</f>
        <v>N/A</v>
      </c>
      <c r="G16" s="131" t="s">
        <v>190</v>
      </c>
      <c r="J16" s="1109"/>
      <c r="L16" s="131"/>
      <c r="N16" s="6"/>
      <c r="O16" s="124"/>
      <c r="P16" s="822"/>
      <c r="Q16" s="69"/>
      <c r="R16" s="145"/>
      <c r="S16" s="145"/>
      <c r="T16" s="145"/>
    </row>
    <row r="17" spans="2:20">
      <c r="B17" s="1083" t="s">
        <v>778</v>
      </c>
      <c r="E17" s="1101" t="str">
        <f>IF(INPUTS!C24="Yes",INPUTS!C26,"N/A")</f>
        <v>N/A</v>
      </c>
      <c r="G17" s="121" t="s">
        <v>784</v>
      </c>
      <c r="J17" s="1110" t="str">
        <f>IFERROR(INDEX('PRO FORMA'!E11:W11, MATCH(INPUTS!I13, 'PRO FORMA'!E5:W5, 0)), "")</f>
        <v/>
      </c>
      <c r="L17" s="131"/>
      <c r="N17" s="6"/>
      <c r="O17" s="124"/>
      <c r="P17" s="822"/>
      <c r="Q17" s="69"/>
      <c r="R17" s="145"/>
      <c r="S17" s="145"/>
      <c r="T17" s="145"/>
    </row>
    <row r="18" spans="2:20">
      <c r="B18" s="1083" t="s">
        <v>779</v>
      </c>
      <c r="E18" s="1102" t="str">
        <f>IF(INPUTS!C24="Yes",INPUTS!C27,"N/A")</f>
        <v>N/A</v>
      </c>
      <c r="G18" s="121" t="s">
        <v>785</v>
      </c>
      <c r="J18" s="1111" t="str">
        <f>IFERROR(INDEX('PRO FORMA'!E10:W10, MATCH(INPUTS!I13, 'PRO FORMA'!E5:W5, 0)), "")</f>
        <v/>
      </c>
      <c r="L18" s="131"/>
      <c r="N18" s="6"/>
      <c r="O18" s="124"/>
      <c r="P18" s="822"/>
      <c r="Q18" s="69"/>
      <c r="R18" s="145"/>
      <c r="S18" s="145"/>
      <c r="T18" s="145"/>
    </row>
    <row r="19" spans="2:20">
      <c r="B19" s="1082" t="s">
        <v>780</v>
      </c>
      <c r="E19" s="1099" t="str">
        <f>IF(INPUTS!C33="","N/A","Year "&amp;INPUTS!C33)</f>
        <v>N/A</v>
      </c>
      <c r="G19" s="121" t="s">
        <v>786</v>
      </c>
      <c r="J19" s="1094" t="str">
        <f>IFERROR(INDEX('PRO FORMA'!E12:W12, MATCH(INPUTS!I13, 'PRO FORMA'!E5:W5, 0)), "")</f>
        <v/>
      </c>
      <c r="L19" s="131"/>
      <c r="N19" s="6"/>
      <c r="O19" s="124"/>
      <c r="P19" s="822"/>
      <c r="Q19" s="69"/>
      <c r="R19" s="145"/>
      <c r="S19" s="145"/>
      <c r="T19" s="145"/>
    </row>
    <row r="20" spans="2:20">
      <c r="B20" s="1083" t="s">
        <v>781</v>
      </c>
      <c r="E20" s="1100" t="str">
        <f>IF(INPUTS!C33="","N/A",INPUTS!C35)</f>
        <v>N/A</v>
      </c>
      <c r="G20" s="805" t="s">
        <v>230</v>
      </c>
      <c r="H20" s="1090"/>
      <c r="I20" s="1090"/>
      <c r="J20" s="1112" t="str">
        <f>IFERROR(INDEX('PRO FORMA'!E55:W55, MATCH(INPUTS!I13, 'PRO FORMA'!E5:W5, 0)) / INDEX('PRO FORMA'!E22:W22, MATCH(INPUTS!I13, 'PRO FORMA'!E5:W5, 0)), "")</f>
        <v/>
      </c>
      <c r="L20" s="131"/>
      <c r="N20" s="6"/>
      <c r="O20" s="124"/>
      <c r="P20" s="822"/>
      <c r="Q20" s="69"/>
      <c r="R20" s="145"/>
      <c r="S20" s="145"/>
      <c r="T20" s="145"/>
    </row>
    <row r="21" spans="2:20">
      <c r="B21" s="1083" t="s">
        <v>783</v>
      </c>
      <c r="E21" s="1101" t="str">
        <f>IF(INPUTS!C33="","N/A",INPUTS!C36)</f>
        <v>N/A</v>
      </c>
      <c r="J21" s="141"/>
      <c r="L21" s="131"/>
      <c r="N21" s="6"/>
      <c r="O21" s="124"/>
      <c r="P21" s="822"/>
      <c r="Q21" s="69"/>
      <c r="R21" s="145"/>
      <c r="S21" s="145"/>
      <c r="T21" s="145"/>
    </row>
    <row r="22" spans="2:20">
      <c r="B22" s="1083" t="s">
        <v>782</v>
      </c>
      <c r="E22" s="1102" t="str">
        <f>IF(INPUTS!C33="","N/A",INPUTS!C37)</f>
        <v>N/A</v>
      </c>
      <c r="J22" s="141"/>
      <c r="L22" s="131"/>
      <c r="N22" s="6"/>
      <c r="O22" s="124"/>
      <c r="P22" s="822"/>
      <c r="Q22" s="69"/>
      <c r="R22" s="145"/>
      <c r="S22" s="145"/>
      <c r="T22" s="145"/>
    </row>
    <row r="23" spans="2:20">
      <c r="B23" s="200" t="s">
        <v>233</v>
      </c>
      <c r="E23" s="1103">
        <f>'STR PERFORMANCE'!H15</f>
        <v>0</v>
      </c>
      <c r="L23" s="14"/>
      <c r="M23" t="s">
        <v>7</v>
      </c>
      <c r="N23" s="214">
        <f>INPUTS!F15</f>
        <v>0</v>
      </c>
      <c r="O23" s="137"/>
      <c r="P23" s="822"/>
      <c r="Q23" s="69"/>
      <c r="R23" s="145"/>
      <c r="S23" s="145"/>
      <c r="T23" s="145"/>
    </row>
    <row r="24" spans="2:20">
      <c r="B24" s="200" t="s">
        <v>234</v>
      </c>
      <c r="D24" s="138"/>
      <c r="E24" s="1104">
        <f>'STR PERFORMANCE'!D15</f>
        <v>0</v>
      </c>
      <c r="L24" s="14"/>
      <c r="M24" t="s">
        <v>216</v>
      </c>
      <c r="N24" s="214">
        <f>INPUTS!F14</f>
        <v>0</v>
      </c>
      <c r="O24" s="135"/>
      <c r="P24" s="822"/>
      <c r="Q24" s="69"/>
      <c r="R24" s="145"/>
      <c r="S24" s="145"/>
      <c r="T24" s="145"/>
    </row>
    <row r="25" spans="2:20">
      <c r="B25" s="200" t="s">
        <v>235</v>
      </c>
      <c r="E25" s="1103">
        <f>'STR PERFORMANCE'!L15</f>
        <v>0</v>
      </c>
      <c r="L25" s="14"/>
      <c r="M25" t="s">
        <v>191</v>
      </c>
      <c r="N25" s="214">
        <f>INPUTS!F13</f>
        <v>0</v>
      </c>
      <c r="O25" s="135"/>
      <c r="P25" s="822"/>
      <c r="Q25" s="69"/>
      <c r="R25" s="145"/>
      <c r="S25" s="145"/>
      <c r="T25" s="145"/>
    </row>
    <row r="26" spans="2:20">
      <c r="B26" s="201" t="s">
        <v>236</v>
      </c>
      <c r="C26" s="139"/>
      <c r="D26" s="139"/>
      <c r="E26" s="1105">
        <f>'CLEAN P&amp;L'!I44</f>
        <v>0</v>
      </c>
      <c r="L26" s="14"/>
      <c r="M26" t="s">
        <v>164</v>
      </c>
      <c r="N26" s="214">
        <f>INPUTS!F16</f>
        <v>0</v>
      </c>
      <c r="O26" s="817"/>
    </row>
    <row r="27" spans="2:20">
      <c r="J27" s="71"/>
      <c r="L27" s="14"/>
      <c r="N27" s="6" t="s">
        <v>531</v>
      </c>
      <c r="O27" s="821" t="s">
        <v>194</v>
      </c>
      <c r="P27" s="68"/>
      <c r="Q27" s="72"/>
      <c r="R27" s="73"/>
      <c r="S27" s="73"/>
      <c r="T27" s="73"/>
    </row>
    <row r="28" spans="2:20">
      <c r="L28" s="14"/>
      <c r="M28" t="s">
        <v>530</v>
      </c>
      <c r="N28" s="214">
        <f>WATERFALL!E16</f>
        <v>0.1</v>
      </c>
      <c r="O28" s="210">
        <v>0</v>
      </c>
      <c r="R28" s="6"/>
    </row>
    <row r="29" spans="2:20" ht="19">
      <c r="B29" s="1129" t="s">
        <v>195</v>
      </c>
      <c r="C29" s="1130"/>
      <c r="D29" s="1130"/>
      <c r="E29" s="1130"/>
      <c r="F29" s="1130"/>
      <c r="G29" s="1130"/>
      <c r="H29" s="1130"/>
      <c r="I29" s="1130"/>
      <c r="J29" s="1131"/>
      <c r="L29" s="14"/>
      <c r="M29" t="s">
        <v>443</v>
      </c>
      <c r="N29" s="214">
        <f>WATERFALL!D17</f>
        <v>0.1</v>
      </c>
      <c r="O29" s="210">
        <f>WATERFALL!F17</f>
        <v>0.15</v>
      </c>
    </row>
    <row r="30" spans="2:20">
      <c r="B30" s="1123" t="s">
        <v>10</v>
      </c>
      <c r="C30" s="1124"/>
      <c r="D30" s="145">
        <f>E10</f>
        <v>0</v>
      </c>
      <c r="E30" s="148" t="e">
        <f>D30/$D$36</f>
        <v>#DIV/0!</v>
      </c>
      <c r="F30" s="1124" t="s">
        <v>113</v>
      </c>
      <c r="G30" s="1124"/>
      <c r="H30" s="1124"/>
      <c r="I30" s="145">
        <f>INPUTS!C12</f>
        <v>0</v>
      </c>
      <c r="J30" s="148" t="e">
        <f>I30/$I$36</f>
        <v>#DIV/0!</v>
      </c>
      <c r="L30" s="19"/>
      <c r="M30" s="139" t="s">
        <v>444</v>
      </c>
      <c r="N30" s="820">
        <f>WATERFALL!D18</f>
        <v>0.12</v>
      </c>
      <c r="O30" s="206">
        <f>WATERFALL!F18</f>
        <v>0.25</v>
      </c>
    </row>
    <row r="31" spans="2:20">
      <c r="B31" s="1123" t="s">
        <v>669</v>
      </c>
      <c r="C31" s="1124"/>
      <c r="D31" s="145">
        <f>IF(INPUTS!C24="Yes",DEBT!AH10,0)</f>
        <v>0</v>
      </c>
      <c r="E31" s="148" t="e">
        <f>D31/$D$36</f>
        <v>#DIV/0!</v>
      </c>
      <c r="F31" s="1123" t="s">
        <v>121</v>
      </c>
      <c r="G31" s="1124"/>
      <c r="H31" s="1124"/>
      <c r="I31" s="145">
        <f>IF(INPUTS!C24="Yes",DEBT!AH11+DEBT!I10,DEBT!I10)</f>
        <v>0</v>
      </c>
      <c r="J31" s="148" t="e">
        <f>I31/$I$36</f>
        <v>#DIV/0!</v>
      </c>
      <c r="N31" s="214"/>
      <c r="O31" s="214"/>
    </row>
    <row r="32" spans="2:20">
      <c r="B32" s="1123" t="s">
        <v>518</v>
      </c>
      <c r="C32" s="1124"/>
      <c r="D32" s="145">
        <f>WATERFALL!D10</f>
        <v>0</v>
      </c>
      <c r="E32" s="148" t="e">
        <f t="shared" ref="E32:E35" si="0">D32/$D$36</f>
        <v>#DIV/0!</v>
      </c>
      <c r="F32" s="1124" t="s">
        <v>9</v>
      </c>
      <c r="G32" s="1124"/>
      <c r="H32" s="1124"/>
      <c r="I32" s="145">
        <f>(INPUTS!F5*INPUTS!C12)+(INPUTS!F6*INPUTS!C12)</f>
        <v>0</v>
      </c>
      <c r="J32" s="148" t="e">
        <f>I32/$I$36</f>
        <v>#DIV/0!</v>
      </c>
    </row>
    <row r="33" spans="2:10">
      <c r="B33" s="1123" t="s">
        <v>517</v>
      </c>
      <c r="C33" s="1124"/>
      <c r="D33" s="145">
        <f>WATERFALL!D11</f>
        <v>0</v>
      </c>
      <c r="E33" s="148" t="e">
        <f t="shared" si="0"/>
        <v>#DIV/0!</v>
      </c>
      <c r="F33" s="1124" t="s">
        <v>7</v>
      </c>
      <c r="G33" s="1124"/>
      <c r="H33" s="1124"/>
      <c r="I33" s="145">
        <f>INPUTS!F15*INPUTS!C12</f>
        <v>0</v>
      </c>
      <c r="J33" s="148" t="e">
        <f>I33/$I$36</f>
        <v>#DIV/0!</v>
      </c>
    </row>
    <row r="34" spans="2:10">
      <c r="B34" s="1123" t="s">
        <v>197</v>
      </c>
      <c r="C34" s="1124"/>
      <c r="D34" s="145">
        <f>WATERFALL!D9</f>
        <v>0</v>
      </c>
      <c r="E34" s="148" t="e">
        <f t="shared" si="0"/>
        <v>#DIV/0!</v>
      </c>
      <c r="F34" s="1124" t="s">
        <v>163</v>
      </c>
      <c r="G34" s="1124"/>
      <c r="H34" s="1124"/>
      <c r="I34" s="145">
        <f>INPUTS!F10-IF(INPUTS!C24="No",INPUTS!F20-(INPUTS!F22*INPUTS!C7),0)</f>
        <v>0</v>
      </c>
      <c r="J34" s="148" t="e">
        <f t="shared" ref="J34:J35" si="1">I34/$I$36</f>
        <v>#DIV/0!</v>
      </c>
    </row>
    <row r="35" spans="2:10">
      <c r="B35" s="1127" t="s">
        <v>207</v>
      </c>
      <c r="C35" s="1128"/>
      <c r="D35" s="26">
        <f>DEBT!AH7</f>
        <v>0</v>
      </c>
      <c r="E35" s="148" t="e">
        <f t="shared" si="0"/>
        <v>#DIV/0!</v>
      </c>
      <c r="F35" s="1128" t="s">
        <v>412</v>
      </c>
      <c r="G35" s="1128"/>
      <c r="H35" s="1128"/>
      <c r="I35" s="145">
        <f>INPUTS!F19+INPUTS!F20+INPUTS!F21</f>
        <v>0</v>
      </c>
      <c r="J35" s="148" t="e">
        <f t="shared" si="1"/>
        <v>#DIV/0!</v>
      </c>
    </row>
    <row r="36" spans="2:10">
      <c r="B36" s="1125" t="s">
        <v>83</v>
      </c>
      <c r="C36" s="1126"/>
      <c r="D36" s="146">
        <f>SUM(D30:D35)</f>
        <v>0</v>
      </c>
      <c r="E36" s="149" t="e">
        <f>SUM(E30:E35)</f>
        <v>#DIV/0!</v>
      </c>
      <c r="F36" s="1126" t="s">
        <v>83</v>
      </c>
      <c r="G36" s="1126"/>
      <c r="H36" s="1126"/>
      <c r="I36" s="146">
        <f>SUM(I30:I35)</f>
        <v>0</v>
      </c>
      <c r="J36" s="149" t="e">
        <f>SUM(J30:J35)</f>
        <v>#DIV/0!</v>
      </c>
    </row>
  </sheetData>
  <mergeCells count="18">
    <mergeCell ref="B32:C32"/>
    <mergeCell ref="B33:C33"/>
    <mergeCell ref="F30:H30"/>
    <mergeCell ref="F32:H32"/>
    <mergeCell ref="F33:H33"/>
    <mergeCell ref="B31:C31"/>
    <mergeCell ref="F31:H31"/>
    <mergeCell ref="B4:E4"/>
    <mergeCell ref="G4:J4"/>
    <mergeCell ref="L4:S4"/>
    <mergeCell ref="B29:J29"/>
    <mergeCell ref="B30:C30"/>
    <mergeCell ref="B34:C34"/>
    <mergeCell ref="F34:H34"/>
    <mergeCell ref="B36:C36"/>
    <mergeCell ref="F36:H36"/>
    <mergeCell ref="B35:C35"/>
    <mergeCell ref="F35:H35"/>
  </mergeCells>
  <dataValidations count="2">
    <dataValidation type="list" allowBlank="1" showInputMessage="1" showErrorMessage="1" sqref="U4" xr:uid="{9BAA3214-1F29-FC4C-AB32-E26E8ACE786C}">
      <formula1>$V$5:$V$6</formula1>
    </dataValidation>
    <dataValidation type="list" allowBlank="1" showInputMessage="1" showErrorMessage="1" sqref="U7" xr:uid="{57BBC98F-C425-1349-A03C-065B7B270176}">
      <formula1>$U$8:$U$9</formula1>
    </dataValidation>
  </dataValidations>
  <pageMargins left="0.25" right="0.25" top="0.25" bottom="0.25" header="0" footer="0"/>
  <pageSetup scale="52"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A7057-8DEF-354D-A087-63EDC4756A50}">
  <sheetPr>
    <tabColor theme="7" tint="0.59999389629810485"/>
    <pageSetUpPr fitToPage="1"/>
  </sheetPr>
  <dimension ref="A1:Z43"/>
  <sheetViews>
    <sheetView showGridLines="0" workbookViewId="0">
      <selection activeCell="L41" sqref="L41"/>
    </sheetView>
  </sheetViews>
  <sheetFormatPr baseColWidth="10" defaultRowHeight="16"/>
  <cols>
    <col min="1" max="1" width="2.5" customWidth="1"/>
    <col min="2" max="2" width="17.5" customWidth="1"/>
    <col min="3" max="3" width="18.33203125" customWidth="1"/>
    <col min="5" max="5" width="35.83203125" customWidth="1"/>
    <col min="6" max="6" width="13.1640625" bestFit="1" customWidth="1"/>
    <col min="8" max="8" width="24.5" customWidth="1"/>
    <col min="9" max="9" width="16.1640625" customWidth="1"/>
    <col min="11" max="11" width="16.83203125" customWidth="1"/>
    <col min="12" max="12" width="14.83203125" customWidth="1"/>
    <col min="13" max="13" width="15.33203125" customWidth="1"/>
    <col min="14" max="14" width="4.33203125" customWidth="1"/>
    <col min="15" max="15" width="14.6640625" customWidth="1"/>
    <col min="16" max="16" width="15.6640625" customWidth="1"/>
    <col min="17" max="17" width="14" customWidth="1"/>
  </cols>
  <sheetData>
    <row r="1" spans="1:26" ht="17" customHeight="1"/>
    <row r="2" spans="1:26" s="415" customFormat="1" ht="21" thickBot="1">
      <c r="B2" s="415" t="s">
        <v>0</v>
      </c>
    </row>
    <row r="4" spans="1:26" ht="17" thickBot="1">
      <c r="B4" s="1118" t="s">
        <v>1</v>
      </c>
      <c r="C4" s="1120"/>
      <c r="E4" s="1118" t="s">
        <v>6</v>
      </c>
      <c r="F4" s="1120"/>
      <c r="H4" s="1118" t="s">
        <v>15</v>
      </c>
      <c r="I4" s="1120"/>
      <c r="K4" s="1118" t="s">
        <v>226</v>
      </c>
      <c r="L4" s="1120"/>
      <c r="Z4" t="s">
        <v>222</v>
      </c>
    </row>
    <row r="5" spans="1:26">
      <c r="B5" s="14" t="s">
        <v>254</v>
      </c>
      <c r="C5" s="188">
        <v>0</v>
      </c>
      <c r="E5" s="14" t="s">
        <v>8</v>
      </c>
      <c r="F5" s="122">
        <v>0</v>
      </c>
      <c r="H5" s="14" t="s">
        <v>760</v>
      </c>
      <c r="I5" s="120">
        <v>0</v>
      </c>
      <c r="K5" s="14" t="s">
        <v>113</v>
      </c>
      <c r="L5" s="187">
        <f>C12</f>
        <v>0</v>
      </c>
      <c r="Z5" t="s">
        <v>223</v>
      </c>
    </row>
    <row r="6" spans="1:26">
      <c r="B6" s="14" t="s">
        <v>2</v>
      </c>
      <c r="C6" s="188">
        <v>0</v>
      </c>
      <c r="E6" s="14" t="s">
        <v>9</v>
      </c>
      <c r="F6" s="122">
        <v>0</v>
      </c>
      <c r="H6" s="14" t="s">
        <v>774</v>
      </c>
      <c r="I6" s="120">
        <v>0</v>
      </c>
      <c r="K6" s="14" t="s">
        <v>536</v>
      </c>
      <c r="L6" s="187">
        <v>0</v>
      </c>
    </row>
    <row r="7" spans="1:26">
      <c r="B7" s="14" t="s">
        <v>3</v>
      </c>
      <c r="C7" s="188">
        <v>0</v>
      </c>
      <c r="E7" s="14" t="s">
        <v>172</v>
      </c>
      <c r="F7" s="122">
        <v>0</v>
      </c>
      <c r="H7" s="14" t="s">
        <v>775</v>
      </c>
      <c r="I7" s="1022">
        <v>0</v>
      </c>
      <c r="K7" s="14" t="s">
        <v>227</v>
      </c>
      <c r="L7" s="187">
        <v>0</v>
      </c>
    </row>
    <row r="8" spans="1:26">
      <c r="A8" s="16" t="s">
        <v>170</v>
      </c>
      <c r="B8" s="14" t="s">
        <v>4</v>
      </c>
      <c r="C8" s="188">
        <v>0</v>
      </c>
      <c r="E8" s="14" t="s">
        <v>516</v>
      </c>
      <c r="F8" s="341">
        <f>(F20-(F22*C7))*(1-IF(C24="Yes",C25,0))+(F7+F16)*F20</f>
        <v>0</v>
      </c>
      <c r="H8" s="1023" t="s">
        <v>761</v>
      </c>
      <c r="I8" s="1024" t="s">
        <v>767</v>
      </c>
      <c r="J8" s="16" t="s">
        <v>222</v>
      </c>
      <c r="K8" s="14" t="s">
        <v>537</v>
      </c>
      <c r="L8" s="839">
        <v>0</v>
      </c>
    </row>
    <row r="9" spans="1:26">
      <c r="A9" s="16"/>
      <c r="B9" s="14"/>
      <c r="C9" s="188"/>
      <c r="E9" s="14"/>
      <c r="F9" s="341"/>
      <c r="J9" s="16"/>
      <c r="K9" s="14"/>
      <c r="L9" s="839"/>
    </row>
    <row r="10" spans="1:26" ht="17" thickBot="1">
      <c r="A10" s="16" t="s">
        <v>171</v>
      </c>
      <c r="B10" s="14" t="s">
        <v>5</v>
      </c>
      <c r="C10" s="188">
        <v>0</v>
      </c>
      <c r="E10" s="19" t="s">
        <v>163</v>
      </c>
      <c r="F10" s="186">
        <f>F8</f>
        <v>0</v>
      </c>
      <c r="H10" s="1118" t="s">
        <v>16</v>
      </c>
      <c r="I10" s="1120"/>
      <c r="J10" s="16" t="s">
        <v>223</v>
      </c>
      <c r="K10" s="14" t="s">
        <v>228</v>
      </c>
      <c r="L10" s="839">
        <v>0</v>
      </c>
    </row>
    <row r="11" spans="1:26">
      <c r="B11" s="14" t="s">
        <v>211</v>
      </c>
      <c r="C11" s="187">
        <v>0</v>
      </c>
      <c r="H11" s="14" t="s">
        <v>215</v>
      </c>
      <c r="I11" s="128">
        <v>0</v>
      </c>
      <c r="K11" s="18" t="s">
        <v>538</v>
      </c>
      <c r="L11" s="837" t="str">
        <f>IFERROR(L10/L8,"")</f>
        <v/>
      </c>
    </row>
    <row r="12" spans="1:26" ht="17" thickBot="1">
      <c r="B12" s="805" t="s">
        <v>113</v>
      </c>
      <c r="C12" s="806">
        <v>0</v>
      </c>
      <c r="E12" s="1118" t="s">
        <v>347</v>
      </c>
      <c r="F12" s="1120"/>
      <c r="H12" s="14" t="s">
        <v>23</v>
      </c>
      <c r="I12" s="122">
        <v>0</v>
      </c>
      <c r="K12" s="19" t="s">
        <v>535</v>
      </c>
      <c r="L12" s="838" t="str">
        <f>IFERROR(IF(L11="","",(L5-L6-L7)*L11),"")</f>
        <v/>
      </c>
    </row>
    <row r="13" spans="1:26">
      <c r="E13" s="14" t="s">
        <v>17</v>
      </c>
      <c r="F13" s="122">
        <v>0</v>
      </c>
      <c r="H13" s="14" t="s">
        <v>24</v>
      </c>
      <c r="I13" s="120">
        <v>0</v>
      </c>
    </row>
    <row r="14" spans="1:26">
      <c r="E14" s="14" t="s">
        <v>216</v>
      </c>
      <c r="F14" s="122">
        <v>0</v>
      </c>
      <c r="H14" s="19" t="s">
        <v>14</v>
      </c>
      <c r="I14" s="123">
        <v>0</v>
      </c>
    </row>
    <row r="15" spans="1:26" ht="17" thickBot="1">
      <c r="B15" s="1118" t="s">
        <v>10</v>
      </c>
      <c r="C15" s="1120"/>
      <c r="E15" s="14" t="s">
        <v>7</v>
      </c>
      <c r="F15" s="122">
        <v>0</v>
      </c>
    </row>
    <row r="16" spans="1:26" ht="17" thickBot="1">
      <c r="B16" s="14" t="s">
        <v>521</v>
      </c>
      <c r="C16" s="122">
        <v>0</v>
      </c>
      <c r="D16" s="16" t="s">
        <v>170</v>
      </c>
      <c r="E16" s="19" t="s">
        <v>164</v>
      </c>
      <c r="F16" s="680">
        <v>0</v>
      </c>
      <c r="H16" s="1118" t="s">
        <v>149</v>
      </c>
      <c r="I16" s="1119"/>
      <c r="J16" s="1120"/>
    </row>
    <row r="17" spans="2:12">
      <c r="B17" s="14" t="s">
        <v>11</v>
      </c>
      <c r="C17" s="120">
        <v>0</v>
      </c>
      <c r="D17" s="16" t="s">
        <v>520</v>
      </c>
      <c r="H17" s="14"/>
      <c r="I17" s="835" t="s">
        <v>151</v>
      </c>
      <c r="J17" s="836" t="s">
        <v>150</v>
      </c>
    </row>
    <row r="18" spans="2:12" ht="17" thickBot="1">
      <c r="B18" s="14" t="s">
        <v>12</v>
      </c>
      <c r="C18" s="122">
        <v>0</v>
      </c>
      <c r="E18" s="1118" t="s">
        <v>201</v>
      </c>
      <c r="F18" s="1120"/>
      <c r="H18" s="14" t="s">
        <v>20</v>
      </c>
      <c r="I18" s="832">
        <v>3</v>
      </c>
      <c r="J18" s="830" t="str">
        <f>IFERROR(IF(I18="","",INDEX('PRO FORMA'!E17:W17,MATCH(C33,'PRO FORMA'!E5:W5,0))*I18),"")</f>
        <v/>
      </c>
    </row>
    <row r="19" spans="2:12">
      <c r="B19" s="14" t="s">
        <v>168</v>
      </c>
      <c r="C19" s="120">
        <v>0</v>
      </c>
      <c r="E19" s="14" t="s">
        <v>202</v>
      </c>
      <c r="F19" s="126">
        <v>0</v>
      </c>
      <c r="H19" s="14" t="s">
        <v>21</v>
      </c>
      <c r="I19" s="833">
        <v>8.5000000000000006E-2</v>
      </c>
      <c r="J19" s="830" t="str">
        <f>IFERROR(IF(I19="","",INDEX('PRO FORMA'!E55:W55,MATCH(C33,'PRO FORMA'!E5:W5,0))/I19),"")</f>
        <v/>
      </c>
    </row>
    <row r="20" spans="2:12">
      <c r="B20" s="14" t="s">
        <v>13</v>
      </c>
      <c r="C20" s="120">
        <v>0</v>
      </c>
      <c r="E20" s="14" t="s">
        <v>203</v>
      </c>
      <c r="F20" s="341">
        <f>IF(F23="Simple",PIP!L6,PIP!G69)</f>
        <v>0</v>
      </c>
      <c r="H20" s="19" t="s">
        <v>22</v>
      </c>
      <c r="I20" s="834">
        <v>70000</v>
      </c>
      <c r="J20" s="831">
        <f>IF(I20="","",I20*C7)</f>
        <v>0</v>
      </c>
    </row>
    <row r="21" spans="2:12">
      <c r="B21" s="19" t="s">
        <v>14</v>
      </c>
      <c r="C21" s="123">
        <v>0</v>
      </c>
      <c r="E21" s="14" t="s">
        <v>204</v>
      </c>
      <c r="F21" s="126">
        <v>0</v>
      </c>
    </row>
    <row r="22" spans="2:12" ht="17" thickBot="1">
      <c r="E22" s="14" t="s">
        <v>210</v>
      </c>
      <c r="F22" s="126">
        <v>0</v>
      </c>
      <c r="H22" s="1118" t="s">
        <v>19</v>
      </c>
      <c r="I22" s="1119"/>
      <c r="J22" s="1120"/>
    </row>
    <row r="23" spans="2:12" ht="17" thickBot="1">
      <c r="B23" s="1118" t="s">
        <v>648</v>
      </c>
      <c r="C23" s="1120"/>
      <c r="E23" s="19" t="s">
        <v>333</v>
      </c>
      <c r="F23" s="189" t="s">
        <v>222</v>
      </c>
      <c r="H23" s="14"/>
      <c r="I23" s="835" t="s">
        <v>99</v>
      </c>
      <c r="J23" s="836" t="s">
        <v>150</v>
      </c>
    </row>
    <row r="24" spans="2:12">
      <c r="B24" s="14" t="s">
        <v>519</v>
      </c>
      <c r="C24" s="188" t="s">
        <v>520</v>
      </c>
      <c r="H24" s="14" t="s">
        <v>20</v>
      </c>
      <c r="I24" s="832">
        <v>3</v>
      </c>
      <c r="J24" s="830" t="str">
        <f>IFERROR(IF(I24="","",INDEX('PRO FORMA'!E17:W17,MATCH(I13,'PRO FORMA'!E5:W5,0))*I24),"")</f>
        <v/>
      </c>
    </row>
    <row r="25" spans="2:12" ht="17" thickBot="1">
      <c r="B25" s="14" t="s">
        <v>649</v>
      </c>
      <c r="C25" s="122">
        <v>0</v>
      </c>
      <c r="E25" s="1118" t="s">
        <v>212</v>
      </c>
      <c r="F25" s="1120"/>
      <c r="H25" s="14" t="s">
        <v>21</v>
      </c>
      <c r="I25" s="833">
        <v>8.5000000000000006E-2</v>
      </c>
      <c r="J25" s="830" t="str">
        <f>IFERROR(IF(I25="","",INDEX('PRO FORMA'!E55:W55,MATCH(I13,'PRO FORMA'!E5:W5,0))/I25),"")</f>
        <v/>
      </c>
    </row>
    <row r="26" spans="2:12">
      <c r="B26" s="14" t="s">
        <v>563</v>
      </c>
      <c r="C26" s="120">
        <v>0</v>
      </c>
      <c r="E26" s="14" t="s">
        <v>225</v>
      </c>
      <c r="F26" s="126">
        <v>0</v>
      </c>
      <c r="H26" s="19" t="s">
        <v>22</v>
      </c>
      <c r="I26" s="834">
        <v>70000</v>
      </c>
      <c r="J26" s="831">
        <f>IF(I26="","",I26*C7)</f>
        <v>0</v>
      </c>
    </row>
    <row r="27" spans="2:12">
      <c r="B27" s="14" t="s">
        <v>12</v>
      </c>
      <c r="C27" s="122">
        <v>0</v>
      </c>
      <c r="E27" s="14" t="s">
        <v>213</v>
      </c>
      <c r="F27" s="126">
        <v>0</v>
      </c>
    </row>
    <row r="28" spans="2:12" ht="17" thickBot="1">
      <c r="B28" s="14" t="s">
        <v>168</v>
      </c>
      <c r="C28" s="120">
        <v>0</v>
      </c>
      <c r="E28" s="14" t="s">
        <v>106</v>
      </c>
      <c r="F28" s="126">
        <v>0</v>
      </c>
      <c r="H28" s="1118" t="s">
        <v>218</v>
      </c>
      <c r="I28" s="1120"/>
      <c r="K28" s="1118" t="s">
        <v>217</v>
      </c>
      <c r="L28" s="1120"/>
    </row>
    <row r="29" spans="2:12">
      <c r="B29" s="14" t="s">
        <v>13</v>
      </c>
      <c r="C29" s="120">
        <v>0</v>
      </c>
      <c r="E29" s="14" t="s">
        <v>107</v>
      </c>
      <c r="F29" s="126">
        <v>0</v>
      </c>
      <c r="H29" s="14" t="s">
        <v>72</v>
      </c>
      <c r="I29" s="185" t="e">
        <f>INDEX('STR INPUT'!$W$69:$AH$69,MATCH(INPUTS!H29,'STR INPUT'!$W$68:$AH$68,0))/SUM('STR INPUT'!$W$69:$AH$69)</f>
        <v>#N/A</v>
      </c>
      <c r="K29" s="14" t="s">
        <v>72</v>
      </c>
      <c r="L29" s="122">
        <v>0</v>
      </c>
    </row>
    <row r="30" spans="2:12">
      <c r="B30" s="19" t="s">
        <v>14</v>
      </c>
      <c r="C30" s="123">
        <v>0</v>
      </c>
      <c r="E30" s="14" t="s">
        <v>108</v>
      </c>
      <c r="F30" s="126">
        <v>0</v>
      </c>
      <c r="H30" s="14" t="s">
        <v>73</v>
      </c>
      <c r="I30" s="185" t="e">
        <f>INDEX('STR INPUT'!$W$69:$AH$69,MATCH(INPUTS!H30,'STR INPUT'!$W$68:$AH$68,0))/SUM('STR INPUT'!$W$69:$AH$69)</f>
        <v>#N/A</v>
      </c>
      <c r="K30" s="14" t="s">
        <v>73</v>
      </c>
      <c r="L30" s="122">
        <v>0</v>
      </c>
    </row>
    <row r="31" spans="2:12">
      <c r="E31" s="14" t="s">
        <v>109</v>
      </c>
      <c r="F31" s="126">
        <v>0</v>
      </c>
      <c r="H31" s="14" t="s">
        <v>74</v>
      </c>
      <c r="I31" s="185" t="e">
        <f>INDEX('STR INPUT'!$W$69:$AH$69,MATCH(INPUTS!H31,'STR INPUT'!$W$68:$AH$68,0))/SUM('STR INPUT'!$W$69:$AH$69)</f>
        <v>#N/A</v>
      </c>
      <c r="K31" s="14" t="s">
        <v>74</v>
      </c>
      <c r="L31" s="122">
        <v>0</v>
      </c>
    </row>
    <row r="32" spans="2:12" ht="17" thickBot="1">
      <c r="B32" s="1118" t="s">
        <v>205</v>
      </c>
      <c r="C32" s="1120"/>
      <c r="E32" s="14" t="s">
        <v>214</v>
      </c>
      <c r="F32" s="126">
        <v>0</v>
      </c>
      <c r="H32" s="14" t="s">
        <v>75</v>
      </c>
      <c r="I32" s="185" t="e">
        <f>INDEX('STR INPUT'!$W$69:$AH$69,MATCH(INPUTS!H32,'STR INPUT'!$W$68:$AH$68,0))/SUM('STR INPUT'!$W$69:$AH$69)</f>
        <v>#N/A</v>
      </c>
      <c r="K32" s="14" t="s">
        <v>75</v>
      </c>
      <c r="L32" s="122">
        <v>0</v>
      </c>
    </row>
    <row r="33" spans="2:12">
      <c r="B33" s="14" t="s">
        <v>251</v>
      </c>
      <c r="C33" s="120"/>
      <c r="E33" s="14" t="s">
        <v>220</v>
      </c>
      <c r="F33" s="126">
        <v>0</v>
      </c>
      <c r="H33" s="14" t="s">
        <v>76</v>
      </c>
      <c r="I33" s="185" t="e">
        <f>INDEX('STR INPUT'!$W$69:$AH$69,MATCH(INPUTS!H33,'STR INPUT'!$W$68:$AH$68,0))/SUM('STR INPUT'!$W$69:$AH$69)</f>
        <v>#N/A</v>
      </c>
      <c r="K33" s="14" t="s">
        <v>76</v>
      </c>
      <c r="L33" s="122">
        <v>0</v>
      </c>
    </row>
    <row r="34" spans="2:12">
      <c r="B34" s="14" t="s">
        <v>169</v>
      </c>
      <c r="C34" s="128">
        <v>0</v>
      </c>
      <c r="E34" s="19" t="s">
        <v>296</v>
      </c>
      <c r="F34" s="186">
        <v>0</v>
      </c>
      <c r="H34" s="14" t="s">
        <v>77</v>
      </c>
      <c r="I34" s="185" t="e">
        <f>INDEX('STR INPUT'!$W$69:$AH$69,MATCH(INPUTS!H34,'STR INPUT'!$W$68:$AH$68,0))/SUM('STR INPUT'!$W$69:$AH$69)</f>
        <v>#N/A</v>
      </c>
      <c r="K34" s="14" t="s">
        <v>77</v>
      </c>
      <c r="L34" s="122">
        <v>0</v>
      </c>
    </row>
    <row r="35" spans="2:12">
      <c r="B35" s="14" t="s">
        <v>115</v>
      </c>
      <c r="C35" s="122">
        <v>0</v>
      </c>
      <c r="E35" s="19" t="s">
        <v>209</v>
      </c>
      <c r="F35" s="127">
        <f>SUM(F26:F34)</f>
        <v>0</v>
      </c>
      <c r="H35" s="14" t="s">
        <v>78</v>
      </c>
      <c r="I35" s="185" t="e">
        <f>INDEX('STR INPUT'!$W$69:$AH$69,MATCH(INPUTS!H35,'STR INPUT'!$W$68:$AH$68,0))/SUM('STR INPUT'!$W$69:$AH$69)</f>
        <v>#N/A</v>
      </c>
      <c r="K35" s="14" t="s">
        <v>78</v>
      </c>
      <c r="L35" s="122">
        <v>0</v>
      </c>
    </row>
    <row r="36" spans="2:12">
      <c r="B36" s="14" t="s">
        <v>11</v>
      </c>
      <c r="C36" s="120">
        <v>0</v>
      </c>
      <c r="H36" s="14" t="s">
        <v>79</v>
      </c>
      <c r="I36" s="185" t="e">
        <f>INDEX('STR INPUT'!$W$69:$AH$69,MATCH(INPUTS!H36,'STR INPUT'!$W$68:$AH$68,0))/SUM('STR INPUT'!$W$69:$AH$69)</f>
        <v>#N/A</v>
      </c>
      <c r="K36" s="14" t="s">
        <v>79</v>
      </c>
      <c r="L36" s="122">
        <v>0</v>
      </c>
    </row>
    <row r="37" spans="2:12">
      <c r="B37" s="14" t="s">
        <v>12</v>
      </c>
      <c r="C37" s="122">
        <v>0</v>
      </c>
      <c r="H37" s="14" t="s">
        <v>80</v>
      </c>
      <c r="I37" s="185" t="e">
        <f>INDEX('STR INPUT'!$W$69:$AH$69,MATCH(INPUTS!H37,'STR INPUT'!$W$68:$AH$68,0))/SUM('STR INPUT'!$W$69:$AH$69)</f>
        <v>#N/A</v>
      </c>
      <c r="K37" s="14" t="s">
        <v>80</v>
      </c>
      <c r="L37" s="122">
        <v>0</v>
      </c>
    </row>
    <row r="38" spans="2:12">
      <c r="B38" s="14" t="s">
        <v>168</v>
      </c>
      <c r="C38" s="120">
        <v>0</v>
      </c>
      <c r="H38" s="14" t="s">
        <v>81</v>
      </c>
      <c r="I38" s="185" t="e">
        <f>INDEX('STR INPUT'!$W$69:$AH$69,MATCH(INPUTS!H38,'STR INPUT'!$W$68:$AH$68,0))/SUM('STR INPUT'!$W$69:$AH$69)</f>
        <v>#N/A</v>
      </c>
      <c r="K38" s="14" t="s">
        <v>81</v>
      </c>
      <c r="L38" s="122">
        <v>0</v>
      </c>
    </row>
    <row r="39" spans="2:12">
      <c r="B39" s="14" t="s">
        <v>13</v>
      </c>
      <c r="C39" s="129">
        <v>0</v>
      </c>
      <c r="H39" s="14" t="s">
        <v>332</v>
      </c>
      <c r="I39" s="185" t="e">
        <f>INDEX('STR INPUT'!$W$69:$AH$69,MATCH(INPUTS!H39,'STR INPUT'!$W$68:$AH$68,0))/SUM('STR INPUT'!$W$69:$AH$69)</f>
        <v>#N/A</v>
      </c>
      <c r="K39" s="14" t="s">
        <v>332</v>
      </c>
      <c r="L39" s="122">
        <v>0</v>
      </c>
    </row>
    <row r="40" spans="2:12">
      <c r="B40" s="14" t="s">
        <v>206</v>
      </c>
      <c r="C40" s="122">
        <v>0</v>
      </c>
      <c r="H40" s="19" t="s">
        <v>82</v>
      </c>
      <c r="I40" s="185" t="e">
        <f>INDEX('STR INPUT'!$W$69:$AH$69,MATCH(INPUTS!H40,'STR INPUT'!$W$68:$AH$68,0))/SUM('STR INPUT'!$W$69:$AH$69)</f>
        <v>#N/A</v>
      </c>
      <c r="K40" s="19" t="s">
        <v>82</v>
      </c>
      <c r="L40" s="123">
        <v>0</v>
      </c>
    </row>
    <row r="41" spans="2:12">
      <c r="B41" s="19" t="s">
        <v>219</v>
      </c>
      <c r="C41" s="123">
        <v>0</v>
      </c>
      <c r="H41" s="19" t="s">
        <v>208</v>
      </c>
      <c r="I41" s="184" t="e">
        <f>IF(SUM(I29:I40)=1,"OK","ERROR")</f>
        <v>#N/A</v>
      </c>
      <c r="K41" s="19" t="s">
        <v>208</v>
      </c>
      <c r="L41" s="183" t="str">
        <f>IF(SUM(L29:L40)=1,"OK","ERROR")</f>
        <v>ERROR</v>
      </c>
    </row>
    <row r="42" spans="2:12">
      <c r="H42" s="18" t="s">
        <v>209</v>
      </c>
      <c r="I42" s="23" t="e">
        <f>SUM(I29:I40)</f>
        <v>#N/A</v>
      </c>
      <c r="K42" s="18" t="s">
        <v>209</v>
      </c>
      <c r="L42" s="23">
        <f>SUM(L29:L40)</f>
        <v>0</v>
      </c>
    </row>
    <row r="43" spans="2:12">
      <c r="H43" s="26"/>
    </row>
  </sheetData>
  <mergeCells count="15">
    <mergeCell ref="B32:C32"/>
    <mergeCell ref="H16:J16"/>
    <mergeCell ref="K4:L4"/>
    <mergeCell ref="H22:J22"/>
    <mergeCell ref="E25:F25"/>
    <mergeCell ref="K28:L28"/>
    <mergeCell ref="B23:C23"/>
    <mergeCell ref="B4:C4"/>
    <mergeCell ref="H28:I28"/>
    <mergeCell ref="B15:C15"/>
    <mergeCell ref="E4:F4"/>
    <mergeCell ref="H4:I4"/>
    <mergeCell ref="E18:F18"/>
    <mergeCell ref="E12:F12"/>
    <mergeCell ref="H10:I10"/>
  </mergeCells>
  <conditionalFormatting sqref="B4 E4 H4 B15 B23">
    <cfRule type="expression" dxfId="23" priority="18" stopIfTrue="1">
      <formula>AND($B4="Total Income",B$90&lt;&gt;"")</formula>
    </cfRule>
  </conditionalFormatting>
  <conditionalFormatting sqref="B32">
    <cfRule type="expression" dxfId="22" priority="151" stopIfTrue="1">
      <formula>AND($B18="Total Income",H$90&lt;&gt;"")</formula>
    </cfRule>
  </conditionalFormatting>
  <conditionalFormatting sqref="E12">
    <cfRule type="expression" dxfId="21" priority="69" stopIfTrue="1">
      <formula>AND($B15="Total Income",E$90&lt;&gt;"")</formula>
    </cfRule>
  </conditionalFormatting>
  <conditionalFormatting sqref="E25">
    <cfRule type="expression" dxfId="20" priority="3" stopIfTrue="1">
      <formula>AND(#REF!="Total Income",N$90&lt;&gt;"")</formula>
    </cfRule>
  </conditionalFormatting>
  <conditionalFormatting sqref="H10 E18">
    <cfRule type="expression" dxfId="19" priority="72" stopIfTrue="1">
      <formula>AND($B11="Total Income",E$90&lt;&gt;"")</formula>
    </cfRule>
  </conditionalFormatting>
  <conditionalFormatting sqref="H16">
    <cfRule type="expression" dxfId="18" priority="112" stopIfTrue="1">
      <formula>AND($B15="Total Income",O$90&lt;&gt;"")</formula>
    </cfRule>
  </conditionalFormatting>
  <conditionalFormatting sqref="H22">
    <cfRule type="expression" dxfId="17" priority="113" stopIfTrue="1">
      <formula>AND($B15="Total Income",K$90&lt;&gt;"")</formula>
    </cfRule>
  </conditionalFormatting>
  <conditionalFormatting sqref="H28">
    <cfRule type="expression" dxfId="16" priority="5" stopIfTrue="1">
      <formula>AND(#REF!="Total Income",H$90&lt;&gt;"")</formula>
    </cfRule>
  </conditionalFormatting>
  <conditionalFormatting sqref="K4">
    <cfRule type="expression" dxfId="15" priority="2" stopIfTrue="1">
      <formula>AND(#REF!="Total Income",Q$90&lt;&gt;"")</formula>
    </cfRule>
  </conditionalFormatting>
  <conditionalFormatting sqref="K28">
    <cfRule type="expression" dxfId="14" priority="29" stopIfTrue="1">
      <formula>AND(#REF!="Total Income",E$90&lt;&gt;"")</formula>
    </cfRule>
  </conditionalFormatting>
  <dataValidations count="3">
    <dataValidation type="list" allowBlank="1" showInputMessage="1" showErrorMessage="1" sqref="F23" xr:uid="{D7BC4DE3-73DA-E44A-B5A2-A703D47CB48A}">
      <formula1>$Z$4:$Z$5</formula1>
    </dataValidation>
    <dataValidation type="list" allowBlank="1" showInputMessage="1" showErrorMessage="1" sqref="C24" xr:uid="{B110F906-B317-9B40-82BE-0B5D34E37EAC}">
      <formula1>$D$16:$D$17</formula1>
    </dataValidation>
    <dataValidation type="list" allowBlank="1" showInputMessage="1" showErrorMessage="1" errorTitle="Invalid Selection" error="Please select Year Start, Even Distribution, or Custom" sqref="I8" xr:uid="{258C7584-DE33-894C-8306-9564EB59E9B9}">
      <formula1>"Year Start,Even Distribution,Custom"</formula1>
    </dataValidation>
  </dataValidations>
  <pageMargins left="0.25" right="0.25" top="0.25" bottom="0.25" header="0" footer="0"/>
  <pageSetup scale="35"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0979-3CFF-F842-B942-7069C14FA130}">
  <sheetPr>
    <tabColor theme="7" tint="0.59999389629810485"/>
    <pageSetUpPr fitToPage="1"/>
  </sheetPr>
  <dimension ref="B1:AA138"/>
  <sheetViews>
    <sheetView showGridLines="0" topLeftCell="A37" workbookViewId="0">
      <selection activeCell="L6" sqref="L6"/>
    </sheetView>
  </sheetViews>
  <sheetFormatPr baseColWidth="10" defaultRowHeight="16"/>
  <cols>
    <col min="1" max="1" width="3.1640625" customWidth="1"/>
    <col min="2" max="2" width="26.33203125" customWidth="1"/>
    <col min="3" max="3" width="17" customWidth="1"/>
    <col min="4" max="4" width="20.1640625" customWidth="1"/>
    <col min="5" max="5" width="16" customWidth="1"/>
    <col min="6" max="6" width="45" customWidth="1"/>
    <col min="7" max="7" width="14.1640625" customWidth="1"/>
    <col min="8" max="8" width="55.33203125" customWidth="1"/>
    <col min="11" max="11" width="28.6640625" customWidth="1"/>
    <col min="12" max="12" width="13.1640625" customWidth="1"/>
    <col min="14" max="14" width="30.6640625" bestFit="1" customWidth="1"/>
    <col min="15" max="15" width="13.5" bestFit="1" customWidth="1"/>
    <col min="16" max="17" width="13.6640625" bestFit="1" customWidth="1"/>
    <col min="18" max="19" width="13.83203125" bestFit="1" customWidth="1"/>
    <col min="20" max="20" width="12.33203125" bestFit="1" customWidth="1"/>
    <col min="21" max="21" width="11.83203125" bestFit="1" customWidth="1"/>
    <col min="22" max="22" width="12.83203125" bestFit="1" customWidth="1"/>
    <col min="23" max="23" width="9.5" bestFit="1" customWidth="1"/>
    <col min="24" max="24" width="12" bestFit="1" customWidth="1"/>
    <col min="25" max="25" width="9.1640625" bestFit="1" customWidth="1"/>
    <col min="26" max="26" width="16.6640625" bestFit="1" customWidth="1"/>
  </cols>
  <sheetData>
    <row r="1" spans="2:27" ht="20" thickBot="1">
      <c r="N1" s="1017" t="s">
        <v>762</v>
      </c>
      <c r="O1" s="1018"/>
      <c r="P1" s="1018"/>
      <c r="Q1" s="1018"/>
      <c r="R1" s="1018"/>
      <c r="S1" s="1018"/>
      <c r="T1" s="1018"/>
      <c r="U1" s="1018"/>
      <c r="V1" s="1018"/>
      <c r="W1" s="1018"/>
      <c r="X1" s="1018"/>
      <c r="Y1" s="1018"/>
      <c r="Z1" s="1018"/>
      <c r="AA1" s="888"/>
    </row>
    <row r="2" spans="2:27" s="415" customFormat="1" ht="28" customHeight="1" thickBot="1">
      <c r="B2" s="415" t="s">
        <v>152</v>
      </c>
      <c r="N2" s="1020"/>
      <c r="O2" s="1020"/>
      <c r="P2" s="1020"/>
      <c r="Q2" s="1020"/>
      <c r="R2" s="1020"/>
      <c r="S2" s="1020"/>
      <c r="T2" s="1020"/>
      <c r="U2" s="1020"/>
      <c r="V2" s="1020"/>
      <c r="W2" s="1020"/>
      <c r="X2" s="1020"/>
      <c r="Y2" s="1020"/>
      <c r="Z2" s="1020"/>
    </row>
    <row r="4" spans="2:27" ht="20" thickBot="1">
      <c r="B4" s="74" t="s">
        <v>224</v>
      </c>
      <c r="C4" s="79"/>
      <c r="D4" s="79"/>
      <c r="E4" s="79"/>
      <c r="F4" s="79"/>
      <c r="G4" s="79"/>
      <c r="H4" s="80"/>
      <c r="K4" s="74" t="s">
        <v>165</v>
      </c>
      <c r="L4" s="75"/>
      <c r="N4" s="1055" t="s">
        <v>67</v>
      </c>
      <c r="O4" s="1056" t="s">
        <v>763</v>
      </c>
      <c r="P4" s="1056" t="s">
        <v>764</v>
      </c>
      <c r="Q4" s="1056" t="s">
        <v>765</v>
      </c>
      <c r="R4" s="1056" t="s">
        <v>766</v>
      </c>
      <c r="S4" s="1056" t="s">
        <v>659</v>
      </c>
      <c r="T4" s="1056" t="s">
        <v>660</v>
      </c>
      <c r="U4" s="1056" t="s">
        <v>661</v>
      </c>
      <c r="V4" s="1056" t="s">
        <v>662</v>
      </c>
      <c r="W4" s="1056" t="s">
        <v>666</v>
      </c>
      <c r="X4" s="1056" t="s">
        <v>771</v>
      </c>
      <c r="Y4" s="1056" t="s">
        <v>142</v>
      </c>
      <c r="Z4" s="1057" t="s">
        <v>772</v>
      </c>
    </row>
    <row r="5" spans="2:27">
      <c r="B5" s="14"/>
      <c r="H5" s="15"/>
      <c r="K5" s="14" t="s">
        <v>199</v>
      </c>
      <c r="L5" s="76">
        <v>0</v>
      </c>
      <c r="N5" s="1066">
        <v>1</v>
      </c>
      <c r="O5" s="1058" cm="1">
        <f t="array" ref="O5">SUMPRODUCT(($O$19:$O$138=N5)*$P$19:$P$138)</f>
        <v>0</v>
      </c>
      <c r="P5" s="1058" cm="1">
        <f t="array" ref="P5">SUMPRODUCT(($O$19:$O$138=N5)*$Q$19:$Q$138)</f>
        <v>0</v>
      </c>
      <c r="Q5" s="1058" cm="1">
        <f t="array" ref="Q5">SUMPRODUCT(($O$19:$O$138=N5)*$R$19:$R$138)</f>
        <v>0</v>
      </c>
      <c r="R5" s="1058" cm="1">
        <f t="array" ref="R5">SUMPRODUCT(($O$19:$O$138=N5)*$S$19:$S$138)</f>
        <v>0</v>
      </c>
      <c r="S5" s="1058">
        <f>IF(N5=CEILING(INPUTS!$I$6/12,1), DEBT!$AH$7*INPUTS!$I$7, IF(N5=CEILING((INPUTS!$I$6+INPUTS!$I$5-1)/12,1), DEBT!$AH$7*(1-INPUTS!$I$7), 0))</f>
        <v>0</v>
      </c>
      <c r="T5" s="1058">
        <f>MAX(0, R5 - S5)</f>
        <v>0</v>
      </c>
      <c r="U5" s="1058">
        <f>IF(INPUTS!$C$24="Yes", T5*DEBT!$AH$9, 0)</f>
        <v>0</v>
      </c>
      <c r="V5" s="1058">
        <f>U5</f>
        <v>0</v>
      </c>
      <c r="W5" s="1058" cm="1">
        <f t="array" ref="W5">SUMPRODUCT(($O$19:$O$138=N5)*$W$19:$W$138)</f>
        <v>0</v>
      </c>
      <c r="X5" s="1058" cm="1">
        <f t="array" ref="X5">INDEX($Z$19:$Z$138, N5*12)</f>
        <v>0</v>
      </c>
      <c r="Y5" s="1058">
        <f>X5</f>
        <v>0</v>
      </c>
      <c r="Z5" s="1059">
        <f>IF(INPUTS!$C$24="Yes", DEBT!$AH$10 - V5, 0)</f>
        <v>0</v>
      </c>
    </row>
    <row r="6" spans="2:27" ht="22">
      <c r="B6" s="81" t="s">
        <v>153</v>
      </c>
      <c r="C6" s="82" t="s">
        <v>154</v>
      </c>
      <c r="D6" s="82" t="s">
        <v>155</v>
      </c>
      <c r="E6" s="82" t="s">
        <v>249</v>
      </c>
      <c r="F6" s="82" t="s">
        <v>157</v>
      </c>
      <c r="G6" s="82" t="s">
        <v>158</v>
      </c>
      <c r="H6" s="83" t="s">
        <v>166</v>
      </c>
      <c r="K6" s="77" t="s">
        <v>200</v>
      </c>
      <c r="L6" s="78">
        <f>L5*INPUTS!C7</f>
        <v>0</v>
      </c>
      <c r="N6" s="1066">
        <v>2</v>
      </c>
      <c r="O6" s="1058" cm="1">
        <f t="array" ref="O6">SUMPRODUCT(($O$19:$O$138=N6)*$P$19:$P$138)</f>
        <v>0</v>
      </c>
      <c r="P6" s="1058" cm="1">
        <f t="array" ref="P6">SUMPRODUCT(($O$19:$O$138=N6)*$Q$19:$Q$138)</f>
        <v>0</v>
      </c>
      <c r="Q6" s="1058" cm="1">
        <f t="array" ref="Q6">SUMPRODUCT(($O$19:$O$138=N6)*$R$19:$R$138)</f>
        <v>0</v>
      </c>
      <c r="R6" s="1058" cm="1">
        <f t="array" ref="R6">SUMPRODUCT(($O$19:$O$138=N6)*$S$19:$S$138)</f>
        <v>0</v>
      </c>
      <c r="S6" s="1058">
        <f>IF(N6=CEILING(INPUTS!$I$6/12,1), DEBT!$AH$7*INPUTS!$I$7, IF(N6=CEILING((INPUTS!$I$6+INPUTS!$I$5-1)/12,1), DEBT!$AH$7*(1-INPUTS!$I$7), 0))</f>
        <v>0</v>
      </c>
      <c r="T6" s="1058">
        <f>MAX(0, SUM(R$5:R6) - SUM(S$5:S6)) - T5</f>
        <v>0</v>
      </c>
      <c r="U6" s="1058">
        <f>IF(INPUTS!$C$24="Yes", T6*DEBT!$AH$9, 0)</f>
        <v>0</v>
      </c>
      <c r="V6" s="1058">
        <f>V5+U6</f>
        <v>0</v>
      </c>
      <c r="W6" s="1058" cm="1">
        <f t="array" ref="W6">SUMPRODUCT(($O$19:$O$138=N6)*$W$19:$W$138)</f>
        <v>0</v>
      </c>
      <c r="X6" s="1058" cm="1">
        <f t="array" ref="X6">INDEX($Z$19:$Z$138, N6*12)</f>
        <v>0</v>
      </c>
      <c r="Y6" s="1058">
        <f t="shared" ref="Y6:Y14" si="0">X6</f>
        <v>0</v>
      </c>
      <c r="Z6" s="1059">
        <f>IF(INPUTS!$C$24="Yes", DEBT!$AH$10 - V6, 0)</f>
        <v>0</v>
      </c>
    </row>
    <row r="7" spans="2:27">
      <c r="B7" s="84"/>
      <c r="C7" s="85"/>
      <c r="D7" s="85"/>
      <c r="E7" s="86"/>
      <c r="F7" s="87"/>
      <c r="G7" s="88">
        <f t="shared" ref="G7:G35" si="1">C7*E7</f>
        <v>0</v>
      </c>
      <c r="H7" s="89"/>
      <c r="K7" s="19" t="s">
        <v>760</v>
      </c>
      <c r="L7" s="17">
        <f>INPUTS!I5</f>
        <v>0</v>
      </c>
      <c r="N7" s="1066">
        <v>3</v>
      </c>
      <c r="O7" s="1058" cm="1">
        <f t="array" ref="O7">SUMPRODUCT(($O$19:$O$138=N7)*$P$19:$P$138)</f>
        <v>0</v>
      </c>
      <c r="P7" s="1058" cm="1">
        <f t="array" ref="P7">SUMPRODUCT(($O$19:$O$138=N7)*$Q$19:$Q$138)</f>
        <v>0</v>
      </c>
      <c r="Q7" s="1058" cm="1">
        <f t="array" ref="Q7">SUMPRODUCT(($O$19:$O$138=N7)*$R$19:$R$138)</f>
        <v>0</v>
      </c>
      <c r="R7" s="1058" cm="1">
        <f t="array" ref="R7">SUMPRODUCT(($O$19:$O$138=N7)*$S$19:$S$138)</f>
        <v>0</v>
      </c>
      <c r="S7" s="1058">
        <f>IF(N7=CEILING(INPUTS!$I$6/12,1), DEBT!$AH$7*INPUTS!$I$7, IF(N7=CEILING((INPUTS!$I$6+INPUTS!$I$5-1)/12,1), DEBT!$AH$7*(1-INPUTS!$I$7), 0))</f>
        <v>0</v>
      </c>
      <c r="T7" s="1058">
        <f>MAX(0, SUM(R$5:R7) - SUM(S$5:S7)) - SUM(T$5:T6)</f>
        <v>0</v>
      </c>
      <c r="U7" s="1058">
        <f>IF(INPUTS!$C$24="Yes", T7*DEBT!$AH$9, 0)</f>
        <v>0</v>
      </c>
      <c r="V7" s="1058">
        <f t="shared" ref="V7:V14" si="2">V6+U7</f>
        <v>0</v>
      </c>
      <c r="W7" s="1058" cm="1">
        <f t="array" ref="W7">SUMPRODUCT(($O$19:$O$138=N7)*$W$19:$W$138)</f>
        <v>0</v>
      </c>
      <c r="X7" s="1058" cm="1">
        <f t="array" ref="X7">INDEX($Z$19:$Z$138, N7*12)</f>
        <v>0</v>
      </c>
      <c r="Y7" s="1058">
        <f t="shared" si="0"/>
        <v>0</v>
      </c>
      <c r="Z7" s="1059">
        <f>IF(INPUTS!$C$24="Yes", DEBT!$AH$10 - V7, 0)</f>
        <v>0</v>
      </c>
    </row>
    <row r="8" spans="2:27">
      <c r="B8" s="90"/>
      <c r="C8" s="91"/>
      <c r="D8" s="91"/>
      <c r="E8" s="92"/>
      <c r="F8" s="93"/>
      <c r="G8" s="94">
        <f t="shared" si="1"/>
        <v>0</v>
      </c>
      <c r="H8" s="95"/>
      <c r="N8" s="1066">
        <v>4</v>
      </c>
      <c r="O8" s="1058" cm="1">
        <f t="array" ref="O8">SUMPRODUCT(($O$19:$O$138=N8)*$P$19:$P$138)</f>
        <v>0</v>
      </c>
      <c r="P8" s="1058" cm="1">
        <f t="array" ref="P8">SUMPRODUCT(($O$19:$O$138=N8)*$Q$19:$Q$138)</f>
        <v>0</v>
      </c>
      <c r="Q8" s="1058" cm="1">
        <f t="array" ref="Q8">SUMPRODUCT(($O$19:$O$138=N8)*$R$19:$R$138)</f>
        <v>0</v>
      </c>
      <c r="R8" s="1058" cm="1">
        <f t="array" ref="R8">SUMPRODUCT(($O$19:$O$138=N8)*$S$19:$S$138)</f>
        <v>0</v>
      </c>
      <c r="S8" s="1058">
        <f>IF(N8=CEILING(INPUTS!$I$6/12,1), DEBT!$AH$7*INPUTS!$I$7, IF(N8=CEILING((INPUTS!$I$6+INPUTS!$I$5-1)/12,1), DEBT!$AH$7*(1-INPUTS!$I$7), 0))</f>
        <v>0</v>
      </c>
      <c r="T8" s="1058">
        <f>MAX(0, SUM(R$5:R8) - SUM(S$5:S8)) - SUM(T$5:T7)</f>
        <v>0</v>
      </c>
      <c r="U8" s="1058">
        <f>IF(INPUTS!$C$24="Yes", T8*DEBT!$AH$9, 0)</f>
        <v>0</v>
      </c>
      <c r="V8" s="1058">
        <f t="shared" si="2"/>
        <v>0</v>
      </c>
      <c r="W8" s="1058" cm="1">
        <f t="array" ref="W8">SUMPRODUCT(($O$19:$O$138=N8)*$W$19:$W$138)</f>
        <v>0</v>
      </c>
      <c r="X8" s="1058" cm="1">
        <f t="array" ref="X8">INDEX($Z$19:$Z$138, N8*12)</f>
        <v>0</v>
      </c>
      <c r="Y8" s="1058">
        <f t="shared" si="0"/>
        <v>0</v>
      </c>
      <c r="Z8" s="1059">
        <f>IF(INPUTS!$C$24="Yes", DEBT!$AH$10 - V8, 0)</f>
        <v>0</v>
      </c>
    </row>
    <row r="9" spans="2:27">
      <c r="B9" s="84"/>
      <c r="C9" s="85"/>
      <c r="D9" s="85"/>
      <c r="E9" s="86"/>
      <c r="F9" s="96"/>
      <c r="G9" s="88">
        <f t="shared" si="1"/>
        <v>0</v>
      </c>
      <c r="H9" s="97"/>
      <c r="N9" s="1066">
        <v>5</v>
      </c>
      <c r="O9" s="1058" cm="1">
        <f t="array" ref="O9">SUMPRODUCT(($O$19:$O$138=N9)*$P$19:$P$138)</f>
        <v>0</v>
      </c>
      <c r="P9" s="1058" cm="1">
        <f t="array" ref="P9">SUMPRODUCT(($O$19:$O$138=N9)*$Q$19:$Q$138)</f>
        <v>0</v>
      </c>
      <c r="Q9" s="1058" cm="1">
        <f t="array" ref="Q9">SUMPRODUCT(($O$19:$O$138=N9)*$R$19:$R$138)</f>
        <v>0</v>
      </c>
      <c r="R9" s="1058" cm="1">
        <f t="array" ref="R9">SUMPRODUCT(($O$19:$O$138=N9)*$S$19:$S$138)</f>
        <v>0</v>
      </c>
      <c r="S9" s="1058">
        <f>IF(N9=CEILING(INPUTS!$I$6/12,1), DEBT!$AH$7*INPUTS!$I$7, IF(N9=CEILING((INPUTS!$I$6+INPUTS!$I$5-1)/12,1), DEBT!$AH$7*(1-INPUTS!$I$7), 0))</f>
        <v>0</v>
      </c>
      <c r="T9" s="1058">
        <f>MAX(0, SUM(R$5:R9) - SUM(S$5:S9)) - SUM(T$5:T8)</f>
        <v>0</v>
      </c>
      <c r="U9" s="1058">
        <f>IF(INPUTS!$C$24="Yes", T9*DEBT!$AH$9, 0)</f>
        <v>0</v>
      </c>
      <c r="V9" s="1058">
        <f t="shared" si="2"/>
        <v>0</v>
      </c>
      <c r="W9" s="1058" cm="1">
        <f t="array" ref="W9">SUMPRODUCT(($O$19:$O$138=N9)*$W$19:$W$138)</f>
        <v>0</v>
      </c>
      <c r="X9" s="1058" cm="1">
        <f t="array" ref="X9">INDEX($Z$19:$Z$138, N9*12)</f>
        <v>0</v>
      </c>
      <c r="Y9" s="1058">
        <f t="shared" si="0"/>
        <v>0</v>
      </c>
      <c r="Z9" s="1059">
        <f>IF(INPUTS!$C$24="Yes", DEBT!$AH$10 - V9, 0)</f>
        <v>0</v>
      </c>
    </row>
    <row r="10" spans="2:27">
      <c r="B10" s="90"/>
      <c r="C10" s="91"/>
      <c r="D10" s="91"/>
      <c r="E10" s="92"/>
      <c r="F10" s="98"/>
      <c r="G10" s="94">
        <f t="shared" si="1"/>
        <v>0</v>
      </c>
      <c r="H10" s="99"/>
      <c r="N10" s="1066">
        <v>6</v>
      </c>
      <c r="O10" s="1058" cm="1">
        <f t="array" ref="O10">SUMPRODUCT(($O$19:$O$138=N10)*$P$19:$P$138)</f>
        <v>0</v>
      </c>
      <c r="P10" s="1058" cm="1">
        <f t="array" ref="P10">SUMPRODUCT(($O$19:$O$138=N10)*$Q$19:$Q$138)</f>
        <v>0</v>
      </c>
      <c r="Q10" s="1058" cm="1">
        <f t="array" ref="Q10">SUMPRODUCT(($O$19:$O$138=N10)*$R$19:$R$138)</f>
        <v>0</v>
      </c>
      <c r="R10" s="1058" cm="1">
        <f t="array" ref="R10">SUMPRODUCT(($O$19:$O$138=N10)*$S$19:$S$138)</f>
        <v>0</v>
      </c>
      <c r="S10" s="1058">
        <f>IF(N10=CEILING(INPUTS!$I$6/12,1), DEBT!$AH$7*INPUTS!$I$7, IF(N10=CEILING((INPUTS!$I$6+INPUTS!$I$5-1)/12,1), DEBT!$AH$7*(1-INPUTS!$I$7), 0))</f>
        <v>0</v>
      </c>
      <c r="T10" s="1058">
        <f>MAX(0, SUM(R$5:R10) - SUM(S$5:S10)) - SUM(T$5:T9)</f>
        <v>0</v>
      </c>
      <c r="U10" s="1058">
        <f>IF(INPUTS!$C$24="Yes", T10*DEBT!$AH$9, 0)</f>
        <v>0</v>
      </c>
      <c r="V10" s="1058">
        <f t="shared" si="2"/>
        <v>0</v>
      </c>
      <c r="W10" s="1058" cm="1">
        <f t="array" ref="W10">SUMPRODUCT(($O$19:$O$138=N10)*$W$19:$W$138)</f>
        <v>0</v>
      </c>
      <c r="X10" s="1058" cm="1">
        <f t="array" ref="X10">INDEX($Z$19:$Z$138, N10*12)</f>
        <v>0</v>
      </c>
      <c r="Y10" s="1058">
        <f t="shared" si="0"/>
        <v>0</v>
      </c>
      <c r="Z10" s="1059">
        <f>IF(INPUTS!$C$24="Yes", DEBT!$AH$10 - V10, 0)</f>
        <v>0</v>
      </c>
    </row>
    <row r="11" spans="2:27">
      <c r="B11" s="84"/>
      <c r="C11" s="85"/>
      <c r="D11" s="85"/>
      <c r="E11" s="86"/>
      <c r="F11" s="96"/>
      <c r="G11" s="88">
        <f>C11*E11</f>
        <v>0</v>
      </c>
      <c r="H11" s="97"/>
      <c r="N11" s="1066">
        <v>7</v>
      </c>
      <c r="O11" s="1058" cm="1">
        <f t="array" ref="O11">SUMPRODUCT(($O$19:$O$138=N11)*$P$19:$P$138)</f>
        <v>0</v>
      </c>
      <c r="P11" s="1058" cm="1">
        <f t="array" ref="P11">SUMPRODUCT(($O$19:$O$138=N11)*$Q$19:$Q$138)</f>
        <v>0</v>
      </c>
      <c r="Q11" s="1058" cm="1">
        <f t="array" ref="Q11">SUMPRODUCT(($O$19:$O$138=N11)*$R$19:$R$138)</f>
        <v>0</v>
      </c>
      <c r="R11" s="1058" cm="1">
        <f t="array" ref="R11">SUMPRODUCT(($O$19:$O$138=N11)*$S$19:$S$138)</f>
        <v>0</v>
      </c>
      <c r="S11" s="1058">
        <f>IF(N11=CEILING(INPUTS!$I$6/12,1), DEBT!$AH$7*INPUTS!$I$7, IF(N11=CEILING((INPUTS!$I$6+INPUTS!$I$5-1)/12,1), DEBT!$AH$7*(1-INPUTS!$I$7), 0))</f>
        <v>0</v>
      </c>
      <c r="T11" s="1058">
        <f>MAX(0, SUM(R$5:R11) - SUM(S$5:S11)) - SUM(T$5:T10)</f>
        <v>0</v>
      </c>
      <c r="U11" s="1058">
        <f>IF(INPUTS!$C$24="Yes", T11*DEBT!$AH$9, 0)</f>
        <v>0</v>
      </c>
      <c r="V11" s="1058">
        <f t="shared" si="2"/>
        <v>0</v>
      </c>
      <c r="W11" s="1058" cm="1">
        <f t="array" ref="W11">SUMPRODUCT(($O$19:$O$138=N11)*$W$19:$W$138)</f>
        <v>0</v>
      </c>
      <c r="X11" s="1058" cm="1">
        <f t="array" ref="X11">INDEX($Z$19:$Z$138, N11*12)</f>
        <v>0</v>
      </c>
      <c r="Y11" s="1058">
        <f t="shared" si="0"/>
        <v>0</v>
      </c>
      <c r="Z11" s="1059">
        <f>IF(INPUTS!$C$24="Yes", DEBT!$AH$10 - V11, 0)</f>
        <v>0</v>
      </c>
    </row>
    <row r="12" spans="2:27">
      <c r="B12" s="90"/>
      <c r="C12" s="91"/>
      <c r="D12" s="91"/>
      <c r="E12" s="92"/>
      <c r="F12" s="98"/>
      <c r="G12" s="94">
        <f t="shared" ref="G12:G26" si="3">C12*E12</f>
        <v>0</v>
      </c>
      <c r="H12" s="99"/>
      <c r="N12" s="1066">
        <v>8</v>
      </c>
      <c r="O12" s="1058" cm="1">
        <f t="array" ref="O12">SUMPRODUCT(($O$19:$O$138=N12)*$P$19:$P$138)</f>
        <v>0</v>
      </c>
      <c r="P12" s="1058" cm="1">
        <f t="array" ref="P12">SUMPRODUCT(($O$19:$O$138=N12)*$Q$19:$Q$138)</f>
        <v>0</v>
      </c>
      <c r="Q12" s="1058" cm="1">
        <f t="array" ref="Q12">SUMPRODUCT(($O$19:$O$138=N12)*$R$19:$R$138)</f>
        <v>0</v>
      </c>
      <c r="R12" s="1058" cm="1">
        <f t="array" ref="R12">SUMPRODUCT(($O$19:$O$138=N12)*$S$19:$S$138)</f>
        <v>0</v>
      </c>
      <c r="S12" s="1058">
        <f>IF(N12=CEILING(INPUTS!$I$6/12,1), DEBT!$AH$7*INPUTS!$I$7, IF(N12=CEILING((INPUTS!$I$6+INPUTS!$I$5-1)/12,1), DEBT!$AH$7*(1-INPUTS!$I$7), 0))</f>
        <v>0</v>
      </c>
      <c r="T12" s="1058">
        <f>MAX(0, SUM(R$5:R12) - SUM(S$5:S12)) - SUM(T$5:T11)</f>
        <v>0</v>
      </c>
      <c r="U12" s="1058">
        <f>IF(INPUTS!$C$24="Yes", T12*DEBT!$AH$9, 0)</f>
        <v>0</v>
      </c>
      <c r="V12" s="1058">
        <f t="shared" si="2"/>
        <v>0</v>
      </c>
      <c r="W12" s="1058" cm="1">
        <f t="array" ref="W12">SUMPRODUCT(($O$19:$O$138=N12)*$W$19:$W$138)</f>
        <v>0</v>
      </c>
      <c r="X12" s="1058" cm="1">
        <f t="array" ref="X12">INDEX($Z$19:$Z$138, N12*12)</f>
        <v>0</v>
      </c>
      <c r="Y12" s="1058">
        <f t="shared" si="0"/>
        <v>0</v>
      </c>
      <c r="Z12" s="1059">
        <f>IF(INPUTS!$C$24="Yes", DEBT!$AH$10 - V12, 0)</f>
        <v>0</v>
      </c>
    </row>
    <row r="13" spans="2:27">
      <c r="B13" s="84"/>
      <c r="C13" s="85"/>
      <c r="D13" s="85"/>
      <c r="E13" s="86"/>
      <c r="F13" s="96"/>
      <c r="G13" s="88">
        <f t="shared" si="3"/>
        <v>0</v>
      </c>
      <c r="H13" s="97"/>
      <c r="N13" s="1066">
        <v>9</v>
      </c>
      <c r="O13" s="1058" cm="1">
        <f t="array" ref="O13">SUMPRODUCT(($O$19:$O$138=N13)*$P$19:$P$138)</f>
        <v>0</v>
      </c>
      <c r="P13" s="1058" cm="1">
        <f t="array" ref="P13">SUMPRODUCT(($O$19:$O$138=N13)*$Q$19:$Q$138)</f>
        <v>0</v>
      </c>
      <c r="Q13" s="1058" cm="1">
        <f t="array" ref="Q13">SUMPRODUCT(($O$19:$O$138=N13)*$R$19:$R$138)</f>
        <v>0</v>
      </c>
      <c r="R13" s="1058" cm="1">
        <f t="array" ref="R13">SUMPRODUCT(($O$19:$O$138=N13)*$S$19:$S$138)</f>
        <v>0</v>
      </c>
      <c r="S13" s="1058">
        <f>IF(N13=CEILING(INPUTS!$I$6/12,1), DEBT!$AH$7*INPUTS!$I$7, IF(N13=CEILING((INPUTS!$I$6+INPUTS!$I$5-1)/12,1), DEBT!$AH$7*(1-INPUTS!$I$7), 0))</f>
        <v>0</v>
      </c>
      <c r="T13" s="1058">
        <f>MAX(0, SUM(R$5:R13) - SUM(S$5:S13)) - SUM(T$5:T12)</f>
        <v>0</v>
      </c>
      <c r="U13" s="1058">
        <f>IF(INPUTS!$C$24="Yes", T13*DEBT!$AH$9, 0)</f>
        <v>0</v>
      </c>
      <c r="V13" s="1058">
        <f t="shared" si="2"/>
        <v>0</v>
      </c>
      <c r="W13" s="1058" cm="1">
        <f t="array" ref="W13">SUMPRODUCT(($O$19:$O$138=N13)*$W$19:$W$138)</f>
        <v>0</v>
      </c>
      <c r="X13" s="1058" cm="1">
        <f t="array" ref="X13">INDEX($Z$19:$Z$138, N13*12)</f>
        <v>0</v>
      </c>
      <c r="Y13" s="1058">
        <f t="shared" si="0"/>
        <v>0</v>
      </c>
      <c r="Z13" s="1059">
        <f>IF(INPUTS!$C$24="Yes", DEBT!$AH$10 - V13, 0)</f>
        <v>0</v>
      </c>
    </row>
    <row r="14" spans="2:27">
      <c r="B14" s="90"/>
      <c r="C14" s="91"/>
      <c r="D14" s="91"/>
      <c r="E14" s="92"/>
      <c r="F14" s="98"/>
      <c r="G14" s="94">
        <f t="shared" si="3"/>
        <v>0</v>
      </c>
      <c r="H14" s="99"/>
      <c r="N14" s="1066">
        <v>10</v>
      </c>
      <c r="O14" s="1058" cm="1">
        <f t="array" ref="O14">SUMPRODUCT(($O$19:$O$138=N14)*$P$19:$P$138)</f>
        <v>0</v>
      </c>
      <c r="P14" s="1058" cm="1">
        <f t="array" ref="P14">SUMPRODUCT(($O$19:$O$138=N14)*$Q$19:$Q$138)</f>
        <v>0</v>
      </c>
      <c r="Q14" s="1058" cm="1">
        <f t="array" ref="Q14">SUMPRODUCT(($O$19:$O$138=N14)*$R$19:$R$138)</f>
        <v>0</v>
      </c>
      <c r="R14" s="1058" cm="1">
        <f t="array" ref="R14">SUMPRODUCT(($O$19:$O$138=N14)*$S$19:$S$138)</f>
        <v>0</v>
      </c>
      <c r="S14" s="1058">
        <f>IF(N14=CEILING(INPUTS!$I$6/12,1), DEBT!$AH$7*INPUTS!$I$7, IF(N14=CEILING((INPUTS!$I$6+INPUTS!$I$5-1)/12,1), DEBT!$AH$7*(1-INPUTS!$I$7), 0))</f>
        <v>0</v>
      </c>
      <c r="T14" s="1058">
        <f>MAX(0, SUM(R$5:R14) - SUM(S$5:S14)) - SUM(T$5:T13)</f>
        <v>0</v>
      </c>
      <c r="U14" s="1058">
        <f>IF(INPUTS!$C$24="Yes", T14*DEBT!$AH$9, 0)</f>
        <v>0</v>
      </c>
      <c r="V14" s="1058">
        <f t="shared" si="2"/>
        <v>0</v>
      </c>
      <c r="W14" s="1058" cm="1">
        <f t="array" ref="W14">SUMPRODUCT(($O$19:$O$138=N14)*$W$19:$W$138)</f>
        <v>0</v>
      </c>
      <c r="X14" s="1058" cm="1">
        <f t="array" ref="X14">INDEX($Z$19:$Z$138, N14*12)</f>
        <v>0</v>
      </c>
      <c r="Y14" s="1058">
        <f t="shared" si="0"/>
        <v>0</v>
      </c>
      <c r="Z14" s="1059">
        <f>IF(INPUTS!$C$24="Yes", DEBT!$AH$10 - V14, 0)</f>
        <v>0</v>
      </c>
    </row>
    <row r="15" spans="2:27">
      <c r="B15" s="84"/>
      <c r="C15" s="85"/>
      <c r="D15" s="85"/>
      <c r="E15" s="86"/>
      <c r="F15" s="96"/>
      <c r="G15" s="88">
        <f t="shared" si="3"/>
        <v>0</v>
      </c>
      <c r="H15" s="97"/>
      <c r="N15" s="1060" t="s">
        <v>209</v>
      </c>
      <c r="O15" s="1021">
        <f t="shared" ref="O15:U15" si="4">SUM(O5:O14)</f>
        <v>0</v>
      </c>
      <c r="P15" s="1021">
        <f t="shared" si="4"/>
        <v>0</v>
      </c>
      <c r="Q15" s="1021">
        <f t="shared" si="4"/>
        <v>0</v>
      </c>
      <c r="R15" s="1021">
        <f t="shared" si="4"/>
        <v>0</v>
      </c>
      <c r="S15" s="1021">
        <f t="shared" si="4"/>
        <v>0</v>
      </c>
      <c r="T15" s="1021">
        <f t="shared" si="4"/>
        <v>0</v>
      </c>
      <c r="U15" s="1021">
        <f t="shared" si="4"/>
        <v>0</v>
      </c>
      <c r="V15" s="1021">
        <f>V14</f>
        <v>0</v>
      </c>
      <c r="W15" s="1021">
        <f>SUM(W5:W14)</f>
        <v>0</v>
      </c>
      <c r="X15" s="1021"/>
      <c r="Y15" s="1021"/>
      <c r="Z15" s="1061"/>
    </row>
    <row r="16" spans="2:27">
      <c r="B16" s="90"/>
      <c r="C16" s="91"/>
      <c r="D16" s="91"/>
      <c r="E16" s="92"/>
      <c r="F16" s="98"/>
      <c r="G16" s="94">
        <f t="shared" si="3"/>
        <v>0</v>
      </c>
      <c r="H16" s="99"/>
      <c r="N16" s="1062"/>
      <c r="O16" s="13"/>
      <c r="P16" s="13"/>
      <c r="Q16" s="13"/>
      <c r="R16" s="13"/>
      <c r="S16" s="13"/>
      <c r="T16" s="13"/>
      <c r="U16" s="13"/>
      <c r="V16" s="13"/>
      <c r="W16" s="13"/>
      <c r="X16" s="13"/>
      <c r="Y16" s="13"/>
      <c r="Z16" s="1063"/>
    </row>
    <row r="17" spans="2:26">
      <c r="B17" s="84"/>
      <c r="C17" s="85"/>
      <c r="D17" s="85"/>
      <c r="E17" s="86"/>
      <c r="F17" s="96"/>
      <c r="G17" s="88">
        <f t="shared" si="3"/>
        <v>0</v>
      </c>
      <c r="H17" s="97"/>
      <c r="N17" s="14"/>
      <c r="Q17" s="1132" t="s">
        <v>773</v>
      </c>
      <c r="R17" s="1132"/>
      <c r="S17" s="1132"/>
      <c r="T17" s="1132"/>
      <c r="Z17" s="15"/>
    </row>
    <row r="18" spans="2:26" ht="17" thickBot="1">
      <c r="B18" s="90"/>
      <c r="C18" s="91"/>
      <c r="D18" s="91"/>
      <c r="E18" s="92"/>
      <c r="F18" s="98"/>
      <c r="G18" s="94">
        <f t="shared" si="3"/>
        <v>0</v>
      </c>
      <c r="H18" s="99"/>
      <c r="N18" s="1064" t="s">
        <v>602</v>
      </c>
      <c r="O18" s="1019" t="s">
        <v>67</v>
      </c>
      <c r="P18" s="1019" t="s">
        <v>763</v>
      </c>
      <c r="Q18" s="1019" t="s">
        <v>764</v>
      </c>
      <c r="R18" s="1019" t="s">
        <v>765</v>
      </c>
      <c r="S18" s="1019" t="s">
        <v>766</v>
      </c>
      <c r="T18" s="1019" t="s">
        <v>768</v>
      </c>
      <c r="U18" s="1019" t="s">
        <v>769</v>
      </c>
      <c r="V18" s="1019" t="s">
        <v>665</v>
      </c>
      <c r="W18" s="1019" t="s">
        <v>140</v>
      </c>
      <c r="X18" s="1019" t="s">
        <v>110</v>
      </c>
      <c r="Y18" s="1019" t="s">
        <v>141</v>
      </c>
      <c r="Z18" s="1065" t="s">
        <v>770</v>
      </c>
    </row>
    <row r="19" spans="2:26">
      <c r="B19" s="84"/>
      <c r="C19" s="85"/>
      <c r="D19" s="85"/>
      <c r="E19" s="86"/>
      <c r="F19" s="96"/>
      <c r="G19" s="88">
        <f t="shared" si="3"/>
        <v>0</v>
      </c>
      <c r="H19" s="97"/>
      <c r="N19" s="1066">
        <v>1</v>
      </c>
      <c r="O19" s="1067">
        <v>1</v>
      </c>
      <c r="P19" s="1068">
        <f>IF(AND(N19&gt;=INPUTS!$I$6, N19&lt;=(INPUTS!$I$6+INPUTS!$I$5-1), MOD(N19-INPUTS!$I$6,12)=0), INPUTS!$F$20/CEILING(INPUTS!$I$5/12,1), 0)</f>
        <v>0</v>
      </c>
      <c r="Q19" s="1068">
        <f>IF(AND(N19&gt;=INPUTS!$I$6, N19&lt;=(INPUTS!$I$6+INPUTS!$I$5-1)), INPUTS!$F$20/INPUTS!$I$5, 0)</f>
        <v>0</v>
      </c>
      <c r="R19" s="1069">
        <v>0</v>
      </c>
      <c r="S19" s="1068">
        <f>IF(INPUTS!$I$8="Year Start", P19, IF(INPUTS!$I$8="Even Distribution", Q19, R19))</f>
        <v>0</v>
      </c>
      <c r="T19" s="1068" cm="1">
        <f t="array" ref="T19">IF(INPUTS!$C$24&lt;&gt;"Yes", 0, IFERROR(S19 / SUMPRODUCT(($O$19:$O$138=O19)*$S$19:$S$138) * INDEX($U$5:$U$14, O19), 0))</f>
        <v>0</v>
      </c>
      <c r="U19" s="1068">
        <v>0</v>
      </c>
      <c r="V19" s="1068">
        <f>U19+T19</f>
        <v>0</v>
      </c>
      <c r="W19" s="1068">
        <f>IF(N19&gt;DEBT!$AH$14, 0, IF(V19=0, 0, IF(N19&lt;=DEBT!$AH$15, V19*DEBT!$AH$12/12, PMT(DEBT!$AH$12/12, DEBT!$AH$13-N19+DEBT!$AH$15+1, -V19))))</f>
        <v>0</v>
      </c>
      <c r="X19" s="1068">
        <f>IF(N19&gt;DEBT!$AH$14, 0, V19*DEBT!$AH$12/12)</f>
        <v>0</v>
      </c>
      <c r="Y19" s="1068">
        <f>IF(N19&gt;INPUTS!$C$26*12, 0, W19-X19)</f>
        <v>0</v>
      </c>
      <c r="Z19" s="1070">
        <f>IF(N19&gt;DEBT!$AH$14, 0, V19-Y19)</f>
        <v>0</v>
      </c>
    </row>
    <row r="20" spans="2:26">
      <c r="B20" s="90"/>
      <c r="C20" s="91"/>
      <c r="D20" s="91"/>
      <c r="E20" s="92"/>
      <c r="F20" s="98"/>
      <c r="G20" s="94">
        <f t="shared" si="3"/>
        <v>0</v>
      </c>
      <c r="H20" s="99"/>
      <c r="N20" s="1071">
        <v>2</v>
      </c>
      <c r="O20" s="1072">
        <v>1</v>
      </c>
      <c r="P20" s="1073">
        <f>IF(AND(N20&gt;=INPUTS!$I$6, N20&lt;=(INPUTS!$I$6+INPUTS!$I$5-1), MOD(N20-INPUTS!$I$6,12)=0), INPUTS!$F$20/CEILING(INPUTS!$I$5/12,1), 0)</f>
        <v>0</v>
      </c>
      <c r="Q20" s="1073">
        <f>IF(AND(N20&gt;=INPUTS!$I$6, N20&lt;=(INPUTS!$I$6+INPUTS!$I$5-1)), INPUTS!$F$20/INPUTS!$I$5, 0)</f>
        <v>0</v>
      </c>
      <c r="R20" s="1074">
        <v>0</v>
      </c>
      <c r="S20" s="1073">
        <f>IF(INPUTS!$I$8="Year Start", P20, IF(INPUTS!$I$8="Even Distribution", Q20, R20))</f>
        <v>0</v>
      </c>
      <c r="T20" s="1073" cm="1">
        <f t="array" ref="T20">IF(INPUTS!$C$24&lt;&gt;"Yes", 0, IFERROR(S20 / SUMPRODUCT(($O$19:$O$138=O20)*$S$19:$S$138) * INDEX($U$5:$U$14, O20), 0))</f>
        <v>0</v>
      </c>
      <c r="U20" s="1073">
        <f>Z19</f>
        <v>0</v>
      </c>
      <c r="V20" s="1073">
        <f t="shared" ref="V20:V83" si="5">U20+T20</f>
        <v>0</v>
      </c>
      <c r="W20" s="1073">
        <f>IF(N20&gt;DEBT!$AH$14, 0, IF(V20=0, 0, IF(N20&lt;=DEBT!$AH$15, V20*DEBT!$AH$12/12, PMT(DEBT!$AH$12/12, DEBT!$AH$13-N20+DEBT!$AH$15+1, -V20))))</f>
        <v>0</v>
      </c>
      <c r="X20" s="1073">
        <f>IF(N20&gt;DEBT!$AH$14, 0, V20*DEBT!$AH$12/12)</f>
        <v>0</v>
      </c>
      <c r="Y20" s="1073">
        <f>IF(N20&gt;INPUTS!$C$26*12, 0, W20-X20)</f>
        <v>0</v>
      </c>
      <c r="Z20" s="1075">
        <f>IF(N20&gt;DEBT!$AH$14, 0, V20-Y20)</f>
        <v>0</v>
      </c>
    </row>
    <row r="21" spans="2:26">
      <c r="B21" s="84"/>
      <c r="C21" s="85"/>
      <c r="D21" s="85"/>
      <c r="E21" s="86"/>
      <c r="F21" s="96"/>
      <c r="G21" s="88">
        <f t="shared" si="3"/>
        <v>0</v>
      </c>
      <c r="H21" s="97"/>
      <c r="N21" s="1066">
        <v>3</v>
      </c>
      <c r="O21" s="1067">
        <v>1</v>
      </c>
      <c r="P21" s="1068">
        <f>IF(AND(N21&gt;=INPUTS!$I$6, N21&lt;=(INPUTS!$I$6+INPUTS!$I$5-1), MOD(N21-INPUTS!$I$6,12)=0), INPUTS!$F$20/CEILING(INPUTS!$I$5/12,1), 0)</f>
        <v>0</v>
      </c>
      <c r="Q21" s="1068">
        <f>IF(AND(N21&gt;=INPUTS!$I$6, N21&lt;=(INPUTS!$I$6+INPUTS!$I$5-1)), INPUTS!$F$20/INPUTS!$I$5, 0)</f>
        <v>0</v>
      </c>
      <c r="R21" s="1069">
        <v>0</v>
      </c>
      <c r="S21" s="1068">
        <f>IF(INPUTS!$I$8="Year Start", P21, IF(INPUTS!$I$8="Even Distribution", Q21, R21))</f>
        <v>0</v>
      </c>
      <c r="T21" s="1068" cm="1">
        <f t="array" ref="T21">IF(INPUTS!$C$24&lt;&gt;"Yes", 0, IFERROR(S21 / SUMPRODUCT(($O$19:$O$138=O21)*$S$19:$S$138) * INDEX($U$5:$U$14, O21), 0))</f>
        <v>0</v>
      </c>
      <c r="U21" s="1068">
        <f t="shared" ref="U21:U84" si="6">Z20</f>
        <v>0</v>
      </c>
      <c r="V21" s="1068">
        <f t="shared" si="5"/>
        <v>0</v>
      </c>
      <c r="W21" s="1068">
        <f>IF(N21&gt;DEBT!$AH$14, 0, IF(V21=0, 0, IF(N21&lt;=DEBT!$AH$15, V21*DEBT!$AH$12/12, PMT(DEBT!$AH$12/12, DEBT!$AH$13-N21+DEBT!$AH$15+1, -V21))))</f>
        <v>0</v>
      </c>
      <c r="X21" s="1068">
        <f>IF(N21&gt;DEBT!$AH$14, 0, V21*DEBT!$AH$12/12)</f>
        <v>0</v>
      </c>
      <c r="Y21" s="1068">
        <f>IF(N21&gt;INPUTS!$C$26*12, 0, W21-X21)</f>
        <v>0</v>
      </c>
      <c r="Z21" s="1070">
        <f>IF(N21&gt;DEBT!$AH$14, 0, V21-Y21)</f>
        <v>0</v>
      </c>
    </row>
    <row r="22" spans="2:26">
      <c r="B22" s="90"/>
      <c r="C22" s="91"/>
      <c r="D22" s="91"/>
      <c r="E22" s="92"/>
      <c r="F22" s="98"/>
      <c r="G22" s="94">
        <f t="shared" si="3"/>
        <v>0</v>
      </c>
      <c r="H22" s="99"/>
      <c r="N22" s="1071">
        <v>4</v>
      </c>
      <c r="O22" s="1072">
        <v>1</v>
      </c>
      <c r="P22" s="1073">
        <f>IF(AND(N22&gt;=INPUTS!$I$6, N22&lt;=(INPUTS!$I$6+INPUTS!$I$5-1), MOD(N22-INPUTS!$I$6,12)=0), INPUTS!$F$20/CEILING(INPUTS!$I$5/12,1), 0)</f>
        <v>0</v>
      </c>
      <c r="Q22" s="1073">
        <f>IF(AND(N22&gt;=INPUTS!$I$6, N22&lt;=(INPUTS!$I$6+INPUTS!$I$5-1)), INPUTS!$F$20/INPUTS!$I$5, 0)</f>
        <v>0</v>
      </c>
      <c r="R22" s="1074">
        <v>0</v>
      </c>
      <c r="S22" s="1073">
        <f>IF(INPUTS!$I$8="Year Start", P22, IF(INPUTS!$I$8="Even Distribution", Q22, R22))</f>
        <v>0</v>
      </c>
      <c r="T22" s="1073" cm="1">
        <f t="array" ref="T22">IF(INPUTS!$C$24&lt;&gt;"Yes", 0, IFERROR(S22 / SUMPRODUCT(($O$19:$O$138=O22)*$S$19:$S$138) * INDEX($U$5:$U$14, O22), 0))</f>
        <v>0</v>
      </c>
      <c r="U22" s="1073">
        <f t="shared" si="6"/>
        <v>0</v>
      </c>
      <c r="V22" s="1073">
        <f t="shared" si="5"/>
        <v>0</v>
      </c>
      <c r="W22" s="1073">
        <f>IF(N22&gt;DEBT!$AH$14, 0, IF(V22=0, 0, IF(N22&lt;=DEBT!$AH$15, V22*DEBT!$AH$12/12, PMT(DEBT!$AH$12/12, DEBT!$AH$13-N22+DEBT!$AH$15+1, -V22))))</f>
        <v>0</v>
      </c>
      <c r="X22" s="1073">
        <f>IF(N22&gt;DEBT!$AH$14, 0, V22*DEBT!$AH$12/12)</f>
        <v>0</v>
      </c>
      <c r="Y22" s="1073">
        <f>IF(N22&gt;INPUTS!$C$26*12, 0, W22-X22)</f>
        <v>0</v>
      </c>
      <c r="Z22" s="1075">
        <f>IF(N22&gt;DEBT!$AH$14, 0, V22-Y22)</f>
        <v>0</v>
      </c>
    </row>
    <row r="23" spans="2:26">
      <c r="B23" s="84"/>
      <c r="C23" s="85"/>
      <c r="D23" s="85"/>
      <c r="E23" s="86"/>
      <c r="F23" s="96"/>
      <c r="G23" s="88">
        <f t="shared" si="3"/>
        <v>0</v>
      </c>
      <c r="H23" s="97"/>
      <c r="N23" s="1066">
        <v>5</v>
      </c>
      <c r="O23" s="1067">
        <v>1</v>
      </c>
      <c r="P23" s="1068">
        <f>IF(AND(N23&gt;=INPUTS!$I$6, N23&lt;=(INPUTS!$I$6+INPUTS!$I$5-1), MOD(N23-INPUTS!$I$6,12)=0), INPUTS!$F$20/CEILING(INPUTS!$I$5/12,1), 0)</f>
        <v>0</v>
      </c>
      <c r="Q23" s="1068">
        <f>IF(AND(N23&gt;=INPUTS!$I$6, N23&lt;=(INPUTS!$I$6+INPUTS!$I$5-1)), INPUTS!$F$20/INPUTS!$I$5, 0)</f>
        <v>0</v>
      </c>
      <c r="R23" s="1069">
        <v>0</v>
      </c>
      <c r="S23" s="1068">
        <f>IF(INPUTS!$I$8="Year Start", P23, IF(INPUTS!$I$8="Even Distribution", Q23, R23))</f>
        <v>0</v>
      </c>
      <c r="T23" s="1068" cm="1">
        <f t="array" ref="T23">IF(INPUTS!$C$24&lt;&gt;"Yes", 0, IFERROR(S23 / SUMPRODUCT(($O$19:$O$138=O23)*$S$19:$S$138) * INDEX($U$5:$U$14, O23), 0))</f>
        <v>0</v>
      </c>
      <c r="U23" s="1068">
        <f t="shared" si="6"/>
        <v>0</v>
      </c>
      <c r="V23" s="1068">
        <f t="shared" si="5"/>
        <v>0</v>
      </c>
      <c r="W23" s="1068">
        <f>IF(N23&gt;DEBT!$AH$14, 0, IF(V23=0, 0, IF(N23&lt;=DEBT!$AH$15, V23*DEBT!$AH$12/12, PMT(DEBT!$AH$12/12, DEBT!$AH$13-N23+DEBT!$AH$15+1, -V23))))</f>
        <v>0</v>
      </c>
      <c r="X23" s="1068">
        <f>IF(N23&gt;DEBT!$AH$14, 0, V23*DEBT!$AH$12/12)</f>
        <v>0</v>
      </c>
      <c r="Y23" s="1068">
        <f>IF(N23&gt;INPUTS!$C$26*12, 0, W23-X23)</f>
        <v>0</v>
      </c>
      <c r="Z23" s="1070">
        <f>IF(N23&gt;DEBT!$AH$14, 0, V23-Y23)</f>
        <v>0</v>
      </c>
    </row>
    <row r="24" spans="2:26">
      <c r="B24" s="90"/>
      <c r="C24" s="91"/>
      <c r="D24" s="91"/>
      <c r="E24" s="92"/>
      <c r="F24" s="98"/>
      <c r="G24" s="94">
        <f t="shared" si="3"/>
        <v>0</v>
      </c>
      <c r="H24" s="99"/>
      <c r="N24" s="1071">
        <v>6</v>
      </c>
      <c r="O24" s="1072">
        <v>1</v>
      </c>
      <c r="P24" s="1073">
        <f>IF(AND(N24&gt;=INPUTS!$I$6, N24&lt;=(INPUTS!$I$6+INPUTS!$I$5-1), MOD(N24-INPUTS!$I$6,12)=0), INPUTS!$F$20/CEILING(INPUTS!$I$5/12,1), 0)</f>
        <v>0</v>
      </c>
      <c r="Q24" s="1073">
        <f>IF(AND(N24&gt;=INPUTS!$I$6, N24&lt;=(INPUTS!$I$6+INPUTS!$I$5-1)), INPUTS!$F$20/INPUTS!$I$5, 0)</f>
        <v>0</v>
      </c>
      <c r="R24" s="1074">
        <v>0</v>
      </c>
      <c r="S24" s="1073">
        <f>IF(INPUTS!$I$8="Year Start", P24, IF(INPUTS!$I$8="Even Distribution", Q24, R24))</f>
        <v>0</v>
      </c>
      <c r="T24" s="1073" cm="1">
        <f t="array" ref="T24">IF(INPUTS!$C$24&lt;&gt;"Yes", 0, IFERROR(S24 / SUMPRODUCT(($O$19:$O$138=O24)*$S$19:$S$138) * INDEX($U$5:$U$14, O24), 0))</f>
        <v>0</v>
      </c>
      <c r="U24" s="1073">
        <f t="shared" si="6"/>
        <v>0</v>
      </c>
      <c r="V24" s="1073">
        <f t="shared" si="5"/>
        <v>0</v>
      </c>
      <c r="W24" s="1073">
        <f>IF(N24&gt;DEBT!$AH$14, 0, IF(V24=0, 0, IF(N24&lt;=DEBT!$AH$15, V24*DEBT!$AH$12/12, PMT(DEBT!$AH$12/12, DEBT!$AH$13-N24+DEBT!$AH$15+1, -V24))))</f>
        <v>0</v>
      </c>
      <c r="X24" s="1073">
        <f>IF(N24&gt;DEBT!$AH$14, 0, V24*DEBT!$AH$12/12)</f>
        <v>0</v>
      </c>
      <c r="Y24" s="1073">
        <f>IF(N24&gt;INPUTS!$C$26*12, 0, W24-X24)</f>
        <v>0</v>
      </c>
      <c r="Z24" s="1075">
        <f>IF(N24&gt;DEBT!$AH$14, 0, V24-Y24)</f>
        <v>0</v>
      </c>
    </row>
    <row r="25" spans="2:26">
      <c r="B25" s="84"/>
      <c r="C25" s="85"/>
      <c r="D25" s="85"/>
      <c r="E25" s="86"/>
      <c r="F25" s="96"/>
      <c r="G25" s="88">
        <f t="shared" si="3"/>
        <v>0</v>
      </c>
      <c r="H25" s="97"/>
      <c r="N25" s="1066">
        <v>7</v>
      </c>
      <c r="O25" s="1067">
        <v>1</v>
      </c>
      <c r="P25" s="1068">
        <f>IF(AND(N25&gt;=INPUTS!$I$6, N25&lt;=(INPUTS!$I$6+INPUTS!$I$5-1), MOD(N25-INPUTS!$I$6,12)=0), INPUTS!$F$20/CEILING(INPUTS!$I$5/12,1), 0)</f>
        <v>0</v>
      </c>
      <c r="Q25" s="1068">
        <f>IF(AND(N25&gt;=INPUTS!$I$6, N25&lt;=(INPUTS!$I$6+INPUTS!$I$5-1)), INPUTS!$F$20/INPUTS!$I$5, 0)</f>
        <v>0</v>
      </c>
      <c r="R25" s="1069">
        <v>0</v>
      </c>
      <c r="S25" s="1068">
        <f>IF(INPUTS!$I$8="Year Start", P25, IF(INPUTS!$I$8="Even Distribution", Q25, R25))</f>
        <v>0</v>
      </c>
      <c r="T25" s="1068" cm="1">
        <f t="array" ref="T25">IF(INPUTS!$C$24&lt;&gt;"Yes", 0, IFERROR(S25 / SUMPRODUCT(($O$19:$O$138=O25)*$S$19:$S$138) * INDEX($U$5:$U$14, O25), 0))</f>
        <v>0</v>
      </c>
      <c r="U25" s="1068">
        <f t="shared" si="6"/>
        <v>0</v>
      </c>
      <c r="V25" s="1068">
        <f t="shared" si="5"/>
        <v>0</v>
      </c>
      <c r="W25" s="1068">
        <f>IF(N25&gt;DEBT!$AH$14, 0, IF(V25=0, 0, IF(N25&lt;=DEBT!$AH$15, V25*DEBT!$AH$12/12, PMT(DEBT!$AH$12/12, DEBT!$AH$13-N25+DEBT!$AH$15+1, -V25))))</f>
        <v>0</v>
      </c>
      <c r="X25" s="1068">
        <f>IF(N25&gt;DEBT!$AH$14, 0, V25*DEBT!$AH$12/12)</f>
        <v>0</v>
      </c>
      <c r="Y25" s="1068">
        <f>IF(N25&gt;INPUTS!$C$26*12, 0, W25-X25)</f>
        <v>0</v>
      </c>
      <c r="Z25" s="1070">
        <f>IF(N25&gt;DEBT!$AH$14, 0, V25-Y25)</f>
        <v>0</v>
      </c>
    </row>
    <row r="26" spans="2:26">
      <c r="B26" s="90"/>
      <c r="C26" s="91"/>
      <c r="D26" s="91"/>
      <c r="E26" s="92"/>
      <c r="F26" s="98"/>
      <c r="G26" s="94">
        <f t="shared" si="3"/>
        <v>0</v>
      </c>
      <c r="H26" s="99"/>
      <c r="N26" s="1071">
        <v>8</v>
      </c>
      <c r="O26" s="1072">
        <v>1</v>
      </c>
      <c r="P26" s="1073">
        <f>IF(AND(N26&gt;=INPUTS!$I$6, N26&lt;=(INPUTS!$I$6+INPUTS!$I$5-1), MOD(N26-INPUTS!$I$6,12)=0), INPUTS!$F$20/CEILING(INPUTS!$I$5/12,1), 0)</f>
        <v>0</v>
      </c>
      <c r="Q26" s="1073">
        <f>IF(AND(N26&gt;=INPUTS!$I$6, N26&lt;=(INPUTS!$I$6+INPUTS!$I$5-1)), INPUTS!$F$20/INPUTS!$I$5, 0)</f>
        <v>0</v>
      </c>
      <c r="R26" s="1074">
        <v>0</v>
      </c>
      <c r="S26" s="1073">
        <f>IF(INPUTS!$I$8="Year Start", P26, IF(INPUTS!$I$8="Even Distribution", Q26, R26))</f>
        <v>0</v>
      </c>
      <c r="T26" s="1073" cm="1">
        <f t="array" ref="T26">IF(INPUTS!$C$24&lt;&gt;"Yes", 0, IFERROR(S26 / SUMPRODUCT(($O$19:$O$138=O26)*$S$19:$S$138) * INDEX($U$5:$U$14, O26), 0))</f>
        <v>0</v>
      </c>
      <c r="U26" s="1073">
        <f t="shared" si="6"/>
        <v>0</v>
      </c>
      <c r="V26" s="1073">
        <f t="shared" si="5"/>
        <v>0</v>
      </c>
      <c r="W26" s="1073">
        <f>IF(N26&gt;DEBT!$AH$14, 0, IF(V26=0, 0, IF(N26&lt;=DEBT!$AH$15, V26*DEBT!$AH$12/12, PMT(DEBT!$AH$12/12, DEBT!$AH$13-N26+DEBT!$AH$15+1, -V26))))</f>
        <v>0</v>
      </c>
      <c r="X26" s="1073">
        <f>IF(N26&gt;DEBT!$AH$14, 0, V26*DEBT!$AH$12/12)</f>
        <v>0</v>
      </c>
      <c r="Y26" s="1073">
        <f>IF(N26&gt;INPUTS!$C$26*12, 0, W26-X26)</f>
        <v>0</v>
      </c>
      <c r="Z26" s="1075">
        <f>IF(N26&gt;DEBT!$AH$14, 0, V26-Y26)</f>
        <v>0</v>
      </c>
    </row>
    <row r="27" spans="2:26">
      <c r="B27" s="100"/>
      <c r="C27" s="85"/>
      <c r="D27" s="85"/>
      <c r="E27" s="86"/>
      <c r="F27" s="87"/>
      <c r="G27" s="88">
        <f t="shared" si="1"/>
        <v>0</v>
      </c>
      <c r="H27" s="89"/>
      <c r="N27" s="1066">
        <v>9</v>
      </c>
      <c r="O27" s="1067">
        <v>1</v>
      </c>
      <c r="P27" s="1068">
        <f>IF(AND(N27&gt;=INPUTS!$I$6, N27&lt;=(INPUTS!$I$6+INPUTS!$I$5-1), MOD(N27-INPUTS!$I$6,12)=0), INPUTS!$F$20/CEILING(INPUTS!$I$5/12,1), 0)</f>
        <v>0</v>
      </c>
      <c r="Q27" s="1068">
        <f>IF(AND(N27&gt;=INPUTS!$I$6, N27&lt;=(INPUTS!$I$6+INPUTS!$I$5-1)), INPUTS!$F$20/INPUTS!$I$5, 0)</f>
        <v>0</v>
      </c>
      <c r="R27" s="1069">
        <v>0</v>
      </c>
      <c r="S27" s="1068">
        <f>IF(INPUTS!$I$8="Year Start", P27, IF(INPUTS!$I$8="Even Distribution", Q27, R27))</f>
        <v>0</v>
      </c>
      <c r="T27" s="1068" cm="1">
        <f t="array" ref="T27">IF(INPUTS!$C$24&lt;&gt;"Yes", 0, IFERROR(S27 / SUMPRODUCT(($O$19:$O$138=O27)*$S$19:$S$138) * INDEX($U$5:$U$14, O27), 0))</f>
        <v>0</v>
      </c>
      <c r="U27" s="1068">
        <f t="shared" si="6"/>
        <v>0</v>
      </c>
      <c r="V27" s="1068">
        <f t="shared" si="5"/>
        <v>0</v>
      </c>
      <c r="W27" s="1068">
        <f>IF(N27&gt;DEBT!$AH$14, 0, IF(V27=0, 0, IF(N27&lt;=DEBT!$AH$15, V27*DEBT!$AH$12/12, PMT(DEBT!$AH$12/12, DEBT!$AH$13-N27+DEBT!$AH$15+1, -V27))))</f>
        <v>0</v>
      </c>
      <c r="X27" s="1068">
        <f>IF(N27&gt;DEBT!$AH$14, 0, V27*DEBT!$AH$12/12)</f>
        <v>0</v>
      </c>
      <c r="Y27" s="1068">
        <f>IF(N27&gt;INPUTS!$C$26*12, 0, W27-X27)</f>
        <v>0</v>
      </c>
      <c r="Z27" s="1070">
        <f>IF(N27&gt;DEBT!$AH$14, 0, V27-Y27)</f>
        <v>0</v>
      </c>
    </row>
    <row r="28" spans="2:26">
      <c r="B28" s="101"/>
      <c r="C28" s="91"/>
      <c r="D28" s="91"/>
      <c r="E28" s="92"/>
      <c r="F28" s="98"/>
      <c r="G28" s="94">
        <f t="shared" si="1"/>
        <v>0</v>
      </c>
      <c r="H28" s="99"/>
      <c r="N28" s="1071">
        <v>10</v>
      </c>
      <c r="O28" s="1072">
        <v>1</v>
      </c>
      <c r="P28" s="1073">
        <f>IF(AND(N28&gt;=INPUTS!$I$6, N28&lt;=(INPUTS!$I$6+INPUTS!$I$5-1), MOD(N28-INPUTS!$I$6,12)=0), INPUTS!$F$20/CEILING(INPUTS!$I$5/12,1), 0)</f>
        <v>0</v>
      </c>
      <c r="Q28" s="1073">
        <f>IF(AND(N28&gt;=INPUTS!$I$6, N28&lt;=(INPUTS!$I$6+INPUTS!$I$5-1)), INPUTS!$F$20/INPUTS!$I$5, 0)</f>
        <v>0</v>
      </c>
      <c r="R28" s="1074">
        <v>0</v>
      </c>
      <c r="S28" s="1073">
        <f>IF(INPUTS!$I$8="Year Start", P28, IF(INPUTS!$I$8="Even Distribution", Q28, R28))</f>
        <v>0</v>
      </c>
      <c r="T28" s="1073" cm="1">
        <f t="array" ref="T28">IF(INPUTS!$C$24&lt;&gt;"Yes", 0, IFERROR(S28 / SUMPRODUCT(($O$19:$O$138=O28)*$S$19:$S$138) * INDEX($U$5:$U$14, O28), 0))</f>
        <v>0</v>
      </c>
      <c r="U28" s="1073">
        <f t="shared" si="6"/>
        <v>0</v>
      </c>
      <c r="V28" s="1073">
        <f t="shared" si="5"/>
        <v>0</v>
      </c>
      <c r="W28" s="1073">
        <f>IF(N28&gt;DEBT!$AH$14, 0, IF(V28=0, 0, IF(N28&lt;=DEBT!$AH$15, V28*DEBT!$AH$12/12, PMT(DEBT!$AH$12/12, DEBT!$AH$13-N28+DEBT!$AH$15+1, -V28))))</f>
        <v>0</v>
      </c>
      <c r="X28" s="1073">
        <f>IF(N28&gt;DEBT!$AH$14, 0, V28*DEBT!$AH$12/12)</f>
        <v>0</v>
      </c>
      <c r="Y28" s="1073">
        <f>IF(N28&gt;INPUTS!$C$26*12, 0, W28-X28)</f>
        <v>0</v>
      </c>
      <c r="Z28" s="1075">
        <f>IF(N28&gt;DEBT!$AH$14, 0, V28-Y28)</f>
        <v>0</v>
      </c>
    </row>
    <row r="29" spans="2:26">
      <c r="B29" s="84"/>
      <c r="C29" s="85"/>
      <c r="D29" s="85"/>
      <c r="E29" s="86"/>
      <c r="F29" s="87"/>
      <c r="G29" s="88">
        <f t="shared" si="1"/>
        <v>0</v>
      </c>
      <c r="H29" s="89"/>
      <c r="N29" s="1066">
        <v>11</v>
      </c>
      <c r="O29" s="1067">
        <v>1</v>
      </c>
      <c r="P29" s="1068">
        <f>IF(AND(N29&gt;=INPUTS!$I$6, N29&lt;=(INPUTS!$I$6+INPUTS!$I$5-1), MOD(N29-INPUTS!$I$6,12)=0), INPUTS!$F$20/CEILING(INPUTS!$I$5/12,1), 0)</f>
        <v>0</v>
      </c>
      <c r="Q29" s="1068">
        <f>IF(AND(N29&gt;=INPUTS!$I$6, N29&lt;=(INPUTS!$I$6+INPUTS!$I$5-1)), INPUTS!$F$20/INPUTS!$I$5, 0)</f>
        <v>0</v>
      </c>
      <c r="R29" s="1069">
        <v>0</v>
      </c>
      <c r="S29" s="1068">
        <f>IF(INPUTS!$I$8="Year Start", P29, IF(INPUTS!$I$8="Even Distribution", Q29, R29))</f>
        <v>0</v>
      </c>
      <c r="T29" s="1068" cm="1">
        <f t="array" ref="T29">IF(INPUTS!$C$24&lt;&gt;"Yes", 0, IFERROR(S29 / SUMPRODUCT(($O$19:$O$138=O29)*$S$19:$S$138) * INDEX($U$5:$U$14, O29), 0))</f>
        <v>0</v>
      </c>
      <c r="U29" s="1068">
        <f t="shared" si="6"/>
        <v>0</v>
      </c>
      <c r="V29" s="1068">
        <f t="shared" si="5"/>
        <v>0</v>
      </c>
      <c r="W29" s="1068">
        <f>IF(N29&gt;DEBT!$AH$14, 0, IF(V29=0, 0, IF(N29&lt;=DEBT!$AH$15, V29*DEBT!$AH$12/12, PMT(DEBT!$AH$12/12, DEBT!$AH$13-N29+DEBT!$AH$15+1, -V29))))</f>
        <v>0</v>
      </c>
      <c r="X29" s="1068">
        <f>IF(N29&gt;DEBT!$AH$14, 0, V29*DEBT!$AH$12/12)</f>
        <v>0</v>
      </c>
      <c r="Y29" s="1068">
        <f>IF(N29&gt;INPUTS!$C$26*12, 0, W29-X29)</f>
        <v>0</v>
      </c>
      <c r="Z29" s="1070">
        <f>IF(N29&gt;DEBT!$AH$14, 0, V29-Y29)</f>
        <v>0</v>
      </c>
    </row>
    <row r="30" spans="2:26">
      <c r="B30" s="90"/>
      <c r="C30" s="91"/>
      <c r="D30" s="91"/>
      <c r="E30" s="92"/>
      <c r="F30" s="98"/>
      <c r="G30" s="94">
        <f t="shared" si="1"/>
        <v>0</v>
      </c>
      <c r="H30" s="99"/>
      <c r="N30" s="1071">
        <v>12</v>
      </c>
      <c r="O30" s="1072">
        <v>1</v>
      </c>
      <c r="P30" s="1073">
        <f>IF(AND(N30&gt;=INPUTS!$I$6, N30&lt;=(INPUTS!$I$6+INPUTS!$I$5-1), MOD(N30-INPUTS!$I$6,12)=0), INPUTS!$F$20/CEILING(INPUTS!$I$5/12,1), 0)</f>
        <v>0</v>
      </c>
      <c r="Q30" s="1073">
        <f>IF(AND(N30&gt;=INPUTS!$I$6, N30&lt;=(INPUTS!$I$6+INPUTS!$I$5-1)), INPUTS!$F$20/INPUTS!$I$5, 0)</f>
        <v>0</v>
      </c>
      <c r="R30" s="1074">
        <v>0</v>
      </c>
      <c r="S30" s="1073">
        <f>IF(INPUTS!$I$8="Year Start", P30, IF(INPUTS!$I$8="Even Distribution", Q30, R30))</f>
        <v>0</v>
      </c>
      <c r="T30" s="1073" cm="1">
        <f t="array" ref="T30">IF(INPUTS!$C$24&lt;&gt;"Yes", 0, IFERROR(S30 / SUMPRODUCT(($O$19:$O$138=O30)*$S$19:$S$138) * INDEX($U$5:$U$14, O30), 0))</f>
        <v>0</v>
      </c>
      <c r="U30" s="1073">
        <f t="shared" si="6"/>
        <v>0</v>
      </c>
      <c r="V30" s="1073">
        <f t="shared" si="5"/>
        <v>0</v>
      </c>
      <c r="W30" s="1073">
        <f>IF(N30&gt;DEBT!$AH$14, 0, IF(V30=0, 0, IF(N30&lt;=DEBT!$AH$15, V30*DEBT!$AH$12/12, PMT(DEBT!$AH$12/12, DEBT!$AH$13-N30+DEBT!$AH$15+1, -V30))))</f>
        <v>0</v>
      </c>
      <c r="X30" s="1073">
        <f>IF(N30&gt;DEBT!$AH$14, 0, V30*DEBT!$AH$12/12)</f>
        <v>0</v>
      </c>
      <c r="Y30" s="1073">
        <f>IF(N30&gt;INPUTS!$C$26*12, 0, W30-X30)</f>
        <v>0</v>
      </c>
      <c r="Z30" s="1075">
        <f>IF(N30&gt;DEBT!$AH$14, 0, V30-Y30)</f>
        <v>0</v>
      </c>
    </row>
    <row r="31" spans="2:26">
      <c r="B31" s="84"/>
      <c r="C31" s="85"/>
      <c r="D31" s="102"/>
      <c r="E31" s="86"/>
      <c r="F31" s="87"/>
      <c r="G31" s="88">
        <f t="shared" si="1"/>
        <v>0</v>
      </c>
      <c r="H31" s="89"/>
      <c r="N31" s="1066">
        <v>13</v>
      </c>
      <c r="O31" s="1067">
        <v>2</v>
      </c>
      <c r="P31" s="1068">
        <f>IF(AND(N31&gt;=INPUTS!$I$6, N31&lt;=(INPUTS!$I$6+INPUTS!$I$5-1), MOD(N31-INPUTS!$I$6,12)=0), INPUTS!$F$20/CEILING(INPUTS!$I$5/12,1), 0)</f>
        <v>0</v>
      </c>
      <c r="Q31" s="1068">
        <f>IF(AND(N31&gt;=INPUTS!$I$6, N31&lt;=(INPUTS!$I$6+INPUTS!$I$5-1)), INPUTS!$F$20/INPUTS!$I$5, 0)</f>
        <v>0</v>
      </c>
      <c r="R31" s="1069">
        <v>0</v>
      </c>
      <c r="S31" s="1068">
        <f>IF(INPUTS!$I$8="Year Start", P31, IF(INPUTS!$I$8="Even Distribution", Q31, R31))</f>
        <v>0</v>
      </c>
      <c r="T31" s="1068" cm="1">
        <f t="array" ref="T31">IF(INPUTS!$C$24&lt;&gt;"Yes", 0, IFERROR(S31 / SUMPRODUCT(($O$19:$O$138=O31)*$S$19:$S$138) * INDEX($U$5:$U$14, O31), 0))</f>
        <v>0</v>
      </c>
      <c r="U31" s="1068">
        <f t="shared" si="6"/>
        <v>0</v>
      </c>
      <c r="V31" s="1068">
        <f t="shared" si="5"/>
        <v>0</v>
      </c>
      <c r="W31" s="1068">
        <f>IF(N31&gt;DEBT!$AH$14, 0, IF(V31=0, 0, IF(N31&lt;=DEBT!$AH$15, V31*DEBT!$AH$12/12, PMT(DEBT!$AH$12/12, DEBT!$AH$13-N31+DEBT!$AH$15+1, -V31))))</f>
        <v>0</v>
      </c>
      <c r="X31" s="1068">
        <f>IF(N31&gt;DEBT!$AH$14, 0, V31*DEBT!$AH$12/12)</f>
        <v>0</v>
      </c>
      <c r="Y31" s="1068">
        <f>IF(N31&gt;INPUTS!$C$26*12, 0, W31-X31)</f>
        <v>0</v>
      </c>
      <c r="Z31" s="1070">
        <f>IF(N31&gt;DEBT!$AH$14, 0, V31-Y31)</f>
        <v>0</v>
      </c>
    </row>
    <row r="32" spans="2:26">
      <c r="B32" s="90"/>
      <c r="C32" s="91"/>
      <c r="D32" s="91"/>
      <c r="E32" s="92"/>
      <c r="F32" s="98"/>
      <c r="G32" s="94">
        <f t="shared" si="1"/>
        <v>0</v>
      </c>
      <c r="H32" s="99"/>
      <c r="N32" s="1071">
        <v>14</v>
      </c>
      <c r="O32" s="1072">
        <v>2</v>
      </c>
      <c r="P32" s="1073">
        <f>IF(AND(N32&gt;=INPUTS!$I$6, N32&lt;=(INPUTS!$I$6+INPUTS!$I$5-1), MOD(N32-INPUTS!$I$6,12)=0), INPUTS!$F$20/CEILING(INPUTS!$I$5/12,1), 0)</f>
        <v>0</v>
      </c>
      <c r="Q32" s="1073">
        <f>IF(AND(N32&gt;=INPUTS!$I$6, N32&lt;=(INPUTS!$I$6+INPUTS!$I$5-1)), INPUTS!$F$20/INPUTS!$I$5, 0)</f>
        <v>0</v>
      </c>
      <c r="R32" s="1074">
        <v>0</v>
      </c>
      <c r="S32" s="1073">
        <f>IF(INPUTS!$I$8="Year Start", P32, IF(INPUTS!$I$8="Even Distribution", Q32, R32))</f>
        <v>0</v>
      </c>
      <c r="T32" s="1073" cm="1">
        <f t="array" ref="T32">IF(INPUTS!$C$24&lt;&gt;"Yes", 0, IFERROR(S32 / SUMPRODUCT(($O$19:$O$138=O32)*$S$19:$S$138) * INDEX($U$5:$U$14, O32), 0))</f>
        <v>0</v>
      </c>
      <c r="U32" s="1073">
        <f t="shared" si="6"/>
        <v>0</v>
      </c>
      <c r="V32" s="1073">
        <f t="shared" si="5"/>
        <v>0</v>
      </c>
      <c r="W32" s="1073">
        <f>IF(N32&gt;DEBT!$AH$14, 0, IF(V32=0, 0, IF(N32&lt;=DEBT!$AH$15, V32*DEBT!$AH$12/12, PMT(DEBT!$AH$12/12, DEBT!$AH$13-N32+DEBT!$AH$15+1, -V32))))</f>
        <v>0</v>
      </c>
      <c r="X32" s="1073">
        <f>IF(N32&gt;DEBT!$AH$14, 0, V32*DEBT!$AH$12/12)</f>
        <v>0</v>
      </c>
      <c r="Y32" s="1073">
        <f>IF(N32&gt;INPUTS!$C$26*12, 0, W32-X32)</f>
        <v>0</v>
      </c>
      <c r="Z32" s="1075">
        <f>IF(N32&gt;DEBT!$AH$14, 0, V32-Y32)</f>
        <v>0</v>
      </c>
    </row>
    <row r="33" spans="2:26">
      <c r="B33" s="84"/>
      <c r="C33" s="85"/>
      <c r="D33" s="85"/>
      <c r="E33" s="86"/>
      <c r="F33" s="87"/>
      <c r="G33" s="88">
        <f t="shared" si="1"/>
        <v>0</v>
      </c>
      <c r="H33" s="89"/>
      <c r="N33" s="1066">
        <v>15</v>
      </c>
      <c r="O33" s="1067">
        <v>2</v>
      </c>
      <c r="P33" s="1068">
        <f>IF(AND(N33&gt;=INPUTS!$I$6, N33&lt;=(INPUTS!$I$6+INPUTS!$I$5-1), MOD(N33-INPUTS!$I$6,12)=0), INPUTS!$F$20/CEILING(INPUTS!$I$5/12,1), 0)</f>
        <v>0</v>
      </c>
      <c r="Q33" s="1068">
        <f>IF(AND(N33&gt;=INPUTS!$I$6, N33&lt;=(INPUTS!$I$6+INPUTS!$I$5-1)), INPUTS!$F$20/INPUTS!$I$5, 0)</f>
        <v>0</v>
      </c>
      <c r="R33" s="1069">
        <v>0</v>
      </c>
      <c r="S33" s="1068">
        <f>IF(INPUTS!$I$8="Year Start", P33, IF(INPUTS!$I$8="Even Distribution", Q33, R33))</f>
        <v>0</v>
      </c>
      <c r="T33" s="1068" cm="1">
        <f t="array" ref="T33">IF(INPUTS!$C$24&lt;&gt;"Yes", 0, IFERROR(S33 / SUMPRODUCT(($O$19:$O$138=O33)*$S$19:$S$138) * INDEX($U$5:$U$14, O33), 0))</f>
        <v>0</v>
      </c>
      <c r="U33" s="1068">
        <f t="shared" si="6"/>
        <v>0</v>
      </c>
      <c r="V33" s="1068">
        <f t="shared" si="5"/>
        <v>0</v>
      </c>
      <c r="W33" s="1068">
        <f>IF(N33&gt;DEBT!$AH$14, 0, IF(V33=0, 0, IF(N33&lt;=DEBT!$AH$15, V33*DEBT!$AH$12/12, PMT(DEBT!$AH$12/12, DEBT!$AH$13-N33+DEBT!$AH$15+1, -V33))))</f>
        <v>0</v>
      </c>
      <c r="X33" s="1068">
        <f>IF(N33&gt;DEBT!$AH$14, 0, V33*DEBT!$AH$12/12)</f>
        <v>0</v>
      </c>
      <c r="Y33" s="1068">
        <f>IF(N33&gt;INPUTS!$C$26*12, 0, W33-X33)</f>
        <v>0</v>
      </c>
      <c r="Z33" s="1070">
        <f>IF(N33&gt;DEBT!$AH$14, 0, V33-Y33)</f>
        <v>0</v>
      </c>
    </row>
    <row r="34" spans="2:26">
      <c r="B34" s="90"/>
      <c r="C34" s="91"/>
      <c r="D34" s="91"/>
      <c r="E34" s="92"/>
      <c r="F34" s="98"/>
      <c r="G34" s="94">
        <f t="shared" si="1"/>
        <v>0</v>
      </c>
      <c r="H34" s="99"/>
      <c r="N34" s="1071">
        <v>16</v>
      </c>
      <c r="O34" s="1072">
        <v>2</v>
      </c>
      <c r="P34" s="1073">
        <f>IF(AND(N34&gt;=INPUTS!$I$6, N34&lt;=(INPUTS!$I$6+INPUTS!$I$5-1), MOD(N34-INPUTS!$I$6,12)=0), INPUTS!$F$20/CEILING(INPUTS!$I$5/12,1), 0)</f>
        <v>0</v>
      </c>
      <c r="Q34" s="1073">
        <f>IF(AND(N34&gt;=INPUTS!$I$6, N34&lt;=(INPUTS!$I$6+INPUTS!$I$5-1)), INPUTS!$F$20/INPUTS!$I$5, 0)</f>
        <v>0</v>
      </c>
      <c r="R34" s="1074">
        <v>0</v>
      </c>
      <c r="S34" s="1073">
        <f>IF(INPUTS!$I$8="Year Start", P34, IF(INPUTS!$I$8="Even Distribution", Q34, R34))</f>
        <v>0</v>
      </c>
      <c r="T34" s="1073" cm="1">
        <f t="array" ref="T34">IF(INPUTS!$C$24&lt;&gt;"Yes", 0, IFERROR(S34 / SUMPRODUCT(($O$19:$O$138=O34)*$S$19:$S$138) * INDEX($U$5:$U$14, O34), 0))</f>
        <v>0</v>
      </c>
      <c r="U34" s="1073">
        <f t="shared" si="6"/>
        <v>0</v>
      </c>
      <c r="V34" s="1073">
        <f t="shared" si="5"/>
        <v>0</v>
      </c>
      <c r="W34" s="1073">
        <f>IF(N34&gt;DEBT!$AH$14, 0, IF(V34=0, 0, IF(N34&lt;=DEBT!$AH$15, V34*DEBT!$AH$12/12, PMT(DEBT!$AH$12/12, DEBT!$AH$13-N34+DEBT!$AH$15+1, -V34))))</f>
        <v>0</v>
      </c>
      <c r="X34" s="1073">
        <f>IF(N34&gt;DEBT!$AH$14, 0, V34*DEBT!$AH$12/12)</f>
        <v>0</v>
      </c>
      <c r="Y34" s="1073">
        <f>IF(N34&gt;INPUTS!$C$26*12, 0, W34-X34)</f>
        <v>0</v>
      </c>
      <c r="Z34" s="1075">
        <f>IF(N34&gt;DEBT!$AH$14, 0, V34-Y34)</f>
        <v>0</v>
      </c>
    </row>
    <row r="35" spans="2:26">
      <c r="B35" s="84"/>
      <c r="C35" s="85"/>
      <c r="D35" s="85"/>
      <c r="E35" s="86"/>
      <c r="F35" s="87"/>
      <c r="G35" s="88">
        <f t="shared" si="1"/>
        <v>0</v>
      </c>
      <c r="H35" s="89"/>
      <c r="N35" s="1066">
        <v>17</v>
      </c>
      <c r="O35" s="1067">
        <v>2</v>
      </c>
      <c r="P35" s="1068">
        <f>IF(AND(N35&gt;=INPUTS!$I$6, N35&lt;=(INPUTS!$I$6+INPUTS!$I$5-1), MOD(N35-INPUTS!$I$6,12)=0), INPUTS!$F$20/CEILING(INPUTS!$I$5/12,1), 0)</f>
        <v>0</v>
      </c>
      <c r="Q35" s="1068">
        <f>IF(AND(N35&gt;=INPUTS!$I$6, N35&lt;=(INPUTS!$I$6+INPUTS!$I$5-1)), INPUTS!$F$20/INPUTS!$I$5, 0)</f>
        <v>0</v>
      </c>
      <c r="R35" s="1069">
        <v>0</v>
      </c>
      <c r="S35" s="1068">
        <f>IF(INPUTS!$I$8="Year Start", P35, IF(INPUTS!$I$8="Even Distribution", Q35, R35))</f>
        <v>0</v>
      </c>
      <c r="T35" s="1068" cm="1">
        <f t="array" ref="T35">IF(INPUTS!$C$24&lt;&gt;"Yes", 0, IFERROR(S35 / SUMPRODUCT(($O$19:$O$138=O35)*$S$19:$S$138) * INDEX($U$5:$U$14, O35), 0))</f>
        <v>0</v>
      </c>
      <c r="U35" s="1068">
        <f t="shared" si="6"/>
        <v>0</v>
      </c>
      <c r="V35" s="1068">
        <f t="shared" si="5"/>
        <v>0</v>
      </c>
      <c r="W35" s="1068">
        <f>IF(N35&gt;DEBT!$AH$14, 0, IF(V35=0, 0, IF(N35&lt;=DEBT!$AH$15, V35*DEBT!$AH$12/12, PMT(DEBT!$AH$12/12, DEBT!$AH$13-N35+DEBT!$AH$15+1, -V35))))</f>
        <v>0</v>
      </c>
      <c r="X35" s="1068">
        <f>IF(N35&gt;DEBT!$AH$14, 0, V35*DEBT!$AH$12/12)</f>
        <v>0</v>
      </c>
      <c r="Y35" s="1068">
        <f>IF(N35&gt;INPUTS!$C$26*12, 0, W35-X35)</f>
        <v>0</v>
      </c>
      <c r="Z35" s="1070">
        <f>IF(N35&gt;DEBT!$AH$14, 0, V35-Y35)</f>
        <v>0</v>
      </c>
    </row>
    <row r="36" spans="2:26" ht="20" thickBot="1">
      <c r="B36" s="103" t="s">
        <v>159</v>
      </c>
      <c r="C36" s="62"/>
      <c r="D36" s="62"/>
      <c r="E36" s="63"/>
      <c r="F36" s="64"/>
      <c r="G36" s="65">
        <f>SUM(G7:G35)</f>
        <v>0</v>
      </c>
      <c r="H36" s="104"/>
      <c r="N36" s="1071">
        <v>18</v>
      </c>
      <c r="O36" s="1072">
        <v>2</v>
      </c>
      <c r="P36" s="1073">
        <f>IF(AND(N36&gt;=INPUTS!$I$6, N36&lt;=(INPUTS!$I$6+INPUTS!$I$5-1), MOD(N36-INPUTS!$I$6,12)=0), INPUTS!$F$20/CEILING(INPUTS!$I$5/12,1), 0)</f>
        <v>0</v>
      </c>
      <c r="Q36" s="1073">
        <f>IF(AND(N36&gt;=INPUTS!$I$6, N36&lt;=(INPUTS!$I$6+INPUTS!$I$5-1)), INPUTS!$F$20/INPUTS!$I$5, 0)</f>
        <v>0</v>
      </c>
      <c r="R36" s="1074">
        <v>0</v>
      </c>
      <c r="S36" s="1073">
        <f>IF(INPUTS!$I$8="Year Start", P36, IF(INPUTS!$I$8="Even Distribution", Q36, R36))</f>
        <v>0</v>
      </c>
      <c r="T36" s="1073" cm="1">
        <f t="array" ref="T36">IF(INPUTS!$C$24&lt;&gt;"Yes", 0, IFERROR(S36 / SUMPRODUCT(($O$19:$O$138=O36)*$S$19:$S$138) * INDEX($U$5:$U$14, O36), 0))</f>
        <v>0</v>
      </c>
      <c r="U36" s="1073">
        <f t="shared" si="6"/>
        <v>0</v>
      </c>
      <c r="V36" s="1073">
        <f t="shared" si="5"/>
        <v>0</v>
      </c>
      <c r="W36" s="1073">
        <f>IF(N36&gt;DEBT!$AH$14, 0, IF(V36=0, 0, IF(N36&lt;=DEBT!$AH$15, V36*DEBT!$AH$12/12, PMT(DEBT!$AH$12/12, DEBT!$AH$13-N36+DEBT!$AH$15+1, -V36))))</f>
        <v>0</v>
      </c>
      <c r="X36" s="1073">
        <f>IF(N36&gt;DEBT!$AH$14, 0, V36*DEBT!$AH$12/12)</f>
        <v>0</v>
      </c>
      <c r="Y36" s="1073">
        <f>IF(N36&gt;INPUTS!$C$26*12, 0, W36-X36)</f>
        <v>0</v>
      </c>
      <c r="Z36" s="1075">
        <f>IF(N36&gt;DEBT!$AH$14, 0, V36-Y36)</f>
        <v>0</v>
      </c>
    </row>
    <row r="37" spans="2:26">
      <c r="B37" s="101"/>
      <c r="C37" s="105"/>
      <c r="D37" s="105"/>
      <c r="E37" s="105"/>
      <c r="F37" s="105"/>
      <c r="G37" s="105"/>
      <c r="H37" s="106"/>
      <c r="N37" s="1066">
        <v>19</v>
      </c>
      <c r="O37" s="1067">
        <v>2</v>
      </c>
      <c r="P37" s="1068">
        <f>IF(AND(N37&gt;=INPUTS!$I$6, N37&lt;=(INPUTS!$I$6+INPUTS!$I$5-1), MOD(N37-INPUTS!$I$6,12)=0), INPUTS!$F$20/CEILING(INPUTS!$I$5/12,1), 0)</f>
        <v>0</v>
      </c>
      <c r="Q37" s="1068">
        <f>IF(AND(N37&gt;=INPUTS!$I$6, N37&lt;=(INPUTS!$I$6+INPUTS!$I$5-1)), INPUTS!$F$20/INPUTS!$I$5, 0)</f>
        <v>0</v>
      </c>
      <c r="R37" s="1069">
        <v>0</v>
      </c>
      <c r="S37" s="1068">
        <f>IF(INPUTS!$I$8="Year Start", P37, IF(INPUTS!$I$8="Even Distribution", Q37, R37))</f>
        <v>0</v>
      </c>
      <c r="T37" s="1068" cm="1">
        <f t="array" ref="T37">IF(INPUTS!$C$24&lt;&gt;"Yes", 0, IFERROR(S37 / SUMPRODUCT(($O$19:$O$138=O37)*$S$19:$S$138) * INDEX($U$5:$U$14, O37), 0))</f>
        <v>0</v>
      </c>
      <c r="U37" s="1068">
        <f t="shared" si="6"/>
        <v>0</v>
      </c>
      <c r="V37" s="1068">
        <f t="shared" si="5"/>
        <v>0</v>
      </c>
      <c r="W37" s="1068">
        <f>IF(N37&gt;DEBT!$AH$14, 0, IF(V37=0, 0, IF(N37&lt;=DEBT!$AH$15, V37*DEBT!$AH$12/12, PMT(DEBT!$AH$12/12, DEBT!$AH$13-N37+DEBT!$AH$15+1, -V37))))</f>
        <v>0</v>
      </c>
      <c r="X37" s="1068">
        <f>IF(N37&gt;DEBT!$AH$14, 0, V37*DEBT!$AH$12/12)</f>
        <v>0</v>
      </c>
      <c r="Y37" s="1068">
        <f>IF(N37&gt;INPUTS!$C$26*12, 0, W37-X37)</f>
        <v>0</v>
      </c>
      <c r="Z37" s="1070">
        <f>IF(N37&gt;DEBT!$AH$14, 0, V37-Y37)</f>
        <v>0</v>
      </c>
    </row>
    <row r="38" spans="2:26" ht="22">
      <c r="B38" s="81" t="s">
        <v>160</v>
      </c>
      <c r="C38" s="82" t="s">
        <v>154</v>
      </c>
      <c r="D38" s="82" t="s">
        <v>155</v>
      </c>
      <c r="E38" s="82" t="s">
        <v>156</v>
      </c>
      <c r="F38" s="82" t="s">
        <v>157</v>
      </c>
      <c r="G38" s="82" t="s">
        <v>158</v>
      </c>
      <c r="H38" s="83"/>
      <c r="N38" s="1071">
        <v>20</v>
      </c>
      <c r="O38" s="1072">
        <v>2</v>
      </c>
      <c r="P38" s="1073">
        <f>IF(AND(N38&gt;=INPUTS!$I$6, N38&lt;=(INPUTS!$I$6+INPUTS!$I$5-1), MOD(N38-INPUTS!$I$6,12)=0), INPUTS!$F$20/CEILING(INPUTS!$I$5/12,1), 0)</f>
        <v>0</v>
      </c>
      <c r="Q38" s="1073">
        <f>IF(AND(N38&gt;=INPUTS!$I$6, N38&lt;=(INPUTS!$I$6+INPUTS!$I$5-1)), INPUTS!$F$20/INPUTS!$I$5, 0)</f>
        <v>0</v>
      </c>
      <c r="R38" s="1074">
        <v>0</v>
      </c>
      <c r="S38" s="1073">
        <f>IF(INPUTS!$I$8="Year Start", P38, IF(INPUTS!$I$8="Even Distribution", Q38, R38))</f>
        <v>0</v>
      </c>
      <c r="T38" s="1073" cm="1">
        <f t="array" ref="T38">IF(INPUTS!$C$24&lt;&gt;"Yes", 0, IFERROR(S38 / SUMPRODUCT(($O$19:$O$138=O38)*$S$19:$S$138) * INDEX($U$5:$U$14, O38), 0))</f>
        <v>0</v>
      </c>
      <c r="U38" s="1073">
        <f t="shared" si="6"/>
        <v>0</v>
      </c>
      <c r="V38" s="1073">
        <f t="shared" si="5"/>
        <v>0</v>
      </c>
      <c r="W38" s="1073">
        <f>IF(N38&gt;DEBT!$AH$14, 0, IF(V38=0, 0, IF(N38&lt;=DEBT!$AH$15, V38*DEBT!$AH$12/12, PMT(DEBT!$AH$12/12, DEBT!$AH$13-N38+DEBT!$AH$15+1, -V38))))</f>
        <v>0</v>
      </c>
      <c r="X38" s="1073">
        <f>IF(N38&gt;DEBT!$AH$14, 0, V38*DEBT!$AH$12/12)</f>
        <v>0</v>
      </c>
      <c r="Y38" s="1073">
        <f>IF(N38&gt;INPUTS!$C$26*12, 0, W38-X38)</f>
        <v>0</v>
      </c>
      <c r="Z38" s="1075">
        <f>IF(N38&gt;DEBT!$AH$14, 0, V38-Y38)</f>
        <v>0</v>
      </c>
    </row>
    <row r="39" spans="2:26">
      <c r="B39" s="84"/>
      <c r="C39" s="85"/>
      <c r="D39" s="102"/>
      <c r="E39" s="86"/>
      <c r="F39" s="96"/>
      <c r="G39" s="88">
        <f t="shared" ref="G39:G64" si="7">C39*E39</f>
        <v>0</v>
      </c>
      <c r="H39" s="97"/>
      <c r="N39" s="1066">
        <v>21</v>
      </c>
      <c r="O39" s="1067">
        <v>2</v>
      </c>
      <c r="P39" s="1068">
        <f>IF(AND(N39&gt;=INPUTS!$I$6, N39&lt;=(INPUTS!$I$6+INPUTS!$I$5-1), MOD(N39-INPUTS!$I$6,12)=0), INPUTS!$F$20/CEILING(INPUTS!$I$5/12,1), 0)</f>
        <v>0</v>
      </c>
      <c r="Q39" s="1068">
        <f>IF(AND(N39&gt;=INPUTS!$I$6, N39&lt;=(INPUTS!$I$6+INPUTS!$I$5-1)), INPUTS!$F$20/INPUTS!$I$5, 0)</f>
        <v>0</v>
      </c>
      <c r="R39" s="1069">
        <v>0</v>
      </c>
      <c r="S39" s="1068">
        <f>IF(INPUTS!$I$8="Year Start", P39, IF(INPUTS!$I$8="Even Distribution", Q39, R39))</f>
        <v>0</v>
      </c>
      <c r="T39" s="1068" cm="1">
        <f t="array" ref="T39">IF(INPUTS!$C$24&lt;&gt;"Yes", 0, IFERROR(S39 / SUMPRODUCT(($O$19:$O$138=O39)*$S$19:$S$138) * INDEX($U$5:$U$14, O39), 0))</f>
        <v>0</v>
      </c>
      <c r="U39" s="1068">
        <f t="shared" si="6"/>
        <v>0</v>
      </c>
      <c r="V39" s="1068">
        <f t="shared" si="5"/>
        <v>0</v>
      </c>
      <c r="W39" s="1068">
        <f>IF(N39&gt;DEBT!$AH$14, 0, IF(V39=0, 0, IF(N39&lt;=DEBT!$AH$15, V39*DEBT!$AH$12/12, PMT(DEBT!$AH$12/12, DEBT!$AH$13-N39+DEBT!$AH$15+1, -V39))))</f>
        <v>0</v>
      </c>
      <c r="X39" s="1068">
        <f>IF(N39&gt;DEBT!$AH$14, 0, V39*DEBT!$AH$12/12)</f>
        <v>0</v>
      </c>
      <c r="Y39" s="1068">
        <f>IF(N39&gt;INPUTS!$C$26*12, 0, W39-X39)</f>
        <v>0</v>
      </c>
      <c r="Z39" s="1070">
        <f>IF(N39&gt;DEBT!$AH$14, 0, V39-Y39)</f>
        <v>0</v>
      </c>
    </row>
    <row r="40" spans="2:26">
      <c r="B40" s="90"/>
      <c r="C40" s="91"/>
      <c r="D40" s="107"/>
      <c r="E40" s="92"/>
      <c r="F40" s="93"/>
      <c r="G40" s="94">
        <f t="shared" si="7"/>
        <v>0</v>
      </c>
      <c r="H40" s="95"/>
      <c r="N40" s="1071">
        <v>22</v>
      </c>
      <c r="O40" s="1072">
        <v>2</v>
      </c>
      <c r="P40" s="1073">
        <f>IF(AND(N40&gt;=INPUTS!$I$6, N40&lt;=(INPUTS!$I$6+INPUTS!$I$5-1), MOD(N40-INPUTS!$I$6,12)=0), INPUTS!$F$20/CEILING(INPUTS!$I$5/12,1), 0)</f>
        <v>0</v>
      </c>
      <c r="Q40" s="1073">
        <f>IF(AND(N40&gt;=INPUTS!$I$6, N40&lt;=(INPUTS!$I$6+INPUTS!$I$5-1)), INPUTS!$F$20/INPUTS!$I$5, 0)</f>
        <v>0</v>
      </c>
      <c r="R40" s="1074">
        <v>0</v>
      </c>
      <c r="S40" s="1073">
        <f>IF(INPUTS!$I$8="Year Start", P40, IF(INPUTS!$I$8="Even Distribution", Q40, R40))</f>
        <v>0</v>
      </c>
      <c r="T40" s="1073" cm="1">
        <f t="array" ref="T40">IF(INPUTS!$C$24&lt;&gt;"Yes", 0, IFERROR(S40 / SUMPRODUCT(($O$19:$O$138=O40)*$S$19:$S$138) * INDEX($U$5:$U$14, O40), 0))</f>
        <v>0</v>
      </c>
      <c r="U40" s="1073">
        <f t="shared" si="6"/>
        <v>0</v>
      </c>
      <c r="V40" s="1073">
        <f t="shared" si="5"/>
        <v>0</v>
      </c>
      <c r="W40" s="1073">
        <f>IF(N40&gt;DEBT!$AH$14, 0, IF(V40=0, 0, IF(N40&lt;=DEBT!$AH$15, V40*DEBT!$AH$12/12, PMT(DEBT!$AH$12/12, DEBT!$AH$13-N40+DEBT!$AH$15+1, -V40))))</f>
        <v>0</v>
      </c>
      <c r="X40" s="1073">
        <f>IF(N40&gt;DEBT!$AH$14, 0, V40*DEBT!$AH$12/12)</f>
        <v>0</v>
      </c>
      <c r="Y40" s="1073">
        <f>IF(N40&gt;INPUTS!$C$26*12, 0, W40-X40)</f>
        <v>0</v>
      </c>
      <c r="Z40" s="1075">
        <f>IF(N40&gt;DEBT!$AH$14, 0, V40-Y40)</f>
        <v>0</v>
      </c>
    </row>
    <row r="41" spans="2:26">
      <c r="B41" s="84"/>
      <c r="C41" s="85"/>
      <c r="D41" s="85"/>
      <c r="E41" s="86"/>
      <c r="F41" s="87"/>
      <c r="G41" s="88">
        <f t="shared" si="7"/>
        <v>0</v>
      </c>
      <c r="H41" s="89"/>
      <c r="N41" s="1066">
        <v>23</v>
      </c>
      <c r="O41" s="1067">
        <v>2</v>
      </c>
      <c r="P41" s="1068">
        <f>IF(AND(N41&gt;=INPUTS!$I$6, N41&lt;=(INPUTS!$I$6+INPUTS!$I$5-1), MOD(N41-INPUTS!$I$6,12)=0), INPUTS!$F$20/CEILING(INPUTS!$I$5/12,1), 0)</f>
        <v>0</v>
      </c>
      <c r="Q41" s="1068">
        <f>IF(AND(N41&gt;=INPUTS!$I$6, N41&lt;=(INPUTS!$I$6+INPUTS!$I$5-1)), INPUTS!$F$20/INPUTS!$I$5, 0)</f>
        <v>0</v>
      </c>
      <c r="R41" s="1069">
        <v>0</v>
      </c>
      <c r="S41" s="1068">
        <f>IF(INPUTS!$I$8="Year Start", P41, IF(INPUTS!$I$8="Even Distribution", Q41, R41))</f>
        <v>0</v>
      </c>
      <c r="T41" s="1068" cm="1">
        <f t="array" ref="T41">IF(INPUTS!$C$24&lt;&gt;"Yes", 0, IFERROR(S41 / SUMPRODUCT(($O$19:$O$138=O41)*$S$19:$S$138) * INDEX($U$5:$U$14, O41), 0))</f>
        <v>0</v>
      </c>
      <c r="U41" s="1068">
        <f t="shared" si="6"/>
        <v>0</v>
      </c>
      <c r="V41" s="1068">
        <f t="shared" si="5"/>
        <v>0</v>
      </c>
      <c r="W41" s="1068">
        <f>IF(N41&gt;DEBT!$AH$14, 0, IF(V41=0, 0, IF(N41&lt;=DEBT!$AH$15, V41*DEBT!$AH$12/12, PMT(DEBT!$AH$12/12, DEBT!$AH$13-N41+DEBT!$AH$15+1, -V41))))</f>
        <v>0</v>
      </c>
      <c r="X41" s="1068">
        <f>IF(N41&gt;DEBT!$AH$14, 0, V41*DEBT!$AH$12/12)</f>
        <v>0</v>
      </c>
      <c r="Y41" s="1068">
        <f>IF(N41&gt;INPUTS!$C$26*12, 0, W41-X41)</f>
        <v>0</v>
      </c>
      <c r="Z41" s="1070">
        <f>IF(N41&gt;DEBT!$AH$14, 0, V41-Y41)</f>
        <v>0</v>
      </c>
    </row>
    <row r="42" spans="2:26">
      <c r="B42" s="90"/>
      <c r="C42" s="91"/>
      <c r="D42" s="91"/>
      <c r="E42" s="92"/>
      <c r="F42" s="98"/>
      <c r="G42" s="94">
        <f t="shared" si="7"/>
        <v>0</v>
      </c>
      <c r="H42" s="99"/>
      <c r="N42" s="1071">
        <v>24</v>
      </c>
      <c r="O42" s="1072">
        <v>2</v>
      </c>
      <c r="P42" s="1073">
        <f>IF(AND(N42&gt;=INPUTS!$I$6, N42&lt;=(INPUTS!$I$6+INPUTS!$I$5-1), MOD(N42-INPUTS!$I$6,12)=0), INPUTS!$F$20/CEILING(INPUTS!$I$5/12,1), 0)</f>
        <v>0</v>
      </c>
      <c r="Q42" s="1073">
        <f>IF(AND(N42&gt;=INPUTS!$I$6, N42&lt;=(INPUTS!$I$6+INPUTS!$I$5-1)), INPUTS!$F$20/INPUTS!$I$5, 0)</f>
        <v>0</v>
      </c>
      <c r="R42" s="1074">
        <v>0</v>
      </c>
      <c r="S42" s="1073">
        <f>IF(INPUTS!$I$8="Year Start", P42, IF(INPUTS!$I$8="Even Distribution", Q42, R42))</f>
        <v>0</v>
      </c>
      <c r="T42" s="1073" cm="1">
        <f t="array" ref="T42">IF(INPUTS!$C$24&lt;&gt;"Yes", 0, IFERROR(S42 / SUMPRODUCT(($O$19:$O$138=O42)*$S$19:$S$138) * INDEX($U$5:$U$14, O42), 0))</f>
        <v>0</v>
      </c>
      <c r="U42" s="1073">
        <f t="shared" si="6"/>
        <v>0</v>
      </c>
      <c r="V42" s="1073">
        <f t="shared" si="5"/>
        <v>0</v>
      </c>
      <c r="W42" s="1073">
        <f>IF(N42&gt;DEBT!$AH$14, 0, IF(V42=0, 0, IF(N42&lt;=DEBT!$AH$15, V42*DEBT!$AH$12/12, PMT(DEBT!$AH$12/12, DEBT!$AH$13-N42+DEBT!$AH$15+1, -V42))))</f>
        <v>0</v>
      </c>
      <c r="X42" s="1073">
        <f>IF(N42&gt;DEBT!$AH$14, 0, V42*DEBT!$AH$12/12)</f>
        <v>0</v>
      </c>
      <c r="Y42" s="1073">
        <f>IF(N42&gt;INPUTS!$C$26*12, 0, W42-X42)</f>
        <v>0</v>
      </c>
      <c r="Z42" s="1075">
        <f>IF(N42&gt;DEBT!$AH$14, 0, V42-Y42)</f>
        <v>0</v>
      </c>
    </row>
    <row r="43" spans="2:26">
      <c r="B43" s="84"/>
      <c r="C43" s="85"/>
      <c r="D43" s="85"/>
      <c r="E43" s="86"/>
      <c r="F43" s="87"/>
      <c r="G43" s="88">
        <f t="shared" si="7"/>
        <v>0</v>
      </c>
      <c r="H43" s="89"/>
      <c r="N43" s="1066">
        <v>25</v>
      </c>
      <c r="O43" s="1067">
        <v>3</v>
      </c>
      <c r="P43" s="1068">
        <f>IF(AND(N43&gt;=INPUTS!$I$6, N43&lt;=(INPUTS!$I$6+INPUTS!$I$5-1), MOD(N43-INPUTS!$I$6,12)=0), INPUTS!$F$20/CEILING(INPUTS!$I$5/12,1), 0)</f>
        <v>0</v>
      </c>
      <c r="Q43" s="1068">
        <f>IF(AND(N43&gt;=INPUTS!$I$6, N43&lt;=(INPUTS!$I$6+INPUTS!$I$5-1)), INPUTS!$F$20/INPUTS!$I$5, 0)</f>
        <v>0</v>
      </c>
      <c r="R43" s="1069">
        <v>0</v>
      </c>
      <c r="S43" s="1068">
        <f>IF(INPUTS!$I$8="Year Start", P43, IF(INPUTS!$I$8="Even Distribution", Q43, R43))</f>
        <v>0</v>
      </c>
      <c r="T43" s="1068" cm="1">
        <f t="array" ref="T43">IF(INPUTS!$C$24&lt;&gt;"Yes", 0, IFERROR(S43 / SUMPRODUCT(($O$19:$O$138=O43)*$S$19:$S$138) * INDEX($U$5:$U$14, O43), 0))</f>
        <v>0</v>
      </c>
      <c r="U43" s="1068">
        <f t="shared" si="6"/>
        <v>0</v>
      </c>
      <c r="V43" s="1068">
        <f t="shared" si="5"/>
        <v>0</v>
      </c>
      <c r="W43" s="1068">
        <f>IF(N43&gt;DEBT!$AH$14, 0, IF(V43=0, 0, IF(N43&lt;=DEBT!$AH$15, V43*DEBT!$AH$12/12, PMT(DEBT!$AH$12/12, DEBT!$AH$13-N43+DEBT!$AH$15+1, -V43))))</f>
        <v>0</v>
      </c>
      <c r="X43" s="1068">
        <f>IF(N43&gt;DEBT!$AH$14, 0, V43*DEBT!$AH$12/12)</f>
        <v>0</v>
      </c>
      <c r="Y43" s="1068">
        <f>IF(N43&gt;INPUTS!$C$26*12, 0, W43-X43)</f>
        <v>0</v>
      </c>
      <c r="Z43" s="1070">
        <f>IF(N43&gt;DEBT!$AH$14, 0, V43-Y43)</f>
        <v>0</v>
      </c>
    </row>
    <row r="44" spans="2:26">
      <c r="B44" s="90"/>
      <c r="C44" s="91"/>
      <c r="D44" s="91"/>
      <c r="E44" s="92"/>
      <c r="F44" s="98"/>
      <c r="G44" s="94">
        <f t="shared" si="7"/>
        <v>0</v>
      </c>
      <c r="H44" s="99"/>
      <c r="N44" s="1071">
        <v>26</v>
      </c>
      <c r="O44" s="1072">
        <v>3</v>
      </c>
      <c r="P44" s="1073">
        <f>IF(AND(N44&gt;=INPUTS!$I$6, N44&lt;=(INPUTS!$I$6+INPUTS!$I$5-1), MOD(N44-INPUTS!$I$6,12)=0), INPUTS!$F$20/CEILING(INPUTS!$I$5/12,1), 0)</f>
        <v>0</v>
      </c>
      <c r="Q44" s="1073">
        <f>IF(AND(N44&gt;=INPUTS!$I$6, N44&lt;=(INPUTS!$I$6+INPUTS!$I$5-1)), INPUTS!$F$20/INPUTS!$I$5, 0)</f>
        <v>0</v>
      </c>
      <c r="R44" s="1074">
        <v>0</v>
      </c>
      <c r="S44" s="1073">
        <f>IF(INPUTS!$I$8="Year Start", P44, IF(INPUTS!$I$8="Even Distribution", Q44, R44))</f>
        <v>0</v>
      </c>
      <c r="T44" s="1073" cm="1">
        <f t="array" ref="T44">IF(INPUTS!$C$24&lt;&gt;"Yes", 0, IFERROR(S44 / SUMPRODUCT(($O$19:$O$138=O44)*$S$19:$S$138) * INDEX($U$5:$U$14, O44), 0))</f>
        <v>0</v>
      </c>
      <c r="U44" s="1073">
        <f t="shared" si="6"/>
        <v>0</v>
      </c>
      <c r="V44" s="1073">
        <f t="shared" si="5"/>
        <v>0</v>
      </c>
      <c r="W44" s="1073">
        <f>IF(N44&gt;DEBT!$AH$14, 0, IF(V44=0, 0, IF(N44&lt;=DEBT!$AH$15, V44*DEBT!$AH$12/12, PMT(DEBT!$AH$12/12, DEBT!$AH$13-N44+DEBT!$AH$15+1, -V44))))</f>
        <v>0</v>
      </c>
      <c r="X44" s="1073">
        <f>IF(N44&gt;DEBT!$AH$14, 0, V44*DEBT!$AH$12/12)</f>
        <v>0</v>
      </c>
      <c r="Y44" s="1073">
        <f>IF(N44&gt;INPUTS!$C$26*12, 0, W44-X44)</f>
        <v>0</v>
      </c>
      <c r="Z44" s="1075">
        <f>IF(N44&gt;DEBT!$AH$14, 0, V44-Y44)</f>
        <v>0</v>
      </c>
    </row>
    <row r="45" spans="2:26">
      <c r="B45" s="84"/>
      <c r="C45" s="85"/>
      <c r="D45" s="85"/>
      <c r="E45" s="86"/>
      <c r="F45" s="87"/>
      <c r="G45" s="88">
        <f t="shared" ref="G45:G53" si="8">C45*E45</f>
        <v>0</v>
      </c>
      <c r="H45" s="89"/>
      <c r="N45" s="1066">
        <v>27</v>
      </c>
      <c r="O45" s="1067">
        <v>3</v>
      </c>
      <c r="P45" s="1068">
        <f>IF(AND(N45&gt;=INPUTS!$I$6, N45&lt;=(INPUTS!$I$6+INPUTS!$I$5-1), MOD(N45-INPUTS!$I$6,12)=0), INPUTS!$F$20/CEILING(INPUTS!$I$5/12,1), 0)</f>
        <v>0</v>
      </c>
      <c r="Q45" s="1068">
        <f>IF(AND(N45&gt;=INPUTS!$I$6, N45&lt;=(INPUTS!$I$6+INPUTS!$I$5-1)), INPUTS!$F$20/INPUTS!$I$5, 0)</f>
        <v>0</v>
      </c>
      <c r="R45" s="1069">
        <v>0</v>
      </c>
      <c r="S45" s="1068">
        <f>IF(INPUTS!$I$8="Year Start", P45, IF(INPUTS!$I$8="Even Distribution", Q45, R45))</f>
        <v>0</v>
      </c>
      <c r="T45" s="1068" cm="1">
        <f t="array" ref="T45">IF(INPUTS!$C$24&lt;&gt;"Yes", 0, IFERROR(S45 / SUMPRODUCT(($O$19:$O$138=O45)*$S$19:$S$138) * INDEX($U$5:$U$14, O45), 0))</f>
        <v>0</v>
      </c>
      <c r="U45" s="1068">
        <f t="shared" si="6"/>
        <v>0</v>
      </c>
      <c r="V45" s="1068">
        <f t="shared" si="5"/>
        <v>0</v>
      </c>
      <c r="W45" s="1068">
        <f>IF(N45&gt;DEBT!$AH$14, 0, IF(V45=0, 0, IF(N45&lt;=DEBT!$AH$15, V45*DEBT!$AH$12/12, PMT(DEBT!$AH$12/12, DEBT!$AH$13-N45+DEBT!$AH$15+1, -V45))))</f>
        <v>0</v>
      </c>
      <c r="X45" s="1068">
        <f>IF(N45&gt;DEBT!$AH$14, 0, V45*DEBT!$AH$12/12)</f>
        <v>0</v>
      </c>
      <c r="Y45" s="1068">
        <f>IF(N45&gt;INPUTS!$C$26*12, 0, W45-X45)</f>
        <v>0</v>
      </c>
      <c r="Z45" s="1070">
        <f>IF(N45&gt;DEBT!$AH$14, 0, V45-Y45)</f>
        <v>0</v>
      </c>
    </row>
    <row r="46" spans="2:26">
      <c r="B46" s="90"/>
      <c r="C46" s="91"/>
      <c r="D46" s="91"/>
      <c r="E46" s="92"/>
      <c r="F46" s="98"/>
      <c r="G46" s="94">
        <f t="shared" si="8"/>
        <v>0</v>
      </c>
      <c r="H46" s="99"/>
      <c r="N46" s="1071">
        <v>28</v>
      </c>
      <c r="O46" s="1072">
        <v>3</v>
      </c>
      <c r="P46" s="1073">
        <f>IF(AND(N46&gt;=INPUTS!$I$6, N46&lt;=(INPUTS!$I$6+INPUTS!$I$5-1), MOD(N46-INPUTS!$I$6,12)=0), INPUTS!$F$20/CEILING(INPUTS!$I$5/12,1), 0)</f>
        <v>0</v>
      </c>
      <c r="Q46" s="1073">
        <f>IF(AND(N46&gt;=INPUTS!$I$6, N46&lt;=(INPUTS!$I$6+INPUTS!$I$5-1)), INPUTS!$F$20/INPUTS!$I$5, 0)</f>
        <v>0</v>
      </c>
      <c r="R46" s="1074">
        <v>0</v>
      </c>
      <c r="S46" s="1073">
        <f>IF(INPUTS!$I$8="Year Start", P46, IF(INPUTS!$I$8="Even Distribution", Q46, R46))</f>
        <v>0</v>
      </c>
      <c r="T46" s="1073" cm="1">
        <f t="array" ref="T46">IF(INPUTS!$C$24&lt;&gt;"Yes", 0, IFERROR(S46 / SUMPRODUCT(($O$19:$O$138=O46)*$S$19:$S$138) * INDEX($U$5:$U$14, O46), 0))</f>
        <v>0</v>
      </c>
      <c r="U46" s="1073">
        <f t="shared" si="6"/>
        <v>0</v>
      </c>
      <c r="V46" s="1073">
        <f t="shared" si="5"/>
        <v>0</v>
      </c>
      <c r="W46" s="1073">
        <f>IF(N46&gt;DEBT!$AH$14, 0, IF(V46=0, 0, IF(N46&lt;=DEBT!$AH$15, V46*DEBT!$AH$12/12, PMT(DEBT!$AH$12/12, DEBT!$AH$13-N46+DEBT!$AH$15+1, -V46))))</f>
        <v>0</v>
      </c>
      <c r="X46" s="1073">
        <f>IF(N46&gt;DEBT!$AH$14, 0, V46*DEBT!$AH$12/12)</f>
        <v>0</v>
      </c>
      <c r="Y46" s="1073">
        <f>IF(N46&gt;INPUTS!$C$26*12, 0, W46-X46)</f>
        <v>0</v>
      </c>
      <c r="Z46" s="1075">
        <f>IF(N46&gt;DEBT!$AH$14, 0, V46-Y46)</f>
        <v>0</v>
      </c>
    </row>
    <row r="47" spans="2:26">
      <c r="B47" s="84"/>
      <c r="C47" s="85"/>
      <c r="D47" s="85"/>
      <c r="E47" s="86"/>
      <c r="F47" s="87"/>
      <c r="G47" s="88">
        <f t="shared" si="8"/>
        <v>0</v>
      </c>
      <c r="H47" s="89"/>
      <c r="N47" s="1066">
        <v>29</v>
      </c>
      <c r="O47" s="1067">
        <v>3</v>
      </c>
      <c r="P47" s="1068">
        <f>IF(AND(N47&gt;=INPUTS!$I$6, N47&lt;=(INPUTS!$I$6+INPUTS!$I$5-1), MOD(N47-INPUTS!$I$6,12)=0), INPUTS!$F$20/CEILING(INPUTS!$I$5/12,1), 0)</f>
        <v>0</v>
      </c>
      <c r="Q47" s="1068">
        <f>IF(AND(N47&gt;=INPUTS!$I$6, N47&lt;=(INPUTS!$I$6+INPUTS!$I$5-1)), INPUTS!$F$20/INPUTS!$I$5, 0)</f>
        <v>0</v>
      </c>
      <c r="R47" s="1069">
        <v>0</v>
      </c>
      <c r="S47" s="1068">
        <f>IF(INPUTS!$I$8="Year Start", P47, IF(INPUTS!$I$8="Even Distribution", Q47, R47))</f>
        <v>0</v>
      </c>
      <c r="T47" s="1068" cm="1">
        <f t="array" ref="T47">IF(INPUTS!$C$24&lt;&gt;"Yes", 0, IFERROR(S47 / SUMPRODUCT(($O$19:$O$138=O47)*$S$19:$S$138) * INDEX($U$5:$U$14, O47), 0))</f>
        <v>0</v>
      </c>
      <c r="U47" s="1068">
        <f t="shared" si="6"/>
        <v>0</v>
      </c>
      <c r="V47" s="1068">
        <f t="shared" si="5"/>
        <v>0</v>
      </c>
      <c r="W47" s="1068">
        <f>IF(N47&gt;DEBT!$AH$14, 0, IF(V47=0, 0, IF(N47&lt;=DEBT!$AH$15, V47*DEBT!$AH$12/12, PMT(DEBT!$AH$12/12, DEBT!$AH$13-N47+DEBT!$AH$15+1, -V47))))</f>
        <v>0</v>
      </c>
      <c r="X47" s="1068">
        <f>IF(N47&gt;DEBT!$AH$14, 0, V47*DEBT!$AH$12/12)</f>
        <v>0</v>
      </c>
      <c r="Y47" s="1068">
        <f>IF(N47&gt;INPUTS!$C$26*12, 0, W47-X47)</f>
        <v>0</v>
      </c>
      <c r="Z47" s="1070">
        <f>IF(N47&gt;DEBT!$AH$14, 0, V47-Y47)</f>
        <v>0</v>
      </c>
    </row>
    <row r="48" spans="2:26">
      <c r="B48" s="90"/>
      <c r="C48" s="91"/>
      <c r="D48" s="91"/>
      <c r="E48" s="92"/>
      <c r="F48" s="98"/>
      <c r="G48" s="94">
        <f t="shared" si="8"/>
        <v>0</v>
      </c>
      <c r="H48" s="99"/>
      <c r="N48" s="1071">
        <v>30</v>
      </c>
      <c r="O48" s="1072">
        <v>3</v>
      </c>
      <c r="P48" s="1073">
        <f>IF(AND(N48&gt;=INPUTS!$I$6, N48&lt;=(INPUTS!$I$6+INPUTS!$I$5-1), MOD(N48-INPUTS!$I$6,12)=0), INPUTS!$F$20/CEILING(INPUTS!$I$5/12,1), 0)</f>
        <v>0</v>
      </c>
      <c r="Q48" s="1073">
        <f>IF(AND(N48&gt;=INPUTS!$I$6, N48&lt;=(INPUTS!$I$6+INPUTS!$I$5-1)), INPUTS!$F$20/INPUTS!$I$5, 0)</f>
        <v>0</v>
      </c>
      <c r="R48" s="1074">
        <v>0</v>
      </c>
      <c r="S48" s="1073">
        <f>IF(INPUTS!$I$8="Year Start", P48, IF(INPUTS!$I$8="Even Distribution", Q48, R48))</f>
        <v>0</v>
      </c>
      <c r="T48" s="1073" cm="1">
        <f t="array" ref="T48">IF(INPUTS!$C$24&lt;&gt;"Yes", 0, IFERROR(S48 / SUMPRODUCT(($O$19:$O$138=O48)*$S$19:$S$138) * INDEX($U$5:$U$14, O48), 0))</f>
        <v>0</v>
      </c>
      <c r="U48" s="1073">
        <f t="shared" si="6"/>
        <v>0</v>
      </c>
      <c r="V48" s="1073">
        <f t="shared" si="5"/>
        <v>0</v>
      </c>
      <c r="W48" s="1073">
        <f>IF(N48&gt;DEBT!$AH$14, 0, IF(V48=0, 0, IF(N48&lt;=DEBT!$AH$15, V48*DEBT!$AH$12/12, PMT(DEBT!$AH$12/12, DEBT!$AH$13-N48+DEBT!$AH$15+1, -V48))))</f>
        <v>0</v>
      </c>
      <c r="X48" s="1073">
        <f>IF(N48&gt;DEBT!$AH$14, 0, V48*DEBT!$AH$12/12)</f>
        <v>0</v>
      </c>
      <c r="Y48" s="1073">
        <f>IF(N48&gt;INPUTS!$C$26*12, 0, W48-X48)</f>
        <v>0</v>
      </c>
      <c r="Z48" s="1075">
        <f>IF(N48&gt;DEBT!$AH$14, 0, V48-Y48)</f>
        <v>0</v>
      </c>
    </row>
    <row r="49" spans="2:26">
      <c r="B49" s="84"/>
      <c r="C49" s="85"/>
      <c r="D49" s="85"/>
      <c r="E49" s="86"/>
      <c r="F49" s="87"/>
      <c r="G49" s="88">
        <f t="shared" si="8"/>
        <v>0</v>
      </c>
      <c r="H49" s="89"/>
      <c r="N49" s="1066">
        <v>31</v>
      </c>
      <c r="O49" s="1067">
        <v>3</v>
      </c>
      <c r="P49" s="1068">
        <f>IF(AND(N49&gt;=INPUTS!$I$6, N49&lt;=(INPUTS!$I$6+INPUTS!$I$5-1), MOD(N49-INPUTS!$I$6,12)=0), INPUTS!$F$20/CEILING(INPUTS!$I$5/12,1), 0)</f>
        <v>0</v>
      </c>
      <c r="Q49" s="1068">
        <f>IF(AND(N49&gt;=INPUTS!$I$6, N49&lt;=(INPUTS!$I$6+INPUTS!$I$5-1)), INPUTS!$F$20/INPUTS!$I$5, 0)</f>
        <v>0</v>
      </c>
      <c r="R49" s="1069">
        <v>0</v>
      </c>
      <c r="S49" s="1068">
        <f>IF(INPUTS!$I$8="Year Start", P49, IF(INPUTS!$I$8="Even Distribution", Q49, R49))</f>
        <v>0</v>
      </c>
      <c r="T49" s="1068" cm="1">
        <f t="array" ref="T49">IF(INPUTS!$C$24&lt;&gt;"Yes", 0, IFERROR(S49 / SUMPRODUCT(($O$19:$O$138=O49)*$S$19:$S$138) * INDEX($U$5:$U$14, O49), 0))</f>
        <v>0</v>
      </c>
      <c r="U49" s="1068">
        <f t="shared" si="6"/>
        <v>0</v>
      </c>
      <c r="V49" s="1068">
        <f t="shared" si="5"/>
        <v>0</v>
      </c>
      <c r="W49" s="1068">
        <f>IF(N49&gt;DEBT!$AH$14, 0, IF(V49=0, 0, IF(N49&lt;=DEBT!$AH$15, V49*DEBT!$AH$12/12, PMT(DEBT!$AH$12/12, DEBT!$AH$13-N49+DEBT!$AH$15+1, -V49))))</f>
        <v>0</v>
      </c>
      <c r="X49" s="1068">
        <f>IF(N49&gt;DEBT!$AH$14, 0, V49*DEBT!$AH$12/12)</f>
        <v>0</v>
      </c>
      <c r="Y49" s="1068">
        <f>IF(N49&gt;INPUTS!$C$26*12, 0, W49-X49)</f>
        <v>0</v>
      </c>
      <c r="Z49" s="1070">
        <f>IF(N49&gt;DEBT!$AH$14, 0, V49-Y49)</f>
        <v>0</v>
      </c>
    </row>
    <row r="50" spans="2:26">
      <c r="B50" s="90"/>
      <c r="C50" s="91"/>
      <c r="D50" s="91"/>
      <c r="E50" s="92"/>
      <c r="F50" s="98"/>
      <c r="G50" s="94">
        <f t="shared" si="8"/>
        <v>0</v>
      </c>
      <c r="H50" s="99"/>
      <c r="N50" s="1071">
        <v>32</v>
      </c>
      <c r="O50" s="1072">
        <v>3</v>
      </c>
      <c r="P50" s="1073">
        <f>IF(AND(N50&gt;=INPUTS!$I$6, N50&lt;=(INPUTS!$I$6+INPUTS!$I$5-1), MOD(N50-INPUTS!$I$6,12)=0), INPUTS!$F$20/CEILING(INPUTS!$I$5/12,1), 0)</f>
        <v>0</v>
      </c>
      <c r="Q50" s="1073">
        <f>IF(AND(N50&gt;=INPUTS!$I$6, N50&lt;=(INPUTS!$I$6+INPUTS!$I$5-1)), INPUTS!$F$20/INPUTS!$I$5, 0)</f>
        <v>0</v>
      </c>
      <c r="R50" s="1074">
        <v>0</v>
      </c>
      <c r="S50" s="1073">
        <f>IF(INPUTS!$I$8="Year Start", P50, IF(INPUTS!$I$8="Even Distribution", Q50, R50))</f>
        <v>0</v>
      </c>
      <c r="T50" s="1073" cm="1">
        <f t="array" ref="T50">IF(INPUTS!$C$24&lt;&gt;"Yes", 0, IFERROR(S50 / SUMPRODUCT(($O$19:$O$138=O50)*$S$19:$S$138) * INDEX($U$5:$U$14, O50), 0))</f>
        <v>0</v>
      </c>
      <c r="U50" s="1073">
        <f t="shared" si="6"/>
        <v>0</v>
      </c>
      <c r="V50" s="1073">
        <f t="shared" si="5"/>
        <v>0</v>
      </c>
      <c r="W50" s="1073">
        <f>IF(N50&gt;DEBT!$AH$14, 0, IF(V50=0, 0, IF(N50&lt;=DEBT!$AH$15, V50*DEBT!$AH$12/12, PMT(DEBT!$AH$12/12, DEBT!$AH$13-N50+DEBT!$AH$15+1, -V50))))</f>
        <v>0</v>
      </c>
      <c r="X50" s="1073">
        <f>IF(N50&gt;DEBT!$AH$14, 0, V50*DEBT!$AH$12/12)</f>
        <v>0</v>
      </c>
      <c r="Y50" s="1073">
        <f>IF(N50&gt;INPUTS!$C$26*12, 0, W50-X50)</f>
        <v>0</v>
      </c>
      <c r="Z50" s="1075">
        <f>IF(N50&gt;DEBT!$AH$14, 0, V50-Y50)</f>
        <v>0</v>
      </c>
    </row>
    <row r="51" spans="2:26">
      <c r="B51" s="84"/>
      <c r="C51" s="85"/>
      <c r="D51" s="85"/>
      <c r="E51" s="86"/>
      <c r="F51" s="87"/>
      <c r="G51" s="88">
        <f t="shared" si="8"/>
        <v>0</v>
      </c>
      <c r="H51" s="89"/>
      <c r="N51" s="1066">
        <v>33</v>
      </c>
      <c r="O51" s="1067">
        <v>3</v>
      </c>
      <c r="P51" s="1068">
        <f>IF(AND(N51&gt;=INPUTS!$I$6, N51&lt;=(INPUTS!$I$6+INPUTS!$I$5-1), MOD(N51-INPUTS!$I$6,12)=0), INPUTS!$F$20/CEILING(INPUTS!$I$5/12,1), 0)</f>
        <v>0</v>
      </c>
      <c r="Q51" s="1068">
        <f>IF(AND(N51&gt;=INPUTS!$I$6, N51&lt;=(INPUTS!$I$6+INPUTS!$I$5-1)), INPUTS!$F$20/INPUTS!$I$5, 0)</f>
        <v>0</v>
      </c>
      <c r="R51" s="1069">
        <v>0</v>
      </c>
      <c r="S51" s="1068">
        <f>IF(INPUTS!$I$8="Year Start", P51, IF(INPUTS!$I$8="Even Distribution", Q51, R51))</f>
        <v>0</v>
      </c>
      <c r="T51" s="1068" cm="1">
        <f t="array" ref="T51">IF(INPUTS!$C$24&lt;&gt;"Yes", 0, IFERROR(S51 / SUMPRODUCT(($O$19:$O$138=O51)*$S$19:$S$138) * INDEX($U$5:$U$14, O51), 0))</f>
        <v>0</v>
      </c>
      <c r="U51" s="1068">
        <f t="shared" si="6"/>
        <v>0</v>
      </c>
      <c r="V51" s="1068">
        <f t="shared" si="5"/>
        <v>0</v>
      </c>
      <c r="W51" s="1068">
        <f>IF(N51&gt;DEBT!$AH$14, 0, IF(V51=0, 0, IF(N51&lt;=DEBT!$AH$15, V51*DEBT!$AH$12/12, PMT(DEBT!$AH$12/12, DEBT!$AH$13-N51+DEBT!$AH$15+1, -V51))))</f>
        <v>0</v>
      </c>
      <c r="X51" s="1068">
        <f>IF(N51&gt;DEBT!$AH$14, 0, V51*DEBT!$AH$12/12)</f>
        <v>0</v>
      </c>
      <c r="Y51" s="1068">
        <f>IF(N51&gt;INPUTS!$C$26*12, 0, W51-X51)</f>
        <v>0</v>
      </c>
      <c r="Z51" s="1070">
        <f>IF(N51&gt;DEBT!$AH$14, 0, V51-Y51)</f>
        <v>0</v>
      </c>
    </row>
    <row r="52" spans="2:26">
      <c r="B52" s="90"/>
      <c r="C52" s="91"/>
      <c r="D52" s="91"/>
      <c r="E52" s="92"/>
      <c r="F52" s="98"/>
      <c r="G52" s="94">
        <f t="shared" si="8"/>
        <v>0</v>
      </c>
      <c r="H52" s="99"/>
      <c r="N52" s="1071">
        <v>34</v>
      </c>
      <c r="O52" s="1072">
        <v>3</v>
      </c>
      <c r="P52" s="1073">
        <f>IF(AND(N52&gt;=INPUTS!$I$6, N52&lt;=(INPUTS!$I$6+INPUTS!$I$5-1), MOD(N52-INPUTS!$I$6,12)=0), INPUTS!$F$20/CEILING(INPUTS!$I$5/12,1), 0)</f>
        <v>0</v>
      </c>
      <c r="Q52" s="1073">
        <f>IF(AND(N52&gt;=INPUTS!$I$6, N52&lt;=(INPUTS!$I$6+INPUTS!$I$5-1)), INPUTS!$F$20/INPUTS!$I$5, 0)</f>
        <v>0</v>
      </c>
      <c r="R52" s="1074">
        <v>0</v>
      </c>
      <c r="S52" s="1073">
        <f>IF(INPUTS!$I$8="Year Start", P52, IF(INPUTS!$I$8="Even Distribution", Q52, R52))</f>
        <v>0</v>
      </c>
      <c r="T52" s="1073" cm="1">
        <f t="array" ref="T52">IF(INPUTS!$C$24&lt;&gt;"Yes", 0, IFERROR(S52 / SUMPRODUCT(($O$19:$O$138=O52)*$S$19:$S$138) * INDEX($U$5:$U$14, O52), 0))</f>
        <v>0</v>
      </c>
      <c r="U52" s="1073">
        <f t="shared" si="6"/>
        <v>0</v>
      </c>
      <c r="V52" s="1073">
        <f t="shared" si="5"/>
        <v>0</v>
      </c>
      <c r="W52" s="1073">
        <f>IF(N52&gt;DEBT!$AH$14, 0, IF(V52=0, 0, IF(N52&lt;=DEBT!$AH$15, V52*DEBT!$AH$12/12, PMT(DEBT!$AH$12/12, DEBT!$AH$13-N52+DEBT!$AH$15+1, -V52))))</f>
        <v>0</v>
      </c>
      <c r="X52" s="1073">
        <f>IF(N52&gt;DEBT!$AH$14, 0, V52*DEBT!$AH$12/12)</f>
        <v>0</v>
      </c>
      <c r="Y52" s="1073">
        <f>IF(N52&gt;INPUTS!$C$26*12, 0, W52-X52)</f>
        <v>0</v>
      </c>
      <c r="Z52" s="1075">
        <f>IF(N52&gt;DEBT!$AH$14, 0, V52-Y52)</f>
        <v>0</v>
      </c>
    </row>
    <row r="53" spans="2:26">
      <c r="B53" s="84"/>
      <c r="C53" s="85"/>
      <c r="D53" s="85"/>
      <c r="E53" s="86"/>
      <c r="F53" s="87"/>
      <c r="G53" s="88">
        <f t="shared" si="8"/>
        <v>0</v>
      </c>
      <c r="H53" s="89"/>
      <c r="N53" s="1066">
        <v>35</v>
      </c>
      <c r="O53" s="1067">
        <v>3</v>
      </c>
      <c r="P53" s="1068">
        <f>IF(AND(N53&gt;=INPUTS!$I$6, N53&lt;=(INPUTS!$I$6+INPUTS!$I$5-1), MOD(N53-INPUTS!$I$6,12)=0), INPUTS!$F$20/CEILING(INPUTS!$I$5/12,1), 0)</f>
        <v>0</v>
      </c>
      <c r="Q53" s="1068">
        <f>IF(AND(N53&gt;=INPUTS!$I$6, N53&lt;=(INPUTS!$I$6+INPUTS!$I$5-1)), INPUTS!$F$20/INPUTS!$I$5, 0)</f>
        <v>0</v>
      </c>
      <c r="R53" s="1069">
        <v>0</v>
      </c>
      <c r="S53" s="1068">
        <f>IF(INPUTS!$I$8="Year Start", P53, IF(INPUTS!$I$8="Even Distribution", Q53, R53))</f>
        <v>0</v>
      </c>
      <c r="T53" s="1068" cm="1">
        <f t="array" ref="T53">IF(INPUTS!$C$24&lt;&gt;"Yes", 0, IFERROR(S53 / SUMPRODUCT(($O$19:$O$138=O53)*$S$19:$S$138) * INDEX($U$5:$U$14, O53), 0))</f>
        <v>0</v>
      </c>
      <c r="U53" s="1068">
        <f t="shared" si="6"/>
        <v>0</v>
      </c>
      <c r="V53" s="1068">
        <f t="shared" si="5"/>
        <v>0</v>
      </c>
      <c r="W53" s="1068">
        <f>IF(N53&gt;DEBT!$AH$14, 0, IF(V53=0, 0, IF(N53&lt;=DEBT!$AH$15, V53*DEBT!$AH$12/12, PMT(DEBT!$AH$12/12, DEBT!$AH$13-N53+DEBT!$AH$15+1, -V53))))</f>
        <v>0</v>
      </c>
      <c r="X53" s="1068">
        <f>IF(N53&gt;DEBT!$AH$14, 0, V53*DEBT!$AH$12/12)</f>
        <v>0</v>
      </c>
      <c r="Y53" s="1068">
        <f>IF(N53&gt;INPUTS!$C$26*12, 0, W53-X53)</f>
        <v>0</v>
      </c>
      <c r="Z53" s="1070">
        <f>IF(N53&gt;DEBT!$AH$14, 0, V53-Y53)</f>
        <v>0</v>
      </c>
    </row>
    <row r="54" spans="2:26">
      <c r="B54" s="90"/>
      <c r="C54" s="91"/>
      <c r="D54" s="91"/>
      <c r="E54" s="92"/>
      <c r="F54" s="93"/>
      <c r="G54" s="94">
        <f t="shared" si="7"/>
        <v>0</v>
      </c>
      <c r="H54" s="95"/>
      <c r="N54" s="1071">
        <v>36</v>
      </c>
      <c r="O54" s="1072">
        <v>3</v>
      </c>
      <c r="P54" s="1073">
        <f>IF(AND(N54&gt;=INPUTS!$I$6, N54&lt;=(INPUTS!$I$6+INPUTS!$I$5-1), MOD(N54-INPUTS!$I$6,12)=0), INPUTS!$F$20/CEILING(INPUTS!$I$5/12,1), 0)</f>
        <v>0</v>
      </c>
      <c r="Q54" s="1073">
        <f>IF(AND(N54&gt;=INPUTS!$I$6, N54&lt;=(INPUTS!$I$6+INPUTS!$I$5-1)), INPUTS!$F$20/INPUTS!$I$5, 0)</f>
        <v>0</v>
      </c>
      <c r="R54" s="1074">
        <v>0</v>
      </c>
      <c r="S54" s="1073">
        <f>IF(INPUTS!$I$8="Year Start", P54, IF(INPUTS!$I$8="Even Distribution", Q54, R54))</f>
        <v>0</v>
      </c>
      <c r="T54" s="1073" cm="1">
        <f t="array" ref="T54">IF(INPUTS!$C$24&lt;&gt;"Yes", 0, IFERROR(S54 / SUMPRODUCT(($O$19:$O$138=O54)*$S$19:$S$138) * INDEX($U$5:$U$14, O54), 0))</f>
        <v>0</v>
      </c>
      <c r="U54" s="1073">
        <f t="shared" si="6"/>
        <v>0</v>
      </c>
      <c r="V54" s="1073">
        <f t="shared" si="5"/>
        <v>0</v>
      </c>
      <c r="W54" s="1073">
        <f>IF(N54&gt;DEBT!$AH$14, 0, IF(V54=0, 0, IF(N54&lt;=DEBT!$AH$15, V54*DEBT!$AH$12/12, PMT(DEBT!$AH$12/12, DEBT!$AH$13-N54+DEBT!$AH$15+1, -V54))))</f>
        <v>0</v>
      </c>
      <c r="X54" s="1073">
        <f>IF(N54&gt;DEBT!$AH$14, 0, V54*DEBT!$AH$12/12)</f>
        <v>0</v>
      </c>
      <c r="Y54" s="1073">
        <f>IF(N54&gt;INPUTS!$C$26*12, 0, W54-X54)</f>
        <v>0</v>
      </c>
      <c r="Z54" s="1075">
        <f>IF(N54&gt;DEBT!$AH$14, 0, V54-Y54)</f>
        <v>0</v>
      </c>
    </row>
    <row r="55" spans="2:26">
      <c r="B55" s="84"/>
      <c r="C55" s="85"/>
      <c r="D55" s="85"/>
      <c r="E55" s="86"/>
      <c r="F55" s="87"/>
      <c r="G55" s="88">
        <f t="shared" si="7"/>
        <v>0</v>
      </c>
      <c r="H55" s="89"/>
      <c r="N55" s="1066">
        <v>37</v>
      </c>
      <c r="O55" s="1067">
        <v>4</v>
      </c>
      <c r="P55" s="1068">
        <f>IF(AND(N55&gt;=INPUTS!$I$6, N55&lt;=(INPUTS!$I$6+INPUTS!$I$5-1), MOD(N55-INPUTS!$I$6,12)=0), INPUTS!$F$20/CEILING(INPUTS!$I$5/12,1), 0)</f>
        <v>0</v>
      </c>
      <c r="Q55" s="1068">
        <f>IF(AND(N55&gt;=INPUTS!$I$6, N55&lt;=(INPUTS!$I$6+INPUTS!$I$5-1)), INPUTS!$F$20/INPUTS!$I$5, 0)</f>
        <v>0</v>
      </c>
      <c r="R55" s="1069">
        <v>0</v>
      </c>
      <c r="S55" s="1068">
        <f>IF(INPUTS!$I$8="Year Start", P55, IF(INPUTS!$I$8="Even Distribution", Q55, R55))</f>
        <v>0</v>
      </c>
      <c r="T55" s="1068" cm="1">
        <f t="array" ref="T55">IF(INPUTS!$C$24&lt;&gt;"Yes", 0, IFERROR(S55 / SUMPRODUCT(($O$19:$O$138=O55)*$S$19:$S$138) * INDEX($U$5:$U$14, O55), 0))</f>
        <v>0</v>
      </c>
      <c r="U55" s="1068">
        <f t="shared" si="6"/>
        <v>0</v>
      </c>
      <c r="V55" s="1068">
        <f t="shared" si="5"/>
        <v>0</v>
      </c>
      <c r="W55" s="1068">
        <f>IF(N55&gt;DEBT!$AH$14, 0, IF(V55=0, 0, IF(N55&lt;=DEBT!$AH$15, V55*DEBT!$AH$12/12, PMT(DEBT!$AH$12/12, DEBT!$AH$13-N55+DEBT!$AH$15+1, -V55))))</f>
        <v>0</v>
      </c>
      <c r="X55" s="1068">
        <f>IF(N55&gt;DEBT!$AH$14, 0, V55*DEBT!$AH$12/12)</f>
        <v>0</v>
      </c>
      <c r="Y55" s="1068">
        <f>IF(N55&gt;INPUTS!$C$26*12, 0, W55-X55)</f>
        <v>0</v>
      </c>
      <c r="Z55" s="1070">
        <f>IF(N55&gt;DEBT!$AH$14, 0, V55-Y55)</f>
        <v>0</v>
      </c>
    </row>
    <row r="56" spans="2:26">
      <c r="B56" s="90"/>
      <c r="C56" s="91"/>
      <c r="D56" s="91"/>
      <c r="E56" s="92"/>
      <c r="F56" s="98"/>
      <c r="G56" s="94">
        <f t="shared" si="7"/>
        <v>0</v>
      </c>
      <c r="H56" s="99"/>
      <c r="N56" s="1071">
        <v>38</v>
      </c>
      <c r="O56" s="1072">
        <v>4</v>
      </c>
      <c r="P56" s="1073">
        <f>IF(AND(N56&gt;=INPUTS!$I$6, N56&lt;=(INPUTS!$I$6+INPUTS!$I$5-1), MOD(N56-INPUTS!$I$6,12)=0), INPUTS!$F$20/CEILING(INPUTS!$I$5/12,1), 0)</f>
        <v>0</v>
      </c>
      <c r="Q56" s="1073">
        <f>IF(AND(N56&gt;=INPUTS!$I$6, N56&lt;=(INPUTS!$I$6+INPUTS!$I$5-1)), INPUTS!$F$20/INPUTS!$I$5, 0)</f>
        <v>0</v>
      </c>
      <c r="R56" s="1074">
        <v>0</v>
      </c>
      <c r="S56" s="1073">
        <f>IF(INPUTS!$I$8="Year Start", P56, IF(INPUTS!$I$8="Even Distribution", Q56, R56))</f>
        <v>0</v>
      </c>
      <c r="T56" s="1073" cm="1">
        <f t="array" ref="T56">IF(INPUTS!$C$24&lt;&gt;"Yes", 0, IFERROR(S56 / SUMPRODUCT(($O$19:$O$138=O56)*$S$19:$S$138) * INDEX($U$5:$U$14, O56), 0))</f>
        <v>0</v>
      </c>
      <c r="U56" s="1073">
        <f t="shared" si="6"/>
        <v>0</v>
      </c>
      <c r="V56" s="1073">
        <f t="shared" si="5"/>
        <v>0</v>
      </c>
      <c r="W56" s="1073">
        <f>IF(N56&gt;DEBT!$AH$14, 0, IF(V56=0, 0, IF(N56&lt;=DEBT!$AH$15, V56*DEBT!$AH$12/12, PMT(DEBT!$AH$12/12, DEBT!$AH$13-N56+DEBT!$AH$15+1, -V56))))</f>
        <v>0</v>
      </c>
      <c r="X56" s="1073">
        <f>IF(N56&gt;DEBT!$AH$14, 0, V56*DEBT!$AH$12/12)</f>
        <v>0</v>
      </c>
      <c r="Y56" s="1073">
        <f>IF(N56&gt;INPUTS!$C$26*12, 0, W56-X56)</f>
        <v>0</v>
      </c>
      <c r="Z56" s="1075">
        <f>IF(N56&gt;DEBT!$AH$14, 0, V56-Y56)</f>
        <v>0</v>
      </c>
    </row>
    <row r="57" spans="2:26">
      <c r="B57" s="84"/>
      <c r="C57" s="85"/>
      <c r="D57" s="85"/>
      <c r="E57" s="86"/>
      <c r="F57" s="96"/>
      <c r="G57" s="88">
        <f t="shared" si="7"/>
        <v>0</v>
      </c>
      <c r="H57" s="97"/>
      <c r="N57" s="1066">
        <v>39</v>
      </c>
      <c r="O57" s="1067">
        <v>4</v>
      </c>
      <c r="P57" s="1068">
        <f>IF(AND(N57&gt;=INPUTS!$I$6, N57&lt;=(INPUTS!$I$6+INPUTS!$I$5-1), MOD(N57-INPUTS!$I$6,12)=0), INPUTS!$F$20/CEILING(INPUTS!$I$5/12,1), 0)</f>
        <v>0</v>
      </c>
      <c r="Q57" s="1068">
        <f>IF(AND(N57&gt;=INPUTS!$I$6, N57&lt;=(INPUTS!$I$6+INPUTS!$I$5-1)), INPUTS!$F$20/INPUTS!$I$5, 0)</f>
        <v>0</v>
      </c>
      <c r="R57" s="1069">
        <v>0</v>
      </c>
      <c r="S57" s="1068">
        <f>IF(INPUTS!$I$8="Year Start", P57, IF(INPUTS!$I$8="Even Distribution", Q57, R57))</f>
        <v>0</v>
      </c>
      <c r="T57" s="1068" cm="1">
        <f t="array" ref="T57">IF(INPUTS!$C$24&lt;&gt;"Yes", 0, IFERROR(S57 / SUMPRODUCT(($O$19:$O$138=O57)*$S$19:$S$138) * INDEX($U$5:$U$14, O57), 0))</f>
        <v>0</v>
      </c>
      <c r="U57" s="1068">
        <f t="shared" si="6"/>
        <v>0</v>
      </c>
      <c r="V57" s="1068">
        <f t="shared" si="5"/>
        <v>0</v>
      </c>
      <c r="W57" s="1068">
        <f>IF(N57&gt;DEBT!$AH$14, 0, IF(V57=0, 0, IF(N57&lt;=DEBT!$AH$15, V57*DEBT!$AH$12/12, PMT(DEBT!$AH$12/12, DEBT!$AH$13-N57+DEBT!$AH$15+1, -V57))))</f>
        <v>0</v>
      </c>
      <c r="X57" s="1068">
        <f>IF(N57&gt;DEBT!$AH$14, 0, V57*DEBT!$AH$12/12)</f>
        <v>0</v>
      </c>
      <c r="Y57" s="1068">
        <f>IF(N57&gt;INPUTS!$C$26*12, 0, W57-X57)</f>
        <v>0</v>
      </c>
      <c r="Z57" s="1070">
        <f>IF(N57&gt;DEBT!$AH$14, 0, V57-Y57)</f>
        <v>0</v>
      </c>
    </row>
    <row r="58" spans="2:26">
      <c r="B58" s="90"/>
      <c r="C58" s="91"/>
      <c r="D58" s="91"/>
      <c r="E58" s="92"/>
      <c r="F58" s="98"/>
      <c r="G58" s="94">
        <f t="shared" si="7"/>
        <v>0</v>
      </c>
      <c r="H58" s="99"/>
      <c r="N58" s="1071">
        <v>40</v>
      </c>
      <c r="O58" s="1072">
        <v>4</v>
      </c>
      <c r="P58" s="1073">
        <f>IF(AND(N58&gt;=INPUTS!$I$6, N58&lt;=(INPUTS!$I$6+INPUTS!$I$5-1), MOD(N58-INPUTS!$I$6,12)=0), INPUTS!$F$20/CEILING(INPUTS!$I$5/12,1), 0)</f>
        <v>0</v>
      </c>
      <c r="Q58" s="1073">
        <f>IF(AND(N58&gt;=INPUTS!$I$6, N58&lt;=(INPUTS!$I$6+INPUTS!$I$5-1)), INPUTS!$F$20/INPUTS!$I$5, 0)</f>
        <v>0</v>
      </c>
      <c r="R58" s="1074">
        <v>0</v>
      </c>
      <c r="S58" s="1073">
        <f>IF(INPUTS!$I$8="Year Start", P58, IF(INPUTS!$I$8="Even Distribution", Q58, R58))</f>
        <v>0</v>
      </c>
      <c r="T58" s="1073" cm="1">
        <f t="array" ref="T58">IF(INPUTS!$C$24&lt;&gt;"Yes", 0, IFERROR(S58 / SUMPRODUCT(($O$19:$O$138=O58)*$S$19:$S$138) * INDEX($U$5:$U$14, O58), 0))</f>
        <v>0</v>
      </c>
      <c r="U58" s="1073">
        <f t="shared" si="6"/>
        <v>0</v>
      </c>
      <c r="V58" s="1073">
        <f t="shared" si="5"/>
        <v>0</v>
      </c>
      <c r="W58" s="1073">
        <f>IF(N58&gt;DEBT!$AH$14, 0, IF(V58=0, 0, IF(N58&lt;=DEBT!$AH$15, V58*DEBT!$AH$12/12, PMT(DEBT!$AH$12/12, DEBT!$AH$13-N58+DEBT!$AH$15+1, -V58))))</f>
        <v>0</v>
      </c>
      <c r="X58" s="1073">
        <f>IF(N58&gt;DEBT!$AH$14, 0, V58*DEBT!$AH$12/12)</f>
        <v>0</v>
      </c>
      <c r="Y58" s="1073">
        <f>IF(N58&gt;INPUTS!$C$26*12, 0, W58-X58)</f>
        <v>0</v>
      </c>
      <c r="Z58" s="1075">
        <f>IF(N58&gt;DEBT!$AH$14, 0, V58-Y58)</f>
        <v>0</v>
      </c>
    </row>
    <row r="59" spans="2:26">
      <c r="B59" s="84"/>
      <c r="C59" s="85"/>
      <c r="D59" s="85"/>
      <c r="E59" s="86"/>
      <c r="F59" s="87"/>
      <c r="G59" s="88">
        <f t="shared" si="7"/>
        <v>0</v>
      </c>
      <c r="H59" s="89"/>
      <c r="N59" s="1066">
        <v>41</v>
      </c>
      <c r="O59" s="1067">
        <v>4</v>
      </c>
      <c r="P59" s="1068">
        <f>IF(AND(N59&gt;=INPUTS!$I$6, N59&lt;=(INPUTS!$I$6+INPUTS!$I$5-1), MOD(N59-INPUTS!$I$6,12)=0), INPUTS!$F$20/CEILING(INPUTS!$I$5/12,1), 0)</f>
        <v>0</v>
      </c>
      <c r="Q59" s="1068">
        <f>IF(AND(N59&gt;=INPUTS!$I$6, N59&lt;=(INPUTS!$I$6+INPUTS!$I$5-1)), INPUTS!$F$20/INPUTS!$I$5, 0)</f>
        <v>0</v>
      </c>
      <c r="R59" s="1069">
        <v>0</v>
      </c>
      <c r="S59" s="1068">
        <f>IF(INPUTS!$I$8="Year Start", P59, IF(INPUTS!$I$8="Even Distribution", Q59, R59))</f>
        <v>0</v>
      </c>
      <c r="T59" s="1068" cm="1">
        <f t="array" ref="T59">IF(INPUTS!$C$24&lt;&gt;"Yes", 0, IFERROR(S59 / SUMPRODUCT(($O$19:$O$138=O59)*$S$19:$S$138) * INDEX($U$5:$U$14, O59), 0))</f>
        <v>0</v>
      </c>
      <c r="U59" s="1068">
        <f t="shared" si="6"/>
        <v>0</v>
      </c>
      <c r="V59" s="1068">
        <f t="shared" si="5"/>
        <v>0</v>
      </c>
      <c r="W59" s="1068">
        <f>IF(N59&gt;DEBT!$AH$14, 0, IF(V59=0, 0, IF(N59&lt;=DEBT!$AH$15, V59*DEBT!$AH$12/12, PMT(DEBT!$AH$12/12, DEBT!$AH$13-N59+DEBT!$AH$15+1, -V59))))</f>
        <v>0</v>
      </c>
      <c r="X59" s="1068">
        <f>IF(N59&gt;DEBT!$AH$14, 0, V59*DEBT!$AH$12/12)</f>
        <v>0</v>
      </c>
      <c r="Y59" s="1068">
        <f>IF(N59&gt;INPUTS!$C$26*12, 0, W59-X59)</f>
        <v>0</v>
      </c>
      <c r="Z59" s="1070">
        <f>IF(N59&gt;DEBT!$AH$14, 0, V59-Y59)</f>
        <v>0</v>
      </c>
    </row>
    <row r="60" spans="2:26">
      <c r="B60" s="90"/>
      <c r="C60" s="91"/>
      <c r="D60" s="91"/>
      <c r="E60" s="92"/>
      <c r="F60" s="98"/>
      <c r="G60" s="94">
        <f t="shared" si="7"/>
        <v>0</v>
      </c>
      <c r="H60" s="99"/>
      <c r="N60" s="1071">
        <v>42</v>
      </c>
      <c r="O60" s="1072">
        <v>4</v>
      </c>
      <c r="P60" s="1073">
        <f>IF(AND(N60&gt;=INPUTS!$I$6, N60&lt;=(INPUTS!$I$6+INPUTS!$I$5-1), MOD(N60-INPUTS!$I$6,12)=0), INPUTS!$F$20/CEILING(INPUTS!$I$5/12,1), 0)</f>
        <v>0</v>
      </c>
      <c r="Q60" s="1073">
        <f>IF(AND(N60&gt;=INPUTS!$I$6, N60&lt;=(INPUTS!$I$6+INPUTS!$I$5-1)), INPUTS!$F$20/INPUTS!$I$5, 0)</f>
        <v>0</v>
      </c>
      <c r="R60" s="1074">
        <v>0</v>
      </c>
      <c r="S60" s="1073">
        <f>IF(INPUTS!$I$8="Year Start", P60, IF(INPUTS!$I$8="Even Distribution", Q60, R60))</f>
        <v>0</v>
      </c>
      <c r="T60" s="1073" cm="1">
        <f t="array" ref="T60">IF(INPUTS!$C$24&lt;&gt;"Yes", 0, IFERROR(S60 / SUMPRODUCT(($O$19:$O$138=O60)*$S$19:$S$138) * INDEX($U$5:$U$14, O60), 0))</f>
        <v>0</v>
      </c>
      <c r="U60" s="1073">
        <f t="shared" si="6"/>
        <v>0</v>
      </c>
      <c r="V60" s="1073">
        <f t="shared" si="5"/>
        <v>0</v>
      </c>
      <c r="W60" s="1073">
        <f>IF(N60&gt;DEBT!$AH$14, 0, IF(V60=0, 0, IF(N60&lt;=DEBT!$AH$15, V60*DEBT!$AH$12/12, PMT(DEBT!$AH$12/12, DEBT!$AH$13-N60+DEBT!$AH$15+1, -V60))))</f>
        <v>0</v>
      </c>
      <c r="X60" s="1073">
        <f>IF(N60&gt;DEBT!$AH$14, 0, V60*DEBT!$AH$12/12)</f>
        <v>0</v>
      </c>
      <c r="Y60" s="1073">
        <f>IF(N60&gt;INPUTS!$C$26*12, 0, W60-X60)</f>
        <v>0</v>
      </c>
      <c r="Z60" s="1075">
        <f>IF(N60&gt;DEBT!$AH$14, 0, V60-Y60)</f>
        <v>0</v>
      </c>
    </row>
    <row r="61" spans="2:26">
      <c r="B61" s="84"/>
      <c r="C61" s="85"/>
      <c r="D61" s="85"/>
      <c r="E61" s="86"/>
      <c r="F61" s="96"/>
      <c r="G61" s="88">
        <f t="shared" si="7"/>
        <v>0</v>
      </c>
      <c r="H61" s="97"/>
      <c r="N61" s="1066">
        <v>43</v>
      </c>
      <c r="O61" s="1067">
        <v>4</v>
      </c>
      <c r="P61" s="1068">
        <f>IF(AND(N61&gt;=INPUTS!$I$6, N61&lt;=(INPUTS!$I$6+INPUTS!$I$5-1), MOD(N61-INPUTS!$I$6,12)=0), INPUTS!$F$20/CEILING(INPUTS!$I$5/12,1), 0)</f>
        <v>0</v>
      </c>
      <c r="Q61" s="1068">
        <f>IF(AND(N61&gt;=INPUTS!$I$6, N61&lt;=(INPUTS!$I$6+INPUTS!$I$5-1)), INPUTS!$F$20/INPUTS!$I$5, 0)</f>
        <v>0</v>
      </c>
      <c r="R61" s="1069">
        <v>0</v>
      </c>
      <c r="S61" s="1068">
        <f>IF(INPUTS!$I$8="Year Start", P61, IF(INPUTS!$I$8="Even Distribution", Q61, R61))</f>
        <v>0</v>
      </c>
      <c r="T61" s="1068" cm="1">
        <f t="array" ref="T61">IF(INPUTS!$C$24&lt;&gt;"Yes", 0, IFERROR(S61 / SUMPRODUCT(($O$19:$O$138=O61)*$S$19:$S$138) * INDEX($U$5:$U$14, O61), 0))</f>
        <v>0</v>
      </c>
      <c r="U61" s="1068">
        <f t="shared" si="6"/>
        <v>0</v>
      </c>
      <c r="V61" s="1068">
        <f t="shared" si="5"/>
        <v>0</v>
      </c>
      <c r="W61" s="1068">
        <f>IF(N61&gt;DEBT!$AH$14, 0, IF(V61=0, 0, IF(N61&lt;=DEBT!$AH$15, V61*DEBT!$AH$12/12, PMT(DEBT!$AH$12/12, DEBT!$AH$13-N61+DEBT!$AH$15+1, -V61))))</f>
        <v>0</v>
      </c>
      <c r="X61" s="1068">
        <f>IF(N61&gt;DEBT!$AH$14, 0, V61*DEBT!$AH$12/12)</f>
        <v>0</v>
      </c>
      <c r="Y61" s="1068">
        <f>IF(N61&gt;INPUTS!$C$26*12, 0, W61-X61)</f>
        <v>0</v>
      </c>
      <c r="Z61" s="1070">
        <f>IF(N61&gt;DEBT!$AH$14, 0, V61-Y61)</f>
        <v>0</v>
      </c>
    </row>
    <row r="62" spans="2:26">
      <c r="B62" s="90"/>
      <c r="C62" s="91"/>
      <c r="D62" s="91"/>
      <c r="E62" s="92"/>
      <c r="F62" s="98"/>
      <c r="G62" s="94">
        <f t="shared" si="7"/>
        <v>0</v>
      </c>
      <c r="H62" s="99"/>
      <c r="N62" s="1071">
        <v>44</v>
      </c>
      <c r="O62" s="1072">
        <v>4</v>
      </c>
      <c r="P62" s="1073">
        <f>IF(AND(N62&gt;=INPUTS!$I$6, N62&lt;=(INPUTS!$I$6+INPUTS!$I$5-1), MOD(N62-INPUTS!$I$6,12)=0), INPUTS!$F$20/CEILING(INPUTS!$I$5/12,1), 0)</f>
        <v>0</v>
      </c>
      <c r="Q62" s="1073">
        <f>IF(AND(N62&gt;=INPUTS!$I$6, N62&lt;=(INPUTS!$I$6+INPUTS!$I$5-1)), INPUTS!$F$20/INPUTS!$I$5, 0)</f>
        <v>0</v>
      </c>
      <c r="R62" s="1074">
        <v>0</v>
      </c>
      <c r="S62" s="1073">
        <f>IF(INPUTS!$I$8="Year Start", P62, IF(INPUTS!$I$8="Even Distribution", Q62, R62))</f>
        <v>0</v>
      </c>
      <c r="T62" s="1073" cm="1">
        <f t="array" ref="T62">IF(INPUTS!$C$24&lt;&gt;"Yes", 0, IFERROR(S62 / SUMPRODUCT(($O$19:$O$138=O62)*$S$19:$S$138) * INDEX($U$5:$U$14, O62), 0))</f>
        <v>0</v>
      </c>
      <c r="U62" s="1073">
        <f t="shared" si="6"/>
        <v>0</v>
      </c>
      <c r="V62" s="1073">
        <f t="shared" si="5"/>
        <v>0</v>
      </c>
      <c r="W62" s="1073">
        <f>IF(N62&gt;DEBT!$AH$14, 0, IF(V62=0, 0, IF(N62&lt;=DEBT!$AH$15, V62*DEBT!$AH$12/12, PMT(DEBT!$AH$12/12, DEBT!$AH$13-N62+DEBT!$AH$15+1, -V62))))</f>
        <v>0</v>
      </c>
      <c r="X62" s="1073">
        <f>IF(N62&gt;DEBT!$AH$14, 0, V62*DEBT!$AH$12/12)</f>
        <v>0</v>
      </c>
      <c r="Y62" s="1073">
        <f>IF(N62&gt;INPUTS!$C$26*12, 0, W62-X62)</f>
        <v>0</v>
      </c>
      <c r="Z62" s="1075">
        <f>IF(N62&gt;DEBT!$AH$14, 0, V62-Y62)</f>
        <v>0</v>
      </c>
    </row>
    <row r="63" spans="2:26">
      <c r="B63" s="84"/>
      <c r="C63" s="85"/>
      <c r="D63" s="85"/>
      <c r="E63" s="86"/>
      <c r="F63" s="87"/>
      <c r="G63" s="88">
        <f t="shared" si="7"/>
        <v>0</v>
      </c>
      <c r="H63" s="89"/>
      <c r="N63" s="1066">
        <v>45</v>
      </c>
      <c r="O63" s="1067">
        <v>4</v>
      </c>
      <c r="P63" s="1068">
        <f>IF(AND(N63&gt;=INPUTS!$I$6, N63&lt;=(INPUTS!$I$6+INPUTS!$I$5-1), MOD(N63-INPUTS!$I$6,12)=0), INPUTS!$F$20/CEILING(INPUTS!$I$5/12,1), 0)</f>
        <v>0</v>
      </c>
      <c r="Q63" s="1068">
        <f>IF(AND(N63&gt;=INPUTS!$I$6, N63&lt;=(INPUTS!$I$6+INPUTS!$I$5-1)), INPUTS!$F$20/INPUTS!$I$5, 0)</f>
        <v>0</v>
      </c>
      <c r="R63" s="1069">
        <v>0</v>
      </c>
      <c r="S63" s="1068">
        <f>IF(INPUTS!$I$8="Year Start", P63, IF(INPUTS!$I$8="Even Distribution", Q63, R63))</f>
        <v>0</v>
      </c>
      <c r="T63" s="1068" cm="1">
        <f t="array" ref="T63">IF(INPUTS!$C$24&lt;&gt;"Yes", 0, IFERROR(S63 / SUMPRODUCT(($O$19:$O$138=O63)*$S$19:$S$138) * INDEX($U$5:$U$14, O63), 0))</f>
        <v>0</v>
      </c>
      <c r="U63" s="1068">
        <f t="shared" si="6"/>
        <v>0</v>
      </c>
      <c r="V63" s="1068">
        <f t="shared" si="5"/>
        <v>0</v>
      </c>
      <c r="W63" s="1068">
        <f>IF(N63&gt;DEBT!$AH$14, 0, IF(V63=0, 0, IF(N63&lt;=DEBT!$AH$15, V63*DEBT!$AH$12/12, PMT(DEBT!$AH$12/12, DEBT!$AH$13-N63+DEBT!$AH$15+1, -V63))))</f>
        <v>0</v>
      </c>
      <c r="X63" s="1068">
        <f>IF(N63&gt;DEBT!$AH$14, 0, V63*DEBT!$AH$12/12)</f>
        <v>0</v>
      </c>
      <c r="Y63" s="1068">
        <f>IF(N63&gt;INPUTS!$C$26*12, 0, W63-X63)</f>
        <v>0</v>
      </c>
      <c r="Z63" s="1070">
        <f>IF(N63&gt;DEBT!$AH$14, 0, V63-Y63)</f>
        <v>0</v>
      </c>
    </row>
    <row r="64" spans="2:26">
      <c r="B64" s="90"/>
      <c r="C64" s="91"/>
      <c r="D64" s="91"/>
      <c r="E64" s="92"/>
      <c r="F64" s="98"/>
      <c r="G64" s="94">
        <f t="shared" si="7"/>
        <v>0</v>
      </c>
      <c r="H64" s="99"/>
      <c r="N64" s="1071">
        <v>46</v>
      </c>
      <c r="O64" s="1072">
        <v>4</v>
      </c>
      <c r="P64" s="1073">
        <f>IF(AND(N64&gt;=INPUTS!$I$6, N64&lt;=(INPUTS!$I$6+INPUTS!$I$5-1), MOD(N64-INPUTS!$I$6,12)=0), INPUTS!$F$20/CEILING(INPUTS!$I$5/12,1), 0)</f>
        <v>0</v>
      </c>
      <c r="Q64" s="1073">
        <f>IF(AND(N64&gt;=INPUTS!$I$6, N64&lt;=(INPUTS!$I$6+INPUTS!$I$5-1)), INPUTS!$F$20/INPUTS!$I$5, 0)</f>
        <v>0</v>
      </c>
      <c r="R64" s="1074">
        <v>0</v>
      </c>
      <c r="S64" s="1073">
        <f>IF(INPUTS!$I$8="Year Start", P64, IF(INPUTS!$I$8="Even Distribution", Q64, R64))</f>
        <v>0</v>
      </c>
      <c r="T64" s="1073" cm="1">
        <f t="array" ref="T64">IF(INPUTS!$C$24&lt;&gt;"Yes", 0, IFERROR(S64 / SUMPRODUCT(($O$19:$O$138=O64)*$S$19:$S$138) * INDEX($U$5:$U$14, O64), 0))</f>
        <v>0</v>
      </c>
      <c r="U64" s="1073">
        <f t="shared" si="6"/>
        <v>0</v>
      </c>
      <c r="V64" s="1073">
        <f t="shared" si="5"/>
        <v>0</v>
      </c>
      <c r="W64" s="1073">
        <f>IF(N64&gt;DEBT!$AH$14, 0, IF(V64=0, 0, IF(N64&lt;=DEBT!$AH$15, V64*DEBT!$AH$12/12, PMT(DEBT!$AH$12/12, DEBT!$AH$13-N64+DEBT!$AH$15+1, -V64))))</f>
        <v>0</v>
      </c>
      <c r="X64" s="1073">
        <f>IF(N64&gt;DEBT!$AH$14, 0, V64*DEBT!$AH$12/12)</f>
        <v>0</v>
      </c>
      <c r="Y64" s="1073">
        <f>IF(N64&gt;INPUTS!$C$26*12, 0, W64-X64)</f>
        <v>0</v>
      </c>
      <c r="Z64" s="1075">
        <f>IF(N64&gt;DEBT!$AH$14, 0, V64-Y64)</f>
        <v>0</v>
      </c>
    </row>
    <row r="65" spans="2:26" ht="20" thickBot="1">
      <c r="B65" s="103" t="s">
        <v>161</v>
      </c>
      <c r="C65" s="62"/>
      <c r="D65" s="62"/>
      <c r="E65" s="63"/>
      <c r="F65" s="64"/>
      <c r="G65" s="65">
        <f>SUM(G39:G64)</f>
        <v>0</v>
      </c>
      <c r="H65" s="104"/>
      <c r="N65" s="1066">
        <v>47</v>
      </c>
      <c r="O65" s="1067">
        <v>4</v>
      </c>
      <c r="P65" s="1068">
        <f>IF(AND(N65&gt;=INPUTS!$I$6, N65&lt;=(INPUTS!$I$6+INPUTS!$I$5-1), MOD(N65-INPUTS!$I$6,12)=0), INPUTS!$F$20/CEILING(INPUTS!$I$5/12,1), 0)</f>
        <v>0</v>
      </c>
      <c r="Q65" s="1068">
        <f>IF(AND(N65&gt;=INPUTS!$I$6, N65&lt;=(INPUTS!$I$6+INPUTS!$I$5-1)), INPUTS!$F$20/INPUTS!$I$5, 0)</f>
        <v>0</v>
      </c>
      <c r="R65" s="1069">
        <v>0</v>
      </c>
      <c r="S65" s="1068">
        <f>IF(INPUTS!$I$8="Year Start", P65, IF(INPUTS!$I$8="Even Distribution", Q65, R65))</f>
        <v>0</v>
      </c>
      <c r="T65" s="1068" cm="1">
        <f t="array" ref="T65">IF(INPUTS!$C$24&lt;&gt;"Yes", 0, IFERROR(S65 / SUMPRODUCT(($O$19:$O$138=O65)*$S$19:$S$138) * INDEX($U$5:$U$14, O65), 0))</f>
        <v>0</v>
      </c>
      <c r="U65" s="1068">
        <f t="shared" si="6"/>
        <v>0</v>
      </c>
      <c r="V65" s="1068">
        <f t="shared" si="5"/>
        <v>0</v>
      </c>
      <c r="W65" s="1068">
        <f>IF(N65&gt;DEBT!$AH$14, 0, IF(V65=0, 0, IF(N65&lt;=DEBT!$AH$15, V65*DEBT!$AH$12/12, PMT(DEBT!$AH$12/12, DEBT!$AH$13-N65+DEBT!$AH$15+1, -V65))))</f>
        <v>0</v>
      </c>
      <c r="X65" s="1068">
        <f>IF(N65&gt;DEBT!$AH$14, 0, V65*DEBT!$AH$12/12)</f>
        <v>0</v>
      </c>
      <c r="Y65" s="1068">
        <f>IF(N65&gt;INPUTS!$C$26*12, 0, W65-X65)</f>
        <v>0</v>
      </c>
      <c r="Z65" s="1070">
        <f>IF(N65&gt;DEBT!$AH$14, 0, V65-Y65)</f>
        <v>0</v>
      </c>
    </row>
    <row r="66" spans="2:26">
      <c r="B66" s="108" t="s">
        <v>162</v>
      </c>
      <c r="C66" s="91"/>
      <c r="D66" s="91"/>
      <c r="E66" s="92"/>
      <c r="F66" s="109"/>
      <c r="G66" s="110">
        <f>G65+G36</f>
        <v>0</v>
      </c>
      <c r="H66" s="111"/>
      <c r="N66" s="1071">
        <v>48</v>
      </c>
      <c r="O66" s="1072">
        <v>4</v>
      </c>
      <c r="P66" s="1073">
        <f>IF(AND(N66&gt;=INPUTS!$I$6, N66&lt;=(INPUTS!$I$6+INPUTS!$I$5-1), MOD(N66-INPUTS!$I$6,12)=0), INPUTS!$F$20/CEILING(INPUTS!$I$5/12,1), 0)</f>
        <v>0</v>
      </c>
      <c r="Q66" s="1073">
        <f>IF(AND(N66&gt;=INPUTS!$I$6, N66&lt;=(INPUTS!$I$6+INPUTS!$I$5-1)), INPUTS!$F$20/INPUTS!$I$5, 0)</f>
        <v>0</v>
      </c>
      <c r="R66" s="1074">
        <v>0</v>
      </c>
      <c r="S66" s="1073">
        <f>IF(INPUTS!$I$8="Year Start", P66, IF(INPUTS!$I$8="Even Distribution", Q66, R66))</f>
        <v>0</v>
      </c>
      <c r="T66" s="1073" cm="1">
        <f t="array" ref="T66">IF(INPUTS!$C$24&lt;&gt;"Yes", 0, IFERROR(S66 / SUMPRODUCT(($O$19:$O$138=O66)*$S$19:$S$138) * INDEX($U$5:$U$14, O66), 0))</f>
        <v>0</v>
      </c>
      <c r="U66" s="1073">
        <f t="shared" si="6"/>
        <v>0</v>
      </c>
      <c r="V66" s="1073">
        <f t="shared" si="5"/>
        <v>0</v>
      </c>
      <c r="W66" s="1073">
        <f>IF(N66&gt;DEBT!$AH$14, 0, IF(V66=0, 0, IF(N66&lt;=DEBT!$AH$15, V66*DEBT!$AH$12/12, PMT(DEBT!$AH$12/12, DEBT!$AH$13-N66+DEBT!$AH$15+1, -V66))))</f>
        <v>0</v>
      </c>
      <c r="X66" s="1073">
        <f>IF(N66&gt;DEBT!$AH$14, 0, V66*DEBT!$AH$12/12)</f>
        <v>0</v>
      </c>
      <c r="Y66" s="1073">
        <f>IF(N66&gt;INPUTS!$C$26*12, 0, W66-X66)</f>
        <v>0</v>
      </c>
      <c r="Z66" s="1075">
        <f>IF(N66&gt;DEBT!$AH$14, 0, V66-Y66)</f>
        <v>0</v>
      </c>
    </row>
    <row r="67" spans="2:26">
      <c r="B67" s="112" t="s">
        <v>163</v>
      </c>
      <c r="C67" s="113">
        <f>INPUTS!F7</f>
        <v>0</v>
      </c>
      <c r="D67" s="91"/>
      <c r="E67" s="92"/>
      <c r="F67" s="109"/>
      <c r="G67" s="110">
        <f>C67*(G36+G65)</f>
        <v>0</v>
      </c>
      <c r="H67" s="111"/>
      <c r="N67" s="1066">
        <v>49</v>
      </c>
      <c r="O67" s="1067">
        <v>5</v>
      </c>
      <c r="P67" s="1068">
        <f>IF(AND(N67&gt;=INPUTS!$I$6, N67&lt;=(INPUTS!$I$6+INPUTS!$I$5-1), MOD(N67-INPUTS!$I$6,12)=0), INPUTS!$F$20/CEILING(INPUTS!$I$5/12,1), 0)</f>
        <v>0</v>
      </c>
      <c r="Q67" s="1068">
        <f>IF(AND(N67&gt;=INPUTS!$I$6, N67&lt;=(INPUTS!$I$6+INPUTS!$I$5-1)), INPUTS!$F$20/INPUTS!$I$5, 0)</f>
        <v>0</v>
      </c>
      <c r="R67" s="1069">
        <v>0</v>
      </c>
      <c r="S67" s="1068">
        <f>IF(INPUTS!$I$8="Year Start", P67, IF(INPUTS!$I$8="Even Distribution", Q67, R67))</f>
        <v>0</v>
      </c>
      <c r="T67" s="1068" cm="1">
        <f t="array" ref="T67">IF(INPUTS!$C$24&lt;&gt;"Yes", 0, IFERROR(S67 / SUMPRODUCT(($O$19:$O$138=O67)*$S$19:$S$138) * INDEX($U$5:$U$14, O67), 0))</f>
        <v>0</v>
      </c>
      <c r="U67" s="1068">
        <f t="shared" si="6"/>
        <v>0</v>
      </c>
      <c r="V67" s="1068">
        <f t="shared" si="5"/>
        <v>0</v>
      </c>
      <c r="W67" s="1068">
        <f>IF(N67&gt;DEBT!$AH$14, 0, IF(V67=0, 0, IF(N67&lt;=DEBT!$AH$15, V67*DEBT!$AH$12/12, PMT(DEBT!$AH$12/12, DEBT!$AH$13-N67+DEBT!$AH$15+1, -V67))))</f>
        <v>0</v>
      </c>
      <c r="X67" s="1068">
        <f>IF(N67&gt;DEBT!$AH$14, 0, V67*DEBT!$AH$12/12)</f>
        <v>0</v>
      </c>
      <c r="Y67" s="1068">
        <f>IF(N67&gt;INPUTS!$C$26*12, 0, W67-X67)</f>
        <v>0</v>
      </c>
      <c r="Z67" s="1070">
        <f>IF(N67&gt;DEBT!$AH$14, 0, V67-Y67)</f>
        <v>0</v>
      </c>
    </row>
    <row r="68" spans="2:26">
      <c r="B68" s="112" t="s">
        <v>164</v>
      </c>
      <c r="C68" s="598">
        <v>0</v>
      </c>
      <c r="D68" s="91"/>
      <c r="E68" s="92"/>
      <c r="F68" s="105"/>
      <c r="G68" s="110">
        <f>(G36+G65)*C68</f>
        <v>0</v>
      </c>
      <c r="H68" s="106"/>
      <c r="N68" s="1071">
        <v>50</v>
      </c>
      <c r="O68" s="1072">
        <v>5</v>
      </c>
      <c r="P68" s="1073">
        <f>IF(AND(N68&gt;=INPUTS!$I$6, N68&lt;=(INPUTS!$I$6+INPUTS!$I$5-1), MOD(N68-INPUTS!$I$6,12)=0), INPUTS!$F$20/CEILING(INPUTS!$I$5/12,1), 0)</f>
        <v>0</v>
      </c>
      <c r="Q68" s="1073">
        <f>IF(AND(N68&gt;=INPUTS!$I$6, N68&lt;=(INPUTS!$I$6+INPUTS!$I$5-1)), INPUTS!$F$20/INPUTS!$I$5, 0)</f>
        <v>0</v>
      </c>
      <c r="R68" s="1074">
        <v>0</v>
      </c>
      <c r="S68" s="1073">
        <f>IF(INPUTS!$I$8="Year Start", P68, IF(INPUTS!$I$8="Even Distribution", Q68, R68))</f>
        <v>0</v>
      </c>
      <c r="T68" s="1073" cm="1">
        <f t="array" ref="T68">IF(INPUTS!$C$24&lt;&gt;"Yes", 0, IFERROR(S68 / SUMPRODUCT(($O$19:$O$138=O68)*$S$19:$S$138) * INDEX($U$5:$U$14, O68), 0))</f>
        <v>0</v>
      </c>
      <c r="U68" s="1073">
        <f t="shared" si="6"/>
        <v>0</v>
      </c>
      <c r="V68" s="1073">
        <f t="shared" si="5"/>
        <v>0</v>
      </c>
      <c r="W68" s="1073">
        <f>IF(N68&gt;DEBT!$AH$14, 0, IF(V68=0, 0, IF(N68&lt;=DEBT!$AH$15, V68*DEBT!$AH$12/12, PMT(DEBT!$AH$12/12, DEBT!$AH$13-N68+DEBT!$AH$15+1, -V68))))</f>
        <v>0</v>
      </c>
      <c r="X68" s="1073">
        <f>IF(N68&gt;DEBT!$AH$14, 0, V68*DEBT!$AH$12/12)</f>
        <v>0</v>
      </c>
      <c r="Y68" s="1073">
        <f>IF(N68&gt;INPUTS!$C$26*12, 0, W68-X68)</f>
        <v>0</v>
      </c>
      <c r="Z68" s="1075">
        <f>IF(N68&gt;DEBT!$AH$14, 0, V68-Y68)</f>
        <v>0</v>
      </c>
    </row>
    <row r="69" spans="2:26" ht="19">
      <c r="B69" s="114" t="s">
        <v>167</v>
      </c>
      <c r="C69" s="115"/>
      <c r="D69" s="115"/>
      <c r="E69" s="116"/>
      <c r="F69" s="117"/>
      <c r="G69" s="118">
        <f>G66+G67+G68</f>
        <v>0</v>
      </c>
      <c r="H69" s="119"/>
      <c r="N69" s="1066">
        <v>51</v>
      </c>
      <c r="O69" s="1067">
        <v>5</v>
      </c>
      <c r="P69" s="1068">
        <f>IF(AND(N69&gt;=INPUTS!$I$6, N69&lt;=(INPUTS!$I$6+INPUTS!$I$5-1), MOD(N69-INPUTS!$I$6,12)=0), INPUTS!$F$20/CEILING(INPUTS!$I$5/12,1), 0)</f>
        <v>0</v>
      </c>
      <c r="Q69" s="1068">
        <f>IF(AND(N69&gt;=INPUTS!$I$6, N69&lt;=(INPUTS!$I$6+INPUTS!$I$5-1)), INPUTS!$F$20/INPUTS!$I$5, 0)</f>
        <v>0</v>
      </c>
      <c r="R69" s="1069">
        <v>0</v>
      </c>
      <c r="S69" s="1068">
        <f>IF(INPUTS!$I$8="Year Start", P69, IF(INPUTS!$I$8="Even Distribution", Q69, R69))</f>
        <v>0</v>
      </c>
      <c r="T69" s="1068" cm="1">
        <f t="array" ref="T69">IF(INPUTS!$C$24&lt;&gt;"Yes", 0, IFERROR(S69 / SUMPRODUCT(($O$19:$O$138=O69)*$S$19:$S$138) * INDEX($U$5:$U$14, O69), 0))</f>
        <v>0</v>
      </c>
      <c r="U69" s="1068">
        <f t="shared" si="6"/>
        <v>0</v>
      </c>
      <c r="V69" s="1068">
        <f t="shared" si="5"/>
        <v>0</v>
      </c>
      <c r="W69" s="1068">
        <f>IF(N69&gt;DEBT!$AH$14, 0, IF(V69=0, 0, IF(N69&lt;=DEBT!$AH$15, V69*DEBT!$AH$12/12, PMT(DEBT!$AH$12/12, DEBT!$AH$13-N69+DEBT!$AH$15+1, -V69))))</f>
        <v>0</v>
      </c>
      <c r="X69" s="1068">
        <f>IF(N69&gt;DEBT!$AH$14, 0, V69*DEBT!$AH$12/12)</f>
        <v>0</v>
      </c>
      <c r="Y69" s="1068">
        <f>IF(N69&gt;INPUTS!$C$26*12, 0, W69-X69)</f>
        <v>0</v>
      </c>
      <c r="Z69" s="1070">
        <f>IF(N69&gt;DEBT!$AH$14, 0, V69-Y69)</f>
        <v>0</v>
      </c>
    </row>
    <row r="70" spans="2:26">
      <c r="N70" s="1071">
        <v>52</v>
      </c>
      <c r="O70" s="1072">
        <v>5</v>
      </c>
      <c r="P70" s="1073">
        <f>IF(AND(N70&gt;=INPUTS!$I$6, N70&lt;=(INPUTS!$I$6+INPUTS!$I$5-1), MOD(N70-INPUTS!$I$6,12)=0), INPUTS!$F$20/CEILING(INPUTS!$I$5/12,1), 0)</f>
        <v>0</v>
      </c>
      <c r="Q70" s="1073">
        <f>IF(AND(N70&gt;=INPUTS!$I$6, N70&lt;=(INPUTS!$I$6+INPUTS!$I$5-1)), INPUTS!$F$20/INPUTS!$I$5, 0)</f>
        <v>0</v>
      </c>
      <c r="R70" s="1074">
        <v>0</v>
      </c>
      <c r="S70" s="1073">
        <f>IF(INPUTS!$I$8="Year Start", P70, IF(INPUTS!$I$8="Even Distribution", Q70, R70))</f>
        <v>0</v>
      </c>
      <c r="T70" s="1073" cm="1">
        <f t="array" ref="T70">IF(INPUTS!$C$24&lt;&gt;"Yes", 0, IFERROR(S70 / SUMPRODUCT(($O$19:$O$138=O70)*$S$19:$S$138) * INDEX($U$5:$U$14, O70), 0))</f>
        <v>0</v>
      </c>
      <c r="U70" s="1073">
        <f t="shared" si="6"/>
        <v>0</v>
      </c>
      <c r="V70" s="1073">
        <f t="shared" si="5"/>
        <v>0</v>
      </c>
      <c r="W70" s="1073">
        <f>IF(N70&gt;DEBT!$AH$14, 0, IF(V70=0, 0, IF(N70&lt;=DEBT!$AH$15, V70*DEBT!$AH$12/12, PMT(DEBT!$AH$12/12, DEBT!$AH$13-N70+DEBT!$AH$15+1, -V70))))</f>
        <v>0</v>
      </c>
      <c r="X70" s="1073">
        <f>IF(N70&gt;DEBT!$AH$14, 0, V70*DEBT!$AH$12/12)</f>
        <v>0</v>
      </c>
      <c r="Y70" s="1073">
        <f>IF(N70&gt;INPUTS!$C$26*12, 0, W70-X70)</f>
        <v>0</v>
      </c>
      <c r="Z70" s="1075">
        <f>IF(N70&gt;DEBT!$AH$14, 0, V70-Y70)</f>
        <v>0</v>
      </c>
    </row>
    <row r="71" spans="2:26">
      <c r="N71" s="1066">
        <v>53</v>
      </c>
      <c r="O71" s="1067">
        <v>5</v>
      </c>
      <c r="P71" s="1068">
        <f>IF(AND(N71&gt;=INPUTS!$I$6, N71&lt;=(INPUTS!$I$6+INPUTS!$I$5-1), MOD(N71-INPUTS!$I$6,12)=0), INPUTS!$F$20/CEILING(INPUTS!$I$5/12,1), 0)</f>
        <v>0</v>
      </c>
      <c r="Q71" s="1068">
        <f>IF(AND(N71&gt;=INPUTS!$I$6, N71&lt;=(INPUTS!$I$6+INPUTS!$I$5-1)), INPUTS!$F$20/INPUTS!$I$5, 0)</f>
        <v>0</v>
      </c>
      <c r="R71" s="1069">
        <v>0</v>
      </c>
      <c r="S71" s="1068">
        <f>IF(INPUTS!$I$8="Year Start", P71, IF(INPUTS!$I$8="Even Distribution", Q71, R71))</f>
        <v>0</v>
      </c>
      <c r="T71" s="1068" cm="1">
        <f t="array" ref="T71">IF(INPUTS!$C$24&lt;&gt;"Yes", 0, IFERROR(S71 / SUMPRODUCT(($O$19:$O$138=O71)*$S$19:$S$138) * INDEX($U$5:$U$14, O71), 0))</f>
        <v>0</v>
      </c>
      <c r="U71" s="1068">
        <f t="shared" si="6"/>
        <v>0</v>
      </c>
      <c r="V71" s="1068">
        <f t="shared" si="5"/>
        <v>0</v>
      </c>
      <c r="W71" s="1068">
        <f>IF(N71&gt;DEBT!$AH$14, 0, IF(V71=0, 0, IF(N71&lt;=DEBT!$AH$15, V71*DEBT!$AH$12/12, PMT(DEBT!$AH$12/12, DEBT!$AH$13-N71+DEBT!$AH$15+1, -V71))))</f>
        <v>0</v>
      </c>
      <c r="X71" s="1068">
        <f>IF(N71&gt;DEBT!$AH$14, 0, V71*DEBT!$AH$12/12)</f>
        <v>0</v>
      </c>
      <c r="Y71" s="1068">
        <f>IF(N71&gt;INPUTS!$C$26*12, 0, W71-X71)</f>
        <v>0</v>
      </c>
      <c r="Z71" s="1070">
        <f>IF(N71&gt;DEBT!$AH$14, 0, V71-Y71)</f>
        <v>0</v>
      </c>
    </row>
    <row r="72" spans="2:26">
      <c r="N72" s="1071">
        <v>54</v>
      </c>
      <c r="O72" s="1072">
        <v>5</v>
      </c>
      <c r="P72" s="1073">
        <f>IF(AND(N72&gt;=INPUTS!$I$6, N72&lt;=(INPUTS!$I$6+INPUTS!$I$5-1), MOD(N72-INPUTS!$I$6,12)=0), INPUTS!$F$20/CEILING(INPUTS!$I$5/12,1), 0)</f>
        <v>0</v>
      </c>
      <c r="Q72" s="1073">
        <f>IF(AND(N72&gt;=INPUTS!$I$6, N72&lt;=(INPUTS!$I$6+INPUTS!$I$5-1)), INPUTS!$F$20/INPUTS!$I$5, 0)</f>
        <v>0</v>
      </c>
      <c r="R72" s="1074">
        <v>0</v>
      </c>
      <c r="S72" s="1073">
        <f>IF(INPUTS!$I$8="Year Start", P72, IF(INPUTS!$I$8="Even Distribution", Q72, R72))</f>
        <v>0</v>
      </c>
      <c r="T72" s="1073" cm="1">
        <f t="array" ref="T72">IF(INPUTS!$C$24&lt;&gt;"Yes", 0, IFERROR(S72 / SUMPRODUCT(($O$19:$O$138=O72)*$S$19:$S$138) * INDEX($U$5:$U$14, O72), 0))</f>
        <v>0</v>
      </c>
      <c r="U72" s="1073">
        <f t="shared" si="6"/>
        <v>0</v>
      </c>
      <c r="V72" s="1073">
        <f t="shared" si="5"/>
        <v>0</v>
      </c>
      <c r="W72" s="1073">
        <f>IF(N72&gt;DEBT!$AH$14, 0, IF(V72=0, 0, IF(N72&lt;=DEBT!$AH$15, V72*DEBT!$AH$12/12, PMT(DEBT!$AH$12/12, DEBT!$AH$13-N72+DEBT!$AH$15+1, -V72))))</f>
        <v>0</v>
      </c>
      <c r="X72" s="1073">
        <f>IF(N72&gt;DEBT!$AH$14, 0, V72*DEBT!$AH$12/12)</f>
        <v>0</v>
      </c>
      <c r="Y72" s="1073">
        <f>IF(N72&gt;INPUTS!$C$26*12, 0, W72-X72)</f>
        <v>0</v>
      </c>
      <c r="Z72" s="1075">
        <f>IF(N72&gt;DEBT!$AH$14, 0, V72-Y72)</f>
        <v>0</v>
      </c>
    </row>
    <row r="73" spans="2:26">
      <c r="N73" s="1066">
        <v>55</v>
      </c>
      <c r="O73" s="1067">
        <v>5</v>
      </c>
      <c r="P73" s="1068">
        <f>IF(AND(N73&gt;=INPUTS!$I$6, N73&lt;=(INPUTS!$I$6+INPUTS!$I$5-1), MOD(N73-INPUTS!$I$6,12)=0), INPUTS!$F$20/CEILING(INPUTS!$I$5/12,1), 0)</f>
        <v>0</v>
      </c>
      <c r="Q73" s="1068">
        <f>IF(AND(N73&gt;=INPUTS!$I$6, N73&lt;=(INPUTS!$I$6+INPUTS!$I$5-1)), INPUTS!$F$20/INPUTS!$I$5, 0)</f>
        <v>0</v>
      </c>
      <c r="R73" s="1069">
        <v>0</v>
      </c>
      <c r="S73" s="1068">
        <f>IF(INPUTS!$I$8="Year Start", P73, IF(INPUTS!$I$8="Even Distribution", Q73, R73))</f>
        <v>0</v>
      </c>
      <c r="T73" s="1068" cm="1">
        <f t="array" ref="T73">IF(INPUTS!$C$24&lt;&gt;"Yes", 0, IFERROR(S73 / SUMPRODUCT(($O$19:$O$138=O73)*$S$19:$S$138) * INDEX($U$5:$U$14, O73), 0))</f>
        <v>0</v>
      </c>
      <c r="U73" s="1068">
        <f t="shared" si="6"/>
        <v>0</v>
      </c>
      <c r="V73" s="1068">
        <f t="shared" si="5"/>
        <v>0</v>
      </c>
      <c r="W73" s="1068">
        <f>IF(N73&gt;DEBT!$AH$14, 0, IF(V73=0, 0, IF(N73&lt;=DEBT!$AH$15, V73*DEBT!$AH$12/12, PMT(DEBT!$AH$12/12, DEBT!$AH$13-N73+DEBT!$AH$15+1, -V73))))</f>
        <v>0</v>
      </c>
      <c r="X73" s="1068">
        <f>IF(N73&gt;DEBT!$AH$14, 0, V73*DEBT!$AH$12/12)</f>
        <v>0</v>
      </c>
      <c r="Y73" s="1068">
        <f>IF(N73&gt;INPUTS!$C$26*12, 0, W73-X73)</f>
        <v>0</v>
      </c>
      <c r="Z73" s="1070">
        <f>IF(N73&gt;DEBT!$AH$14, 0, V73-Y73)</f>
        <v>0</v>
      </c>
    </row>
    <row r="74" spans="2:26">
      <c r="N74" s="1071">
        <v>56</v>
      </c>
      <c r="O74" s="1072">
        <v>5</v>
      </c>
      <c r="P74" s="1073">
        <f>IF(AND(N74&gt;=INPUTS!$I$6, N74&lt;=(INPUTS!$I$6+INPUTS!$I$5-1), MOD(N74-INPUTS!$I$6,12)=0), INPUTS!$F$20/CEILING(INPUTS!$I$5/12,1), 0)</f>
        <v>0</v>
      </c>
      <c r="Q74" s="1073">
        <f>IF(AND(N74&gt;=INPUTS!$I$6, N74&lt;=(INPUTS!$I$6+INPUTS!$I$5-1)), INPUTS!$F$20/INPUTS!$I$5, 0)</f>
        <v>0</v>
      </c>
      <c r="R74" s="1074">
        <v>0</v>
      </c>
      <c r="S74" s="1073">
        <f>IF(INPUTS!$I$8="Year Start", P74, IF(INPUTS!$I$8="Even Distribution", Q74, R74))</f>
        <v>0</v>
      </c>
      <c r="T74" s="1073" cm="1">
        <f t="array" ref="T74">IF(INPUTS!$C$24&lt;&gt;"Yes", 0, IFERROR(S74 / SUMPRODUCT(($O$19:$O$138=O74)*$S$19:$S$138) * INDEX($U$5:$U$14, O74), 0))</f>
        <v>0</v>
      </c>
      <c r="U74" s="1073">
        <f t="shared" si="6"/>
        <v>0</v>
      </c>
      <c r="V74" s="1073">
        <f t="shared" si="5"/>
        <v>0</v>
      </c>
      <c r="W74" s="1073">
        <f>IF(N74&gt;DEBT!$AH$14, 0, IF(V74=0, 0, IF(N74&lt;=DEBT!$AH$15, V74*DEBT!$AH$12/12, PMT(DEBT!$AH$12/12, DEBT!$AH$13-N74+DEBT!$AH$15+1, -V74))))</f>
        <v>0</v>
      </c>
      <c r="X74" s="1073">
        <f>IF(N74&gt;DEBT!$AH$14, 0, V74*DEBT!$AH$12/12)</f>
        <v>0</v>
      </c>
      <c r="Y74" s="1073">
        <f>IF(N74&gt;INPUTS!$C$26*12, 0, W74-X74)</f>
        <v>0</v>
      </c>
      <c r="Z74" s="1075">
        <f>IF(N74&gt;DEBT!$AH$14, 0, V74-Y74)</f>
        <v>0</v>
      </c>
    </row>
    <row r="75" spans="2:26">
      <c r="N75" s="1066">
        <v>57</v>
      </c>
      <c r="O75" s="1067">
        <v>5</v>
      </c>
      <c r="P75" s="1068">
        <f>IF(AND(N75&gt;=INPUTS!$I$6, N75&lt;=(INPUTS!$I$6+INPUTS!$I$5-1), MOD(N75-INPUTS!$I$6,12)=0), INPUTS!$F$20/CEILING(INPUTS!$I$5/12,1), 0)</f>
        <v>0</v>
      </c>
      <c r="Q75" s="1068">
        <f>IF(AND(N75&gt;=INPUTS!$I$6, N75&lt;=(INPUTS!$I$6+INPUTS!$I$5-1)), INPUTS!$F$20/INPUTS!$I$5, 0)</f>
        <v>0</v>
      </c>
      <c r="R75" s="1069">
        <v>0</v>
      </c>
      <c r="S75" s="1068">
        <f>IF(INPUTS!$I$8="Year Start", P75, IF(INPUTS!$I$8="Even Distribution", Q75, R75))</f>
        <v>0</v>
      </c>
      <c r="T75" s="1068" cm="1">
        <f t="array" ref="T75">IF(INPUTS!$C$24&lt;&gt;"Yes", 0, IFERROR(S75 / SUMPRODUCT(($O$19:$O$138=O75)*$S$19:$S$138) * INDEX($U$5:$U$14, O75), 0))</f>
        <v>0</v>
      </c>
      <c r="U75" s="1068">
        <f t="shared" si="6"/>
        <v>0</v>
      </c>
      <c r="V75" s="1068">
        <f t="shared" si="5"/>
        <v>0</v>
      </c>
      <c r="W75" s="1068">
        <f>IF(N75&gt;DEBT!$AH$14, 0, IF(V75=0, 0, IF(N75&lt;=DEBT!$AH$15, V75*DEBT!$AH$12/12, PMT(DEBT!$AH$12/12, DEBT!$AH$13-N75+DEBT!$AH$15+1, -V75))))</f>
        <v>0</v>
      </c>
      <c r="X75" s="1068">
        <f>IF(N75&gt;DEBT!$AH$14, 0, V75*DEBT!$AH$12/12)</f>
        <v>0</v>
      </c>
      <c r="Y75" s="1068">
        <f>IF(N75&gt;INPUTS!$C$26*12, 0, W75-X75)</f>
        <v>0</v>
      </c>
      <c r="Z75" s="1070">
        <f>IF(N75&gt;DEBT!$AH$14, 0, V75-Y75)</f>
        <v>0</v>
      </c>
    </row>
    <row r="76" spans="2:26">
      <c r="N76" s="1071">
        <v>58</v>
      </c>
      <c r="O76" s="1072">
        <v>5</v>
      </c>
      <c r="P76" s="1073">
        <f>IF(AND(N76&gt;=INPUTS!$I$6, N76&lt;=(INPUTS!$I$6+INPUTS!$I$5-1), MOD(N76-INPUTS!$I$6,12)=0), INPUTS!$F$20/CEILING(INPUTS!$I$5/12,1), 0)</f>
        <v>0</v>
      </c>
      <c r="Q76" s="1073">
        <f>IF(AND(N76&gt;=INPUTS!$I$6, N76&lt;=(INPUTS!$I$6+INPUTS!$I$5-1)), INPUTS!$F$20/INPUTS!$I$5, 0)</f>
        <v>0</v>
      </c>
      <c r="R76" s="1074">
        <v>0</v>
      </c>
      <c r="S76" s="1073">
        <f>IF(INPUTS!$I$8="Year Start", P76, IF(INPUTS!$I$8="Even Distribution", Q76, R76))</f>
        <v>0</v>
      </c>
      <c r="T76" s="1073" cm="1">
        <f t="array" ref="T76">IF(INPUTS!$C$24&lt;&gt;"Yes", 0, IFERROR(S76 / SUMPRODUCT(($O$19:$O$138=O76)*$S$19:$S$138) * INDEX($U$5:$U$14, O76), 0))</f>
        <v>0</v>
      </c>
      <c r="U76" s="1073">
        <f t="shared" si="6"/>
        <v>0</v>
      </c>
      <c r="V76" s="1073">
        <f t="shared" si="5"/>
        <v>0</v>
      </c>
      <c r="W76" s="1073">
        <f>IF(N76&gt;DEBT!$AH$14, 0, IF(V76=0, 0, IF(N76&lt;=DEBT!$AH$15, V76*DEBT!$AH$12/12, PMT(DEBT!$AH$12/12, DEBT!$AH$13-N76+DEBT!$AH$15+1, -V76))))</f>
        <v>0</v>
      </c>
      <c r="X76" s="1073">
        <f>IF(N76&gt;DEBT!$AH$14, 0, V76*DEBT!$AH$12/12)</f>
        <v>0</v>
      </c>
      <c r="Y76" s="1073">
        <f>IF(N76&gt;INPUTS!$C$26*12, 0, W76-X76)</f>
        <v>0</v>
      </c>
      <c r="Z76" s="1075">
        <f>IF(N76&gt;DEBT!$AH$14, 0, V76-Y76)</f>
        <v>0</v>
      </c>
    </row>
    <row r="77" spans="2:26">
      <c r="N77" s="1066">
        <v>59</v>
      </c>
      <c r="O77" s="1067">
        <v>5</v>
      </c>
      <c r="P77" s="1068">
        <f>IF(AND(N77&gt;=INPUTS!$I$6, N77&lt;=(INPUTS!$I$6+INPUTS!$I$5-1), MOD(N77-INPUTS!$I$6,12)=0), INPUTS!$F$20/CEILING(INPUTS!$I$5/12,1), 0)</f>
        <v>0</v>
      </c>
      <c r="Q77" s="1068">
        <f>IF(AND(N77&gt;=INPUTS!$I$6, N77&lt;=(INPUTS!$I$6+INPUTS!$I$5-1)), INPUTS!$F$20/INPUTS!$I$5, 0)</f>
        <v>0</v>
      </c>
      <c r="R77" s="1069">
        <v>0</v>
      </c>
      <c r="S77" s="1068">
        <f>IF(INPUTS!$I$8="Year Start", P77, IF(INPUTS!$I$8="Even Distribution", Q77, R77))</f>
        <v>0</v>
      </c>
      <c r="T77" s="1068" cm="1">
        <f t="array" ref="T77">IF(INPUTS!$C$24&lt;&gt;"Yes", 0, IFERROR(S77 / SUMPRODUCT(($O$19:$O$138=O77)*$S$19:$S$138) * INDEX($U$5:$U$14, O77), 0))</f>
        <v>0</v>
      </c>
      <c r="U77" s="1068">
        <f t="shared" si="6"/>
        <v>0</v>
      </c>
      <c r="V77" s="1068">
        <f t="shared" si="5"/>
        <v>0</v>
      </c>
      <c r="W77" s="1068">
        <f>IF(N77&gt;DEBT!$AH$14, 0, IF(V77=0, 0, IF(N77&lt;=DEBT!$AH$15, V77*DEBT!$AH$12/12, PMT(DEBT!$AH$12/12, DEBT!$AH$13-N77+DEBT!$AH$15+1, -V77))))</f>
        <v>0</v>
      </c>
      <c r="X77" s="1068">
        <f>IF(N77&gt;DEBT!$AH$14, 0, V77*DEBT!$AH$12/12)</f>
        <v>0</v>
      </c>
      <c r="Y77" s="1068">
        <f>IF(N77&gt;INPUTS!$C$26*12, 0, W77-X77)</f>
        <v>0</v>
      </c>
      <c r="Z77" s="1070">
        <f>IF(N77&gt;DEBT!$AH$14, 0, V77-Y77)</f>
        <v>0</v>
      </c>
    </row>
    <row r="78" spans="2:26">
      <c r="N78" s="1071">
        <v>60</v>
      </c>
      <c r="O78" s="1072">
        <v>5</v>
      </c>
      <c r="P78" s="1073">
        <f>IF(AND(N78&gt;=INPUTS!$I$6, N78&lt;=(INPUTS!$I$6+INPUTS!$I$5-1), MOD(N78-INPUTS!$I$6,12)=0), INPUTS!$F$20/CEILING(INPUTS!$I$5/12,1), 0)</f>
        <v>0</v>
      </c>
      <c r="Q78" s="1073">
        <f>IF(AND(N78&gt;=INPUTS!$I$6, N78&lt;=(INPUTS!$I$6+INPUTS!$I$5-1)), INPUTS!$F$20/INPUTS!$I$5, 0)</f>
        <v>0</v>
      </c>
      <c r="R78" s="1074">
        <v>0</v>
      </c>
      <c r="S78" s="1073">
        <f>IF(INPUTS!$I$8="Year Start", P78, IF(INPUTS!$I$8="Even Distribution", Q78, R78))</f>
        <v>0</v>
      </c>
      <c r="T78" s="1073" cm="1">
        <f t="array" ref="T78">IF(INPUTS!$C$24&lt;&gt;"Yes", 0, IFERROR(S78 / SUMPRODUCT(($O$19:$O$138=O78)*$S$19:$S$138) * INDEX($U$5:$U$14, O78), 0))</f>
        <v>0</v>
      </c>
      <c r="U78" s="1073">
        <f t="shared" si="6"/>
        <v>0</v>
      </c>
      <c r="V78" s="1073">
        <f t="shared" si="5"/>
        <v>0</v>
      </c>
      <c r="W78" s="1073">
        <f>IF(N78&gt;DEBT!$AH$14, 0, IF(V78=0, 0, IF(N78&lt;=DEBT!$AH$15, V78*DEBT!$AH$12/12, PMT(DEBT!$AH$12/12, DEBT!$AH$13-N78+DEBT!$AH$15+1, -V78))))</f>
        <v>0</v>
      </c>
      <c r="X78" s="1073">
        <f>IF(N78&gt;DEBT!$AH$14, 0, V78*DEBT!$AH$12/12)</f>
        <v>0</v>
      </c>
      <c r="Y78" s="1073">
        <f>IF(N78&gt;INPUTS!$C$26*12, 0, W78-X78)</f>
        <v>0</v>
      </c>
      <c r="Z78" s="1075">
        <f>IF(N78&gt;DEBT!$AH$14, 0, V78-Y78)</f>
        <v>0</v>
      </c>
    </row>
    <row r="79" spans="2:26">
      <c r="N79" s="1066">
        <v>61</v>
      </c>
      <c r="O79" s="1067">
        <v>6</v>
      </c>
      <c r="P79" s="1068">
        <f>IF(AND(N79&gt;=INPUTS!$I$6, N79&lt;=(INPUTS!$I$6+INPUTS!$I$5-1), MOD(N79-INPUTS!$I$6,12)=0), INPUTS!$F$20/CEILING(INPUTS!$I$5/12,1), 0)</f>
        <v>0</v>
      </c>
      <c r="Q79" s="1068">
        <f>IF(AND(N79&gt;=INPUTS!$I$6, N79&lt;=(INPUTS!$I$6+INPUTS!$I$5-1)), INPUTS!$F$20/INPUTS!$I$5, 0)</f>
        <v>0</v>
      </c>
      <c r="R79" s="1069">
        <v>0</v>
      </c>
      <c r="S79" s="1068">
        <f>IF(INPUTS!$I$8="Year Start", P79, IF(INPUTS!$I$8="Even Distribution", Q79, R79))</f>
        <v>0</v>
      </c>
      <c r="T79" s="1068" cm="1">
        <f t="array" ref="T79">IF(INPUTS!$C$24&lt;&gt;"Yes", 0, IFERROR(S79 / SUMPRODUCT(($O$19:$O$138=O79)*$S$19:$S$138) * INDEX($U$5:$U$14, O79), 0))</f>
        <v>0</v>
      </c>
      <c r="U79" s="1068">
        <f t="shared" si="6"/>
        <v>0</v>
      </c>
      <c r="V79" s="1068">
        <f t="shared" si="5"/>
        <v>0</v>
      </c>
      <c r="W79" s="1068">
        <f>IF(N79&gt;DEBT!$AH$14, 0, IF(V79=0, 0, IF(N79&lt;=DEBT!$AH$15, V79*DEBT!$AH$12/12, PMT(DEBT!$AH$12/12, DEBT!$AH$13-N79+DEBT!$AH$15+1, -V79))))</f>
        <v>0</v>
      </c>
      <c r="X79" s="1068">
        <f>IF(N79&gt;DEBT!$AH$14, 0, V79*DEBT!$AH$12/12)</f>
        <v>0</v>
      </c>
      <c r="Y79" s="1068">
        <f>IF(N79&gt;INPUTS!$C$26*12, 0, W79-X79)</f>
        <v>0</v>
      </c>
      <c r="Z79" s="1070">
        <f>IF(N79&gt;DEBT!$AH$14, 0, V79-Y79)</f>
        <v>0</v>
      </c>
    </row>
    <row r="80" spans="2:26">
      <c r="N80" s="1071">
        <v>62</v>
      </c>
      <c r="O80" s="1072">
        <v>6</v>
      </c>
      <c r="P80" s="1073">
        <f>IF(AND(N80&gt;=INPUTS!$I$6, N80&lt;=(INPUTS!$I$6+INPUTS!$I$5-1), MOD(N80-INPUTS!$I$6,12)=0), INPUTS!$F$20/CEILING(INPUTS!$I$5/12,1), 0)</f>
        <v>0</v>
      </c>
      <c r="Q80" s="1073">
        <f>IF(AND(N80&gt;=INPUTS!$I$6, N80&lt;=(INPUTS!$I$6+INPUTS!$I$5-1)), INPUTS!$F$20/INPUTS!$I$5, 0)</f>
        <v>0</v>
      </c>
      <c r="R80" s="1074">
        <v>0</v>
      </c>
      <c r="S80" s="1073">
        <f>IF(INPUTS!$I$8="Year Start", P80, IF(INPUTS!$I$8="Even Distribution", Q80, R80))</f>
        <v>0</v>
      </c>
      <c r="T80" s="1073" cm="1">
        <f t="array" ref="T80">IF(INPUTS!$C$24&lt;&gt;"Yes", 0, IFERROR(S80 / SUMPRODUCT(($O$19:$O$138=O80)*$S$19:$S$138) * INDEX($U$5:$U$14, O80), 0))</f>
        <v>0</v>
      </c>
      <c r="U80" s="1073">
        <f t="shared" si="6"/>
        <v>0</v>
      </c>
      <c r="V80" s="1073">
        <f t="shared" si="5"/>
        <v>0</v>
      </c>
      <c r="W80" s="1073">
        <f>IF(N80&gt;DEBT!$AH$14, 0, IF(V80=0, 0, IF(N80&lt;=DEBT!$AH$15, V80*DEBT!$AH$12/12, PMT(DEBT!$AH$12/12, DEBT!$AH$13-N80+DEBT!$AH$15+1, -V80))))</f>
        <v>0</v>
      </c>
      <c r="X80" s="1073">
        <f>IF(N80&gt;DEBT!$AH$14, 0, V80*DEBT!$AH$12/12)</f>
        <v>0</v>
      </c>
      <c r="Y80" s="1073">
        <f>IF(N80&gt;INPUTS!$C$26*12, 0, W80-X80)</f>
        <v>0</v>
      </c>
      <c r="Z80" s="1075">
        <f>IF(N80&gt;DEBT!$AH$14, 0, V80-Y80)</f>
        <v>0</v>
      </c>
    </row>
    <row r="81" spans="14:26">
      <c r="N81" s="1066">
        <v>63</v>
      </c>
      <c r="O81" s="1067">
        <v>6</v>
      </c>
      <c r="P81" s="1068">
        <f>IF(AND(N81&gt;=INPUTS!$I$6, N81&lt;=(INPUTS!$I$6+INPUTS!$I$5-1), MOD(N81-INPUTS!$I$6,12)=0), INPUTS!$F$20/CEILING(INPUTS!$I$5/12,1), 0)</f>
        <v>0</v>
      </c>
      <c r="Q81" s="1068">
        <f>IF(AND(N81&gt;=INPUTS!$I$6, N81&lt;=(INPUTS!$I$6+INPUTS!$I$5-1)), INPUTS!$F$20/INPUTS!$I$5, 0)</f>
        <v>0</v>
      </c>
      <c r="R81" s="1069">
        <v>0</v>
      </c>
      <c r="S81" s="1068">
        <f>IF(INPUTS!$I$8="Year Start", P81, IF(INPUTS!$I$8="Even Distribution", Q81, R81))</f>
        <v>0</v>
      </c>
      <c r="T81" s="1068" cm="1">
        <f t="array" ref="T81">IF(INPUTS!$C$24&lt;&gt;"Yes", 0, IFERROR(S81 / SUMPRODUCT(($O$19:$O$138=O81)*$S$19:$S$138) * INDEX($U$5:$U$14, O81), 0))</f>
        <v>0</v>
      </c>
      <c r="U81" s="1068">
        <f t="shared" si="6"/>
        <v>0</v>
      </c>
      <c r="V81" s="1068">
        <f t="shared" si="5"/>
        <v>0</v>
      </c>
      <c r="W81" s="1068">
        <f>IF(N81&gt;DEBT!$AH$14, 0, IF(V81=0, 0, IF(N81&lt;=DEBT!$AH$15, V81*DEBT!$AH$12/12, PMT(DEBT!$AH$12/12, DEBT!$AH$13-N81+DEBT!$AH$15+1, -V81))))</f>
        <v>0</v>
      </c>
      <c r="X81" s="1068">
        <f>IF(N81&gt;DEBT!$AH$14, 0, V81*DEBT!$AH$12/12)</f>
        <v>0</v>
      </c>
      <c r="Y81" s="1068">
        <f>IF(N81&gt;INPUTS!$C$26*12, 0, W81-X81)</f>
        <v>0</v>
      </c>
      <c r="Z81" s="1070">
        <f>IF(N81&gt;DEBT!$AH$14, 0, V81-Y81)</f>
        <v>0</v>
      </c>
    </row>
    <row r="82" spans="14:26">
      <c r="N82" s="1071">
        <v>64</v>
      </c>
      <c r="O82" s="1072">
        <v>6</v>
      </c>
      <c r="P82" s="1073">
        <f>IF(AND(N82&gt;=INPUTS!$I$6, N82&lt;=(INPUTS!$I$6+INPUTS!$I$5-1), MOD(N82-INPUTS!$I$6,12)=0), INPUTS!$F$20/CEILING(INPUTS!$I$5/12,1), 0)</f>
        <v>0</v>
      </c>
      <c r="Q82" s="1073">
        <f>IF(AND(N82&gt;=INPUTS!$I$6, N82&lt;=(INPUTS!$I$6+INPUTS!$I$5-1)), INPUTS!$F$20/INPUTS!$I$5, 0)</f>
        <v>0</v>
      </c>
      <c r="R82" s="1074">
        <v>0</v>
      </c>
      <c r="S82" s="1073">
        <f>IF(INPUTS!$I$8="Year Start", P82, IF(INPUTS!$I$8="Even Distribution", Q82, R82))</f>
        <v>0</v>
      </c>
      <c r="T82" s="1073" cm="1">
        <f t="array" ref="T82">IF(INPUTS!$C$24&lt;&gt;"Yes", 0, IFERROR(S82 / SUMPRODUCT(($O$19:$O$138=O82)*$S$19:$S$138) * INDEX($U$5:$U$14, O82), 0))</f>
        <v>0</v>
      </c>
      <c r="U82" s="1073">
        <f t="shared" si="6"/>
        <v>0</v>
      </c>
      <c r="V82" s="1073">
        <f t="shared" si="5"/>
        <v>0</v>
      </c>
      <c r="W82" s="1073">
        <f>IF(N82&gt;DEBT!$AH$14, 0, IF(V82=0, 0, IF(N82&lt;=DEBT!$AH$15, V82*DEBT!$AH$12/12, PMT(DEBT!$AH$12/12, DEBT!$AH$13-N82+DEBT!$AH$15+1, -V82))))</f>
        <v>0</v>
      </c>
      <c r="X82" s="1073">
        <f>IF(N82&gt;DEBT!$AH$14, 0, V82*DEBT!$AH$12/12)</f>
        <v>0</v>
      </c>
      <c r="Y82" s="1073">
        <f>IF(N82&gt;INPUTS!$C$26*12, 0, W82-X82)</f>
        <v>0</v>
      </c>
      <c r="Z82" s="1075">
        <f>IF(N82&gt;DEBT!$AH$14, 0, V82-Y82)</f>
        <v>0</v>
      </c>
    </row>
    <row r="83" spans="14:26">
      <c r="N83" s="1066">
        <v>65</v>
      </c>
      <c r="O83" s="1067">
        <v>6</v>
      </c>
      <c r="P83" s="1068">
        <f>IF(AND(N83&gt;=INPUTS!$I$6, N83&lt;=(INPUTS!$I$6+INPUTS!$I$5-1), MOD(N83-INPUTS!$I$6,12)=0), INPUTS!$F$20/CEILING(INPUTS!$I$5/12,1), 0)</f>
        <v>0</v>
      </c>
      <c r="Q83" s="1068">
        <f>IF(AND(N83&gt;=INPUTS!$I$6, N83&lt;=(INPUTS!$I$6+INPUTS!$I$5-1)), INPUTS!$F$20/INPUTS!$I$5, 0)</f>
        <v>0</v>
      </c>
      <c r="R83" s="1069">
        <v>0</v>
      </c>
      <c r="S83" s="1068">
        <f>IF(INPUTS!$I$8="Year Start", P83, IF(INPUTS!$I$8="Even Distribution", Q83, R83))</f>
        <v>0</v>
      </c>
      <c r="T83" s="1068" cm="1">
        <f t="array" ref="T83">IF(INPUTS!$C$24&lt;&gt;"Yes", 0, IFERROR(S83 / SUMPRODUCT(($O$19:$O$138=O83)*$S$19:$S$138) * INDEX($U$5:$U$14, O83), 0))</f>
        <v>0</v>
      </c>
      <c r="U83" s="1068">
        <f t="shared" si="6"/>
        <v>0</v>
      </c>
      <c r="V83" s="1068">
        <f t="shared" si="5"/>
        <v>0</v>
      </c>
      <c r="W83" s="1068">
        <f>IF(N83&gt;DEBT!$AH$14, 0, IF(V83=0, 0, IF(N83&lt;=DEBT!$AH$15, V83*DEBT!$AH$12/12, PMT(DEBT!$AH$12/12, DEBT!$AH$13-N83+DEBT!$AH$15+1, -V83))))</f>
        <v>0</v>
      </c>
      <c r="X83" s="1068">
        <f>IF(N83&gt;DEBT!$AH$14, 0, V83*DEBT!$AH$12/12)</f>
        <v>0</v>
      </c>
      <c r="Y83" s="1068">
        <f>IF(N83&gt;INPUTS!$C$26*12, 0, W83-X83)</f>
        <v>0</v>
      </c>
      <c r="Z83" s="1070">
        <f>IF(N83&gt;DEBT!$AH$14, 0, V83-Y83)</f>
        <v>0</v>
      </c>
    </row>
    <row r="84" spans="14:26">
      <c r="N84" s="1071">
        <v>66</v>
      </c>
      <c r="O84" s="1072">
        <v>6</v>
      </c>
      <c r="P84" s="1073">
        <f>IF(AND(N84&gt;=INPUTS!$I$6, N84&lt;=(INPUTS!$I$6+INPUTS!$I$5-1), MOD(N84-INPUTS!$I$6,12)=0), INPUTS!$F$20/CEILING(INPUTS!$I$5/12,1), 0)</f>
        <v>0</v>
      </c>
      <c r="Q84" s="1073">
        <f>IF(AND(N84&gt;=INPUTS!$I$6, N84&lt;=(INPUTS!$I$6+INPUTS!$I$5-1)), INPUTS!$F$20/INPUTS!$I$5, 0)</f>
        <v>0</v>
      </c>
      <c r="R84" s="1074">
        <v>0</v>
      </c>
      <c r="S84" s="1073">
        <f>IF(INPUTS!$I$8="Year Start", P84, IF(INPUTS!$I$8="Even Distribution", Q84, R84))</f>
        <v>0</v>
      </c>
      <c r="T84" s="1073" cm="1">
        <f t="array" ref="T84">IF(INPUTS!$C$24&lt;&gt;"Yes", 0, IFERROR(S84 / SUMPRODUCT(($O$19:$O$138=O84)*$S$19:$S$138) * INDEX($U$5:$U$14, O84), 0))</f>
        <v>0</v>
      </c>
      <c r="U84" s="1073">
        <f t="shared" si="6"/>
        <v>0</v>
      </c>
      <c r="V84" s="1073">
        <f t="shared" ref="V84:V138" si="9">U84+T84</f>
        <v>0</v>
      </c>
      <c r="W84" s="1073">
        <f>IF(N84&gt;DEBT!$AH$14, 0, IF(V84=0, 0, IF(N84&lt;=DEBT!$AH$15, V84*DEBT!$AH$12/12, PMT(DEBT!$AH$12/12, DEBT!$AH$13-N84+DEBT!$AH$15+1, -V84))))</f>
        <v>0</v>
      </c>
      <c r="X84" s="1073">
        <f>IF(N84&gt;DEBT!$AH$14, 0, V84*DEBT!$AH$12/12)</f>
        <v>0</v>
      </c>
      <c r="Y84" s="1073">
        <f>IF(N84&gt;INPUTS!$C$26*12, 0, W84-X84)</f>
        <v>0</v>
      </c>
      <c r="Z84" s="1075">
        <f>IF(N84&gt;DEBT!$AH$14, 0, V84-Y84)</f>
        <v>0</v>
      </c>
    </row>
    <row r="85" spans="14:26">
      <c r="N85" s="1066">
        <v>67</v>
      </c>
      <c r="O85" s="1067">
        <v>6</v>
      </c>
      <c r="P85" s="1068">
        <f>IF(AND(N85&gt;=INPUTS!$I$6, N85&lt;=(INPUTS!$I$6+INPUTS!$I$5-1), MOD(N85-INPUTS!$I$6,12)=0), INPUTS!$F$20/CEILING(INPUTS!$I$5/12,1), 0)</f>
        <v>0</v>
      </c>
      <c r="Q85" s="1068">
        <f>IF(AND(N85&gt;=INPUTS!$I$6, N85&lt;=(INPUTS!$I$6+INPUTS!$I$5-1)), INPUTS!$F$20/INPUTS!$I$5, 0)</f>
        <v>0</v>
      </c>
      <c r="R85" s="1069">
        <v>0</v>
      </c>
      <c r="S85" s="1068">
        <f>IF(INPUTS!$I$8="Year Start", P85, IF(INPUTS!$I$8="Even Distribution", Q85, R85))</f>
        <v>0</v>
      </c>
      <c r="T85" s="1068" cm="1">
        <f t="array" ref="T85">IF(INPUTS!$C$24&lt;&gt;"Yes", 0, IFERROR(S85 / SUMPRODUCT(($O$19:$O$138=O85)*$S$19:$S$138) * INDEX($U$5:$U$14, O85), 0))</f>
        <v>0</v>
      </c>
      <c r="U85" s="1068">
        <f t="shared" ref="U85:U138" si="10">Z84</f>
        <v>0</v>
      </c>
      <c r="V85" s="1068">
        <f t="shared" si="9"/>
        <v>0</v>
      </c>
      <c r="W85" s="1068">
        <f>IF(N85&gt;DEBT!$AH$14, 0, IF(V85=0, 0, IF(N85&lt;=DEBT!$AH$15, V85*DEBT!$AH$12/12, PMT(DEBT!$AH$12/12, DEBT!$AH$13-N85+DEBT!$AH$15+1, -V85))))</f>
        <v>0</v>
      </c>
      <c r="X85" s="1068">
        <f>IF(N85&gt;DEBT!$AH$14, 0, V85*DEBT!$AH$12/12)</f>
        <v>0</v>
      </c>
      <c r="Y85" s="1068">
        <f>IF(N85&gt;INPUTS!$C$26*12, 0, W85-X85)</f>
        <v>0</v>
      </c>
      <c r="Z85" s="1070">
        <f>IF(N85&gt;DEBT!$AH$14, 0, V85-Y85)</f>
        <v>0</v>
      </c>
    </row>
    <row r="86" spans="14:26">
      <c r="N86" s="1071">
        <v>68</v>
      </c>
      <c r="O86" s="1072">
        <v>6</v>
      </c>
      <c r="P86" s="1073">
        <f>IF(AND(N86&gt;=INPUTS!$I$6, N86&lt;=(INPUTS!$I$6+INPUTS!$I$5-1), MOD(N86-INPUTS!$I$6,12)=0), INPUTS!$F$20/CEILING(INPUTS!$I$5/12,1), 0)</f>
        <v>0</v>
      </c>
      <c r="Q86" s="1073">
        <f>IF(AND(N86&gt;=INPUTS!$I$6, N86&lt;=(INPUTS!$I$6+INPUTS!$I$5-1)), INPUTS!$F$20/INPUTS!$I$5, 0)</f>
        <v>0</v>
      </c>
      <c r="R86" s="1074">
        <v>0</v>
      </c>
      <c r="S86" s="1073">
        <f>IF(INPUTS!$I$8="Year Start", P86, IF(INPUTS!$I$8="Even Distribution", Q86, R86))</f>
        <v>0</v>
      </c>
      <c r="T86" s="1073" cm="1">
        <f t="array" ref="T86">IF(INPUTS!$C$24&lt;&gt;"Yes", 0, IFERROR(S86 / SUMPRODUCT(($O$19:$O$138=O86)*$S$19:$S$138) * INDEX($U$5:$U$14, O86), 0))</f>
        <v>0</v>
      </c>
      <c r="U86" s="1073">
        <f t="shared" si="10"/>
        <v>0</v>
      </c>
      <c r="V86" s="1073">
        <f t="shared" si="9"/>
        <v>0</v>
      </c>
      <c r="W86" s="1073">
        <f>IF(N86&gt;DEBT!$AH$14, 0, IF(V86=0, 0, IF(N86&lt;=DEBT!$AH$15, V86*DEBT!$AH$12/12, PMT(DEBT!$AH$12/12, DEBT!$AH$13-N86+DEBT!$AH$15+1, -V86))))</f>
        <v>0</v>
      </c>
      <c r="X86" s="1073">
        <f>IF(N86&gt;DEBT!$AH$14, 0, V86*DEBT!$AH$12/12)</f>
        <v>0</v>
      </c>
      <c r="Y86" s="1073">
        <f>IF(N86&gt;INPUTS!$C$26*12, 0, W86-X86)</f>
        <v>0</v>
      </c>
      <c r="Z86" s="1075">
        <f>IF(N86&gt;DEBT!$AH$14, 0, V86-Y86)</f>
        <v>0</v>
      </c>
    </row>
    <row r="87" spans="14:26">
      <c r="N87" s="1066">
        <v>69</v>
      </c>
      <c r="O87" s="1067">
        <v>6</v>
      </c>
      <c r="P87" s="1068">
        <f>IF(AND(N87&gt;=INPUTS!$I$6, N87&lt;=(INPUTS!$I$6+INPUTS!$I$5-1), MOD(N87-INPUTS!$I$6,12)=0), INPUTS!$F$20/CEILING(INPUTS!$I$5/12,1), 0)</f>
        <v>0</v>
      </c>
      <c r="Q87" s="1068">
        <f>IF(AND(N87&gt;=INPUTS!$I$6, N87&lt;=(INPUTS!$I$6+INPUTS!$I$5-1)), INPUTS!$F$20/INPUTS!$I$5, 0)</f>
        <v>0</v>
      </c>
      <c r="R87" s="1069">
        <v>0</v>
      </c>
      <c r="S87" s="1068">
        <f>IF(INPUTS!$I$8="Year Start", P87, IF(INPUTS!$I$8="Even Distribution", Q87, R87))</f>
        <v>0</v>
      </c>
      <c r="T87" s="1068" cm="1">
        <f t="array" ref="T87">IF(INPUTS!$C$24&lt;&gt;"Yes", 0, IFERROR(S87 / SUMPRODUCT(($O$19:$O$138=O87)*$S$19:$S$138) * INDEX($U$5:$U$14, O87), 0))</f>
        <v>0</v>
      </c>
      <c r="U87" s="1068">
        <f t="shared" si="10"/>
        <v>0</v>
      </c>
      <c r="V87" s="1068">
        <f t="shared" si="9"/>
        <v>0</v>
      </c>
      <c r="W87" s="1068">
        <f>IF(N87&gt;DEBT!$AH$14, 0, IF(V87=0, 0, IF(N87&lt;=DEBT!$AH$15, V87*DEBT!$AH$12/12, PMT(DEBT!$AH$12/12, DEBT!$AH$13-N87+DEBT!$AH$15+1, -V87))))</f>
        <v>0</v>
      </c>
      <c r="X87" s="1068">
        <f>IF(N87&gt;DEBT!$AH$14, 0, V87*DEBT!$AH$12/12)</f>
        <v>0</v>
      </c>
      <c r="Y87" s="1068">
        <f>IF(N87&gt;INPUTS!$C$26*12, 0, W87-X87)</f>
        <v>0</v>
      </c>
      <c r="Z87" s="1070">
        <f>IF(N87&gt;DEBT!$AH$14, 0, V87-Y87)</f>
        <v>0</v>
      </c>
    </row>
    <row r="88" spans="14:26">
      <c r="N88" s="1071">
        <v>70</v>
      </c>
      <c r="O88" s="1072">
        <v>6</v>
      </c>
      <c r="P88" s="1073">
        <f>IF(AND(N88&gt;=INPUTS!$I$6, N88&lt;=(INPUTS!$I$6+INPUTS!$I$5-1), MOD(N88-INPUTS!$I$6,12)=0), INPUTS!$F$20/CEILING(INPUTS!$I$5/12,1), 0)</f>
        <v>0</v>
      </c>
      <c r="Q88" s="1073">
        <f>IF(AND(N88&gt;=INPUTS!$I$6, N88&lt;=(INPUTS!$I$6+INPUTS!$I$5-1)), INPUTS!$F$20/INPUTS!$I$5, 0)</f>
        <v>0</v>
      </c>
      <c r="R88" s="1074">
        <v>0</v>
      </c>
      <c r="S88" s="1073">
        <f>IF(INPUTS!$I$8="Year Start", P88, IF(INPUTS!$I$8="Even Distribution", Q88, R88))</f>
        <v>0</v>
      </c>
      <c r="T88" s="1073" cm="1">
        <f t="array" ref="T88">IF(INPUTS!$C$24&lt;&gt;"Yes", 0, IFERROR(S88 / SUMPRODUCT(($O$19:$O$138=O88)*$S$19:$S$138) * INDEX($U$5:$U$14, O88), 0))</f>
        <v>0</v>
      </c>
      <c r="U88" s="1073">
        <f t="shared" si="10"/>
        <v>0</v>
      </c>
      <c r="V88" s="1073">
        <f t="shared" si="9"/>
        <v>0</v>
      </c>
      <c r="W88" s="1073">
        <f>IF(N88&gt;DEBT!$AH$14, 0, IF(V88=0, 0, IF(N88&lt;=DEBT!$AH$15, V88*DEBT!$AH$12/12, PMT(DEBT!$AH$12/12, DEBT!$AH$13-N88+DEBT!$AH$15+1, -V88))))</f>
        <v>0</v>
      </c>
      <c r="X88" s="1073">
        <f>IF(N88&gt;DEBT!$AH$14, 0, V88*DEBT!$AH$12/12)</f>
        <v>0</v>
      </c>
      <c r="Y88" s="1073">
        <f>IF(N88&gt;INPUTS!$C$26*12, 0, W88-X88)</f>
        <v>0</v>
      </c>
      <c r="Z88" s="1075">
        <f>IF(N88&gt;DEBT!$AH$14, 0, V88-Y88)</f>
        <v>0</v>
      </c>
    </row>
    <row r="89" spans="14:26">
      <c r="N89" s="1066">
        <v>71</v>
      </c>
      <c r="O89" s="1067">
        <v>6</v>
      </c>
      <c r="P89" s="1068">
        <f>IF(AND(N89&gt;=INPUTS!$I$6, N89&lt;=(INPUTS!$I$6+INPUTS!$I$5-1), MOD(N89-INPUTS!$I$6,12)=0), INPUTS!$F$20/CEILING(INPUTS!$I$5/12,1), 0)</f>
        <v>0</v>
      </c>
      <c r="Q89" s="1068">
        <f>IF(AND(N89&gt;=INPUTS!$I$6, N89&lt;=(INPUTS!$I$6+INPUTS!$I$5-1)), INPUTS!$F$20/INPUTS!$I$5, 0)</f>
        <v>0</v>
      </c>
      <c r="R89" s="1069">
        <v>0</v>
      </c>
      <c r="S89" s="1068">
        <f>IF(INPUTS!$I$8="Year Start", P89, IF(INPUTS!$I$8="Even Distribution", Q89, R89))</f>
        <v>0</v>
      </c>
      <c r="T89" s="1068" cm="1">
        <f t="array" ref="T89">IF(INPUTS!$C$24&lt;&gt;"Yes", 0, IFERROR(S89 / SUMPRODUCT(($O$19:$O$138=O89)*$S$19:$S$138) * INDEX($U$5:$U$14, O89), 0))</f>
        <v>0</v>
      </c>
      <c r="U89" s="1068">
        <f t="shared" si="10"/>
        <v>0</v>
      </c>
      <c r="V89" s="1068">
        <f t="shared" si="9"/>
        <v>0</v>
      </c>
      <c r="W89" s="1068">
        <f>IF(N89&gt;DEBT!$AH$14, 0, IF(V89=0, 0, IF(N89&lt;=DEBT!$AH$15, V89*DEBT!$AH$12/12, PMT(DEBT!$AH$12/12, DEBT!$AH$13-N89+DEBT!$AH$15+1, -V89))))</f>
        <v>0</v>
      </c>
      <c r="X89" s="1068">
        <f>IF(N89&gt;DEBT!$AH$14, 0, V89*DEBT!$AH$12/12)</f>
        <v>0</v>
      </c>
      <c r="Y89" s="1068">
        <f>IF(N89&gt;INPUTS!$C$26*12, 0, W89-X89)</f>
        <v>0</v>
      </c>
      <c r="Z89" s="1070">
        <f>IF(N89&gt;DEBT!$AH$14, 0, V89-Y89)</f>
        <v>0</v>
      </c>
    </row>
    <row r="90" spans="14:26">
      <c r="N90" s="1071">
        <v>72</v>
      </c>
      <c r="O90" s="1072">
        <v>6</v>
      </c>
      <c r="P90" s="1073">
        <f>IF(AND(N90&gt;=INPUTS!$I$6, N90&lt;=(INPUTS!$I$6+INPUTS!$I$5-1), MOD(N90-INPUTS!$I$6,12)=0), INPUTS!$F$20/CEILING(INPUTS!$I$5/12,1), 0)</f>
        <v>0</v>
      </c>
      <c r="Q90" s="1073">
        <f>IF(AND(N90&gt;=INPUTS!$I$6, N90&lt;=(INPUTS!$I$6+INPUTS!$I$5-1)), INPUTS!$F$20/INPUTS!$I$5, 0)</f>
        <v>0</v>
      </c>
      <c r="R90" s="1074">
        <v>0</v>
      </c>
      <c r="S90" s="1073">
        <f>IF(INPUTS!$I$8="Year Start", P90, IF(INPUTS!$I$8="Even Distribution", Q90, R90))</f>
        <v>0</v>
      </c>
      <c r="T90" s="1073" cm="1">
        <f t="array" ref="T90">IF(INPUTS!$C$24&lt;&gt;"Yes", 0, IFERROR(S90 / SUMPRODUCT(($O$19:$O$138=O90)*$S$19:$S$138) * INDEX($U$5:$U$14, O90), 0))</f>
        <v>0</v>
      </c>
      <c r="U90" s="1073">
        <f t="shared" si="10"/>
        <v>0</v>
      </c>
      <c r="V90" s="1073">
        <f t="shared" si="9"/>
        <v>0</v>
      </c>
      <c r="W90" s="1073">
        <f>IF(N90&gt;DEBT!$AH$14, 0, IF(V90=0, 0, IF(N90&lt;=DEBT!$AH$15, V90*DEBT!$AH$12/12, PMT(DEBT!$AH$12/12, DEBT!$AH$13-N90+DEBT!$AH$15+1, -V90))))</f>
        <v>0</v>
      </c>
      <c r="X90" s="1073">
        <f>IF(N90&gt;DEBT!$AH$14, 0, V90*DEBT!$AH$12/12)</f>
        <v>0</v>
      </c>
      <c r="Y90" s="1073">
        <f>IF(N90&gt;INPUTS!$C$26*12, 0, W90-X90)</f>
        <v>0</v>
      </c>
      <c r="Z90" s="1075">
        <f>IF(N90&gt;DEBT!$AH$14, 0, V90-Y90)</f>
        <v>0</v>
      </c>
    </row>
    <row r="91" spans="14:26">
      <c r="N91" s="1066">
        <v>73</v>
      </c>
      <c r="O91" s="1067">
        <v>7</v>
      </c>
      <c r="P91" s="1068">
        <f>IF(AND(N91&gt;=INPUTS!$I$6, N91&lt;=(INPUTS!$I$6+INPUTS!$I$5-1), MOD(N91-INPUTS!$I$6,12)=0), INPUTS!$F$20/CEILING(INPUTS!$I$5/12,1), 0)</f>
        <v>0</v>
      </c>
      <c r="Q91" s="1068">
        <f>IF(AND(N91&gt;=INPUTS!$I$6, N91&lt;=(INPUTS!$I$6+INPUTS!$I$5-1)), INPUTS!$F$20/INPUTS!$I$5, 0)</f>
        <v>0</v>
      </c>
      <c r="R91" s="1069">
        <v>0</v>
      </c>
      <c r="S91" s="1068">
        <f>IF(INPUTS!$I$8="Year Start", P91, IF(INPUTS!$I$8="Even Distribution", Q91, R91))</f>
        <v>0</v>
      </c>
      <c r="T91" s="1068" cm="1">
        <f t="array" ref="T91">IF(INPUTS!$C$24&lt;&gt;"Yes", 0, IFERROR(S91 / SUMPRODUCT(($O$19:$O$138=O91)*$S$19:$S$138) * INDEX($U$5:$U$14, O91), 0))</f>
        <v>0</v>
      </c>
      <c r="U91" s="1068">
        <f t="shared" si="10"/>
        <v>0</v>
      </c>
      <c r="V91" s="1068">
        <f t="shared" si="9"/>
        <v>0</v>
      </c>
      <c r="W91" s="1068">
        <f>IF(N91&gt;DEBT!$AH$14, 0, IF(V91=0, 0, IF(N91&lt;=DEBT!$AH$15, V91*DEBT!$AH$12/12, PMT(DEBT!$AH$12/12, DEBT!$AH$13-N91+DEBT!$AH$15+1, -V91))))</f>
        <v>0</v>
      </c>
      <c r="X91" s="1068">
        <f>IF(N91&gt;DEBT!$AH$14, 0, V91*DEBT!$AH$12/12)</f>
        <v>0</v>
      </c>
      <c r="Y91" s="1068">
        <f>IF(N91&gt;INPUTS!$C$26*12, 0, W91-X91)</f>
        <v>0</v>
      </c>
      <c r="Z91" s="1070">
        <f>IF(N91&gt;DEBT!$AH$14, 0, V91-Y91)</f>
        <v>0</v>
      </c>
    </row>
    <row r="92" spans="14:26">
      <c r="N92" s="1071">
        <v>74</v>
      </c>
      <c r="O92" s="1072">
        <v>7</v>
      </c>
      <c r="P92" s="1073">
        <f>IF(AND(N92&gt;=INPUTS!$I$6, N92&lt;=(INPUTS!$I$6+INPUTS!$I$5-1), MOD(N92-INPUTS!$I$6,12)=0), INPUTS!$F$20/CEILING(INPUTS!$I$5/12,1), 0)</f>
        <v>0</v>
      </c>
      <c r="Q92" s="1073">
        <f>IF(AND(N92&gt;=INPUTS!$I$6, N92&lt;=(INPUTS!$I$6+INPUTS!$I$5-1)), INPUTS!$F$20/INPUTS!$I$5, 0)</f>
        <v>0</v>
      </c>
      <c r="R92" s="1074">
        <v>0</v>
      </c>
      <c r="S92" s="1073">
        <f>IF(INPUTS!$I$8="Year Start", P92, IF(INPUTS!$I$8="Even Distribution", Q92, R92))</f>
        <v>0</v>
      </c>
      <c r="T92" s="1073" cm="1">
        <f t="array" ref="T92">IF(INPUTS!$C$24&lt;&gt;"Yes", 0, IFERROR(S92 / SUMPRODUCT(($O$19:$O$138=O92)*$S$19:$S$138) * INDEX($U$5:$U$14, O92), 0))</f>
        <v>0</v>
      </c>
      <c r="U92" s="1073">
        <f t="shared" si="10"/>
        <v>0</v>
      </c>
      <c r="V92" s="1073">
        <f t="shared" si="9"/>
        <v>0</v>
      </c>
      <c r="W92" s="1073">
        <f>IF(N92&gt;DEBT!$AH$14, 0, IF(V92=0, 0, IF(N92&lt;=DEBT!$AH$15, V92*DEBT!$AH$12/12, PMT(DEBT!$AH$12/12, DEBT!$AH$13-N92+DEBT!$AH$15+1, -V92))))</f>
        <v>0</v>
      </c>
      <c r="X92" s="1073">
        <f>IF(N92&gt;DEBT!$AH$14, 0, V92*DEBT!$AH$12/12)</f>
        <v>0</v>
      </c>
      <c r="Y92" s="1073">
        <f>IF(N92&gt;INPUTS!$C$26*12, 0, W92-X92)</f>
        <v>0</v>
      </c>
      <c r="Z92" s="1075">
        <f>IF(N92&gt;DEBT!$AH$14, 0, V92-Y92)</f>
        <v>0</v>
      </c>
    </row>
    <row r="93" spans="14:26">
      <c r="N93" s="1066">
        <v>75</v>
      </c>
      <c r="O93" s="1067">
        <v>7</v>
      </c>
      <c r="P93" s="1068">
        <f>IF(AND(N93&gt;=INPUTS!$I$6, N93&lt;=(INPUTS!$I$6+INPUTS!$I$5-1), MOD(N93-INPUTS!$I$6,12)=0), INPUTS!$F$20/CEILING(INPUTS!$I$5/12,1), 0)</f>
        <v>0</v>
      </c>
      <c r="Q93" s="1068">
        <f>IF(AND(N93&gt;=INPUTS!$I$6, N93&lt;=(INPUTS!$I$6+INPUTS!$I$5-1)), INPUTS!$F$20/INPUTS!$I$5, 0)</f>
        <v>0</v>
      </c>
      <c r="R93" s="1069">
        <v>0</v>
      </c>
      <c r="S93" s="1068">
        <f>IF(INPUTS!$I$8="Year Start", P93, IF(INPUTS!$I$8="Even Distribution", Q93, R93))</f>
        <v>0</v>
      </c>
      <c r="T93" s="1068" cm="1">
        <f t="array" ref="T93">IF(INPUTS!$C$24&lt;&gt;"Yes", 0, IFERROR(S93 / SUMPRODUCT(($O$19:$O$138=O93)*$S$19:$S$138) * INDEX($U$5:$U$14, O93), 0))</f>
        <v>0</v>
      </c>
      <c r="U93" s="1068">
        <f t="shared" si="10"/>
        <v>0</v>
      </c>
      <c r="V93" s="1068">
        <f t="shared" si="9"/>
        <v>0</v>
      </c>
      <c r="W93" s="1068">
        <f>IF(N93&gt;DEBT!$AH$14, 0, IF(V93=0, 0, IF(N93&lt;=DEBT!$AH$15, V93*DEBT!$AH$12/12, PMT(DEBT!$AH$12/12, DEBT!$AH$13-N93+DEBT!$AH$15+1, -V93))))</f>
        <v>0</v>
      </c>
      <c r="X93" s="1068">
        <f>IF(N93&gt;DEBT!$AH$14, 0, V93*DEBT!$AH$12/12)</f>
        <v>0</v>
      </c>
      <c r="Y93" s="1068">
        <f>IF(N93&gt;INPUTS!$C$26*12, 0, W93-X93)</f>
        <v>0</v>
      </c>
      <c r="Z93" s="1070">
        <f>IF(N93&gt;DEBT!$AH$14, 0, V93-Y93)</f>
        <v>0</v>
      </c>
    </row>
    <row r="94" spans="14:26">
      <c r="N94" s="1071">
        <v>76</v>
      </c>
      <c r="O94" s="1072">
        <v>7</v>
      </c>
      <c r="P94" s="1073">
        <f>IF(AND(N94&gt;=INPUTS!$I$6, N94&lt;=(INPUTS!$I$6+INPUTS!$I$5-1), MOD(N94-INPUTS!$I$6,12)=0), INPUTS!$F$20/CEILING(INPUTS!$I$5/12,1), 0)</f>
        <v>0</v>
      </c>
      <c r="Q94" s="1073">
        <f>IF(AND(N94&gt;=INPUTS!$I$6, N94&lt;=(INPUTS!$I$6+INPUTS!$I$5-1)), INPUTS!$F$20/INPUTS!$I$5, 0)</f>
        <v>0</v>
      </c>
      <c r="R94" s="1074">
        <v>0</v>
      </c>
      <c r="S94" s="1073">
        <f>IF(INPUTS!$I$8="Year Start", P94, IF(INPUTS!$I$8="Even Distribution", Q94, R94))</f>
        <v>0</v>
      </c>
      <c r="T94" s="1073" cm="1">
        <f t="array" ref="T94">IF(INPUTS!$C$24&lt;&gt;"Yes", 0, IFERROR(S94 / SUMPRODUCT(($O$19:$O$138=O94)*$S$19:$S$138) * INDEX($U$5:$U$14, O94), 0))</f>
        <v>0</v>
      </c>
      <c r="U94" s="1073">
        <f t="shared" si="10"/>
        <v>0</v>
      </c>
      <c r="V94" s="1073">
        <f t="shared" si="9"/>
        <v>0</v>
      </c>
      <c r="W94" s="1073">
        <f>IF(N94&gt;DEBT!$AH$14, 0, IF(V94=0, 0, IF(N94&lt;=DEBT!$AH$15, V94*DEBT!$AH$12/12, PMT(DEBT!$AH$12/12, DEBT!$AH$13-N94+DEBT!$AH$15+1, -V94))))</f>
        <v>0</v>
      </c>
      <c r="X94" s="1073">
        <f>IF(N94&gt;DEBT!$AH$14, 0, V94*DEBT!$AH$12/12)</f>
        <v>0</v>
      </c>
      <c r="Y94" s="1073">
        <f>IF(N94&gt;INPUTS!$C$26*12, 0, W94-X94)</f>
        <v>0</v>
      </c>
      <c r="Z94" s="1075">
        <f>IF(N94&gt;DEBT!$AH$14, 0, V94-Y94)</f>
        <v>0</v>
      </c>
    </row>
    <row r="95" spans="14:26">
      <c r="N95" s="1066">
        <v>77</v>
      </c>
      <c r="O95" s="1067">
        <v>7</v>
      </c>
      <c r="P95" s="1068">
        <f>IF(AND(N95&gt;=INPUTS!$I$6, N95&lt;=(INPUTS!$I$6+INPUTS!$I$5-1), MOD(N95-INPUTS!$I$6,12)=0), INPUTS!$F$20/CEILING(INPUTS!$I$5/12,1), 0)</f>
        <v>0</v>
      </c>
      <c r="Q95" s="1068">
        <f>IF(AND(N95&gt;=INPUTS!$I$6, N95&lt;=(INPUTS!$I$6+INPUTS!$I$5-1)), INPUTS!$F$20/INPUTS!$I$5, 0)</f>
        <v>0</v>
      </c>
      <c r="R95" s="1069">
        <v>0</v>
      </c>
      <c r="S95" s="1068">
        <f>IF(INPUTS!$I$8="Year Start", P95, IF(INPUTS!$I$8="Even Distribution", Q95, R95))</f>
        <v>0</v>
      </c>
      <c r="T95" s="1068" cm="1">
        <f t="array" ref="T95">IF(INPUTS!$C$24&lt;&gt;"Yes", 0, IFERROR(S95 / SUMPRODUCT(($O$19:$O$138=O95)*$S$19:$S$138) * INDEX($U$5:$U$14, O95), 0))</f>
        <v>0</v>
      </c>
      <c r="U95" s="1068">
        <f t="shared" si="10"/>
        <v>0</v>
      </c>
      <c r="V95" s="1068">
        <f t="shared" si="9"/>
        <v>0</v>
      </c>
      <c r="W95" s="1068">
        <f>IF(N95&gt;DEBT!$AH$14, 0, IF(V95=0, 0, IF(N95&lt;=DEBT!$AH$15, V95*DEBT!$AH$12/12, PMT(DEBT!$AH$12/12, DEBT!$AH$13-N95+DEBT!$AH$15+1, -V95))))</f>
        <v>0</v>
      </c>
      <c r="X95" s="1068">
        <f>IF(N95&gt;DEBT!$AH$14, 0, V95*DEBT!$AH$12/12)</f>
        <v>0</v>
      </c>
      <c r="Y95" s="1068">
        <f>IF(N95&gt;INPUTS!$C$26*12, 0, W95-X95)</f>
        <v>0</v>
      </c>
      <c r="Z95" s="1070">
        <f>IF(N95&gt;DEBT!$AH$14, 0, V95-Y95)</f>
        <v>0</v>
      </c>
    </row>
    <row r="96" spans="14:26">
      <c r="N96" s="1071">
        <v>78</v>
      </c>
      <c r="O96" s="1072">
        <v>7</v>
      </c>
      <c r="P96" s="1073">
        <f>IF(AND(N96&gt;=INPUTS!$I$6, N96&lt;=(INPUTS!$I$6+INPUTS!$I$5-1), MOD(N96-INPUTS!$I$6,12)=0), INPUTS!$F$20/CEILING(INPUTS!$I$5/12,1), 0)</f>
        <v>0</v>
      </c>
      <c r="Q96" s="1073">
        <f>IF(AND(N96&gt;=INPUTS!$I$6, N96&lt;=(INPUTS!$I$6+INPUTS!$I$5-1)), INPUTS!$F$20/INPUTS!$I$5, 0)</f>
        <v>0</v>
      </c>
      <c r="R96" s="1074">
        <v>0</v>
      </c>
      <c r="S96" s="1073">
        <f>IF(INPUTS!$I$8="Year Start", P96, IF(INPUTS!$I$8="Even Distribution", Q96, R96))</f>
        <v>0</v>
      </c>
      <c r="T96" s="1073" cm="1">
        <f t="array" ref="T96">IF(INPUTS!$C$24&lt;&gt;"Yes", 0, IFERROR(S96 / SUMPRODUCT(($O$19:$O$138=O96)*$S$19:$S$138) * INDEX($U$5:$U$14, O96), 0))</f>
        <v>0</v>
      </c>
      <c r="U96" s="1073">
        <f t="shared" si="10"/>
        <v>0</v>
      </c>
      <c r="V96" s="1073">
        <f t="shared" si="9"/>
        <v>0</v>
      </c>
      <c r="W96" s="1073">
        <f>IF(N96&gt;DEBT!$AH$14, 0, IF(V96=0, 0, IF(N96&lt;=DEBT!$AH$15, V96*DEBT!$AH$12/12, PMT(DEBT!$AH$12/12, DEBT!$AH$13-N96+DEBT!$AH$15+1, -V96))))</f>
        <v>0</v>
      </c>
      <c r="X96" s="1073">
        <f>IF(N96&gt;DEBT!$AH$14, 0, V96*DEBT!$AH$12/12)</f>
        <v>0</v>
      </c>
      <c r="Y96" s="1073">
        <f>IF(N96&gt;INPUTS!$C$26*12, 0, W96-X96)</f>
        <v>0</v>
      </c>
      <c r="Z96" s="1075">
        <f>IF(N96&gt;DEBT!$AH$14, 0, V96-Y96)</f>
        <v>0</v>
      </c>
    </row>
    <row r="97" spans="14:26">
      <c r="N97" s="1066">
        <v>79</v>
      </c>
      <c r="O97" s="1067">
        <v>7</v>
      </c>
      <c r="P97" s="1068">
        <f>IF(AND(N97&gt;=INPUTS!$I$6, N97&lt;=(INPUTS!$I$6+INPUTS!$I$5-1), MOD(N97-INPUTS!$I$6,12)=0), INPUTS!$F$20/CEILING(INPUTS!$I$5/12,1), 0)</f>
        <v>0</v>
      </c>
      <c r="Q97" s="1068">
        <f>IF(AND(N97&gt;=INPUTS!$I$6, N97&lt;=(INPUTS!$I$6+INPUTS!$I$5-1)), INPUTS!$F$20/INPUTS!$I$5, 0)</f>
        <v>0</v>
      </c>
      <c r="R97" s="1069">
        <v>0</v>
      </c>
      <c r="S97" s="1068">
        <f>IF(INPUTS!$I$8="Year Start", P97, IF(INPUTS!$I$8="Even Distribution", Q97, R97))</f>
        <v>0</v>
      </c>
      <c r="T97" s="1068" cm="1">
        <f t="array" ref="T97">IF(INPUTS!$C$24&lt;&gt;"Yes", 0, IFERROR(S97 / SUMPRODUCT(($O$19:$O$138=O97)*$S$19:$S$138) * INDEX($U$5:$U$14, O97), 0))</f>
        <v>0</v>
      </c>
      <c r="U97" s="1068">
        <f t="shared" si="10"/>
        <v>0</v>
      </c>
      <c r="V97" s="1068">
        <f t="shared" si="9"/>
        <v>0</v>
      </c>
      <c r="W97" s="1068">
        <f>IF(N97&gt;DEBT!$AH$14, 0, IF(V97=0, 0, IF(N97&lt;=DEBT!$AH$15, V97*DEBT!$AH$12/12, PMT(DEBT!$AH$12/12, DEBT!$AH$13-N97+DEBT!$AH$15+1, -V97))))</f>
        <v>0</v>
      </c>
      <c r="X97" s="1068">
        <f>IF(N97&gt;DEBT!$AH$14, 0, V97*DEBT!$AH$12/12)</f>
        <v>0</v>
      </c>
      <c r="Y97" s="1068">
        <f>IF(N97&gt;INPUTS!$C$26*12, 0, W97-X97)</f>
        <v>0</v>
      </c>
      <c r="Z97" s="1070">
        <f>IF(N97&gt;DEBT!$AH$14, 0, V97-Y97)</f>
        <v>0</v>
      </c>
    </row>
    <row r="98" spans="14:26">
      <c r="N98" s="1071">
        <v>80</v>
      </c>
      <c r="O98" s="1072">
        <v>7</v>
      </c>
      <c r="P98" s="1073">
        <f>IF(AND(N98&gt;=INPUTS!$I$6, N98&lt;=(INPUTS!$I$6+INPUTS!$I$5-1), MOD(N98-INPUTS!$I$6,12)=0), INPUTS!$F$20/CEILING(INPUTS!$I$5/12,1), 0)</f>
        <v>0</v>
      </c>
      <c r="Q98" s="1073">
        <f>IF(AND(N98&gt;=INPUTS!$I$6, N98&lt;=(INPUTS!$I$6+INPUTS!$I$5-1)), INPUTS!$F$20/INPUTS!$I$5, 0)</f>
        <v>0</v>
      </c>
      <c r="R98" s="1074">
        <v>0</v>
      </c>
      <c r="S98" s="1073">
        <f>IF(INPUTS!$I$8="Year Start", P98, IF(INPUTS!$I$8="Even Distribution", Q98, R98))</f>
        <v>0</v>
      </c>
      <c r="T98" s="1073" cm="1">
        <f t="array" ref="T98">IF(INPUTS!$C$24&lt;&gt;"Yes", 0, IFERROR(S98 / SUMPRODUCT(($O$19:$O$138=O98)*$S$19:$S$138) * INDEX($U$5:$U$14, O98), 0))</f>
        <v>0</v>
      </c>
      <c r="U98" s="1073">
        <f t="shared" si="10"/>
        <v>0</v>
      </c>
      <c r="V98" s="1073">
        <f t="shared" si="9"/>
        <v>0</v>
      </c>
      <c r="W98" s="1073">
        <f>IF(N98&gt;DEBT!$AH$14, 0, IF(V98=0, 0, IF(N98&lt;=DEBT!$AH$15, V98*DEBT!$AH$12/12, PMT(DEBT!$AH$12/12, DEBT!$AH$13-N98+DEBT!$AH$15+1, -V98))))</f>
        <v>0</v>
      </c>
      <c r="X98" s="1073">
        <f>IF(N98&gt;DEBT!$AH$14, 0, V98*DEBT!$AH$12/12)</f>
        <v>0</v>
      </c>
      <c r="Y98" s="1073">
        <f>IF(N98&gt;INPUTS!$C$26*12, 0, W98-X98)</f>
        <v>0</v>
      </c>
      <c r="Z98" s="1075">
        <f>IF(N98&gt;DEBT!$AH$14, 0, V98-Y98)</f>
        <v>0</v>
      </c>
    </row>
    <row r="99" spans="14:26">
      <c r="N99" s="1066">
        <v>81</v>
      </c>
      <c r="O99" s="1067">
        <v>7</v>
      </c>
      <c r="P99" s="1068">
        <f>IF(AND(N99&gt;=INPUTS!$I$6, N99&lt;=(INPUTS!$I$6+INPUTS!$I$5-1), MOD(N99-INPUTS!$I$6,12)=0), INPUTS!$F$20/CEILING(INPUTS!$I$5/12,1), 0)</f>
        <v>0</v>
      </c>
      <c r="Q99" s="1068">
        <f>IF(AND(N99&gt;=INPUTS!$I$6, N99&lt;=(INPUTS!$I$6+INPUTS!$I$5-1)), INPUTS!$F$20/INPUTS!$I$5, 0)</f>
        <v>0</v>
      </c>
      <c r="R99" s="1069">
        <v>0</v>
      </c>
      <c r="S99" s="1068">
        <f>IF(INPUTS!$I$8="Year Start", P99, IF(INPUTS!$I$8="Even Distribution", Q99, R99))</f>
        <v>0</v>
      </c>
      <c r="T99" s="1068" cm="1">
        <f t="array" ref="T99">IF(INPUTS!$C$24&lt;&gt;"Yes", 0, IFERROR(S99 / SUMPRODUCT(($O$19:$O$138=O99)*$S$19:$S$138) * INDEX($U$5:$U$14, O99), 0))</f>
        <v>0</v>
      </c>
      <c r="U99" s="1068">
        <f t="shared" si="10"/>
        <v>0</v>
      </c>
      <c r="V99" s="1068">
        <f t="shared" si="9"/>
        <v>0</v>
      </c>
      <c r="W99" s="1068">
        <f>IF(N99&gt;DEBT!$AH$14, 0, IF(V99=0, 0, IF(N99&lt;=DEBT!$AH$15, V99*DEBT!$AH$12/12, PMT(DEBT!$AH$12/12, DEBT!$AH$13-N99+DEBT!$AH$15+1, -V99))))</f>
        <v>0</v>
      </c>
      <c r="X99" s="1068">
        <f>IF(N99&gt;DEBT!$AH$14, 0, V99*DEBT!$AH$12/12)</f>
        <v>0</v>
      </c>
      <c r="Y99" s="1068">
        <f>IF(N99&gt;INPUTS!$C$26*12, 0, W99-X99)</f>
        <v>0</v>
      </c>
      <c r="Z99" s="1070">
        <f>IF(N99&gt;DEBT!$AH$14, 0, V99-Y99)</f>
        <v>0</v>
      </c>
    </row>
    <row r="100" spans="14:26">
      <c r="N100" s="1071">
        <v>82</v>
      </c>
      <c r="O100" s="1072">
        <v>7</v>
      </c>
      <c r="P100" s="1073">
        <f>IF(AND(N100&gt;=INPUTS!$I$6, N100&lt;=(INPUTS!$I$6+INPUTS!$I$5-1), MOD(N100-INPUTS!$I$6,12)=0), INPUTS!$F$20/CEILING(INPUTS!$I$5/12,1), 0)</f>
        <v>0</v>
      </c>
      <c r="Q100" s="1073">
        <f>IF(AND(N100&gt;=INPUTS!$I$6, N100&lt;=(INPUTS!$I$6+INPUTS!$I$5-1)), INPUTS!$F$20/INPUTS!$I$5, 0)</f>
        <v>0</v>
      </c>
      <c r="R100" s="1074">
        <v>0</v>
      </c>
      <c r="S100" s="1073">
        <f>IF(INPUTS!$I$8="Year Start", P100, IF(INPUTS!$I$8="Even Distribution", Q100, R100))</f>
        <v>0</v>
      </c>
      <c r="T100" s="1073" cm="1">
        <f t="array" ref="T100">IF(INPUTS!$C$24&lt;&gt;"Yes", 0, IFERROR(S100 / SUMPRODUCT(($O$19:$O$138=O100)*$S$19:$S$138) * INDEX($U$5:$U$14, O100), 0))</f>
        <v>0</v>
      </c>
      <c r="U100" s="1073">
        <f t="shared" si="10"/>
        <v>0</v>
      </c>
      <c r="V100" s="1073">
        <f t="shared" si="9"/>
        <v>0</v>
      </c>
      <c r="W100" s="1073">
        <f>IF(N100&gt;DEBT!$AH$14, 0, IF(V100=0, 0, IF(N100&lt;=DEBT!$AH$15, V100*DEBT!$AH$12/12, PMT(DEBT!$AH$12/12, DEBT!$AH$13-N100+DEBT!$AH$15+1, -V100))))</f>
        <v>0</v>
      </c>
      <c r="X100" s="1073">
        <f>IF(N100&gt;DEBT!$AH$14, 0, V100*DEBT!$AH$12/12)</f>
        <v>0</v>
      </c>
      <c r="Y100" s="1073">
        <f>IF(N100&gt;INPUTS!$C$26*12, 0, W100-X100)</f>
        <v>0</v>
      </c>
      <c r="Z100" s="1075">
        <f>IF(N100&gt;DEBT!$AH$14, 0, V100-Y100)</f>
        <v>0</v>
      </c>
    </row>
    <row r="101" spans="14:26">
      <c r="N101" s="1066">
        <v>83</v>
      </c>
      <c r="O101" s="1067">
        <v>7</v>
      </c>
      <c r="P101" s="1068">
        <f>IF(AND(N101&gt;=INPUTS!$I$6, N101&lt;=(INPUTS!$I$6+INPUTS!$I$5-1), MOD(N101-INPUTS!$I$6,12)=0), INPUTS!$F$20/CEILING(INPUTS!$I$5/12,1), 0)</f>
        <v>0</v>
      </c>
      <c r="Q101" s="1068">
        <f>IF(AND(N101&gt;=INPUTS!$I$6, N101&lt;=(INPUTS!$I$6+INPUTS!$I$5-1)), INPUTS!$F$20/INPUTS!$I$5, 0)</f>
        <v>0</v>
      </c>
      <c r="R101" s="1069">
        <v>0</v>
      </c>
      <c r="S101" s="1068">
        <f>IF(INPUTS!$I$8="Year Start", P101, IF(INPUTS!$I$8="Even Distribution", Q101, R101))</f>
        <v>0</v>
      </c>
      <c r="T101" s="1068" cm="1">
        <f t="array" ref="T101">IF(INPUTS!$C$24&lt;&gt;"Yes", 0, IFERROR(S101 / SUMPRODUCT(($O$19:$O$138=O101)*$S$19:$S$138) * INDEX($U$5:$U$14, O101), 0))</f>
        <v>0</v>
      </c>
      <c r="U101" s="1068">
        <f t="shared" si="10"/>
        <v>0</v>
      </c>
      <c r="V101" s="1068">
        <f t="shared" si="9"/>
        <v>0</v>
      </c>
      <c r="W101" s="1068">
        <f>IF(N101&gt;DEBT!$AH$14, 0, IF(V101=0, 0, IF(N101&lt;=DEBT!$AH$15, V101*DEBT!$AH$12/12, PMT(DEBT!$AH$12/12, DEBT!$AH$13-N101+DEBT!$AH$15+1, -V101))))</f>
        <v>0</v>
      </c>
      <c r="X101" s="1068">
        <f>IF(N101&gt;DEBT!$AH$14, 0, V101*DEBT!$AH$12/12)</f>
        <v>0</v>
      </c>
      <c r="Y101" s="1068">
        <f>IF(N101&gt;INPUTS!$C$26*12, 0, W101-X101)</f>
        <v>0</v>
      </c>
      <c r="Z101" s="1070">
        <f>IF(N101&gt;DEBT!$AH$14, 0, V101-Y101)</f>
        <v>0</v>
      </c>
    </row>
    <row r="102" spans="14:26">
      <c r="N102" s="1071">
        <v>84</v>
      </c>
      <c r="O102" s="1072">
        <v>7</v>
      </c>
      <c r="P102" s="1073">
        <f>IF(AND(N102&gt;=INPUTS!$I$6, N102&lt;=(INPUTS!$I$6+INPUTS!$I$5-1), MOD(N102-INPUTS!$I$6,12)=0), INPUTS!$F$20/CEILING(INPUTS!$I$5/12,1), 0)</f>
        <v>0</v>
      </c>
      <c r="Q102" s="1073">
        <f>IF(AND(N102&gt;=INPUTS!$I$6, N102&lt;=(INPUTS!$I$6+INPUTS!$I$5-1)), INPUTS!$F$20/INPUTS!$I$5, 0)</f>
        <v>0</v>
      </c>
      <c r="R102" s="1074">
        <v>0</v>
      </c>
      <c r="S102" s="1073">
        <f>IF(INPUTS!$I$8="Year Start", P102, IF(INPUTS!$I$8="Even Distribution", Q102, R102))</f>
        <v>0</v>
      </c>
      <c r="T102" s="1073" cm="1">
        <f t="array" ref="T102">IF(INPUTS!$C$24&lt;&gt;"Yes", 0, IFERROR(S102 / SUMPRODUCT(($O$19:$O$138=O102)*$S$19:$S$138) * INDEX($U$5:$U$14, O102), 0))</f>
        <v>0</v>
      </c>
      <c r="U102" s="1073">
        <f t="shared" si="10"/>
        <v>0</v>
      </c>
      <c r="V102" s="1073">
        <f t="shared" si="9"/>
        <v>0</v>
      </c>
      <c r="W102" s="1073">
        <f>IF(N102&gt;DEBT!$AH$14, 0, IF(V102=0, 0, IF(N102&lt;=DEBT!$AH$15, V102*DEBT!$AH$12/12, PMT(DEBT!$AH$12/12, DEBT!$AH$13-N102+DEBT!$AH$15+1, -V102))))</f>
        <v>0</v>
      </c>
      <c r="X102" s="1073">
        <f>IF(N102&gt;DEBT!$AH$14, 0, V102*DEBT!$AH$12/12)</f>
        <v>0</v>
      </c>
      <c r="Y102" s="1073">
        <f>IF(N102&gt;INPUTS!$C$26*12, 0, W102-X102)</f>
        <v>0</v>
      </c>
      <c r="Z102" s="1075">
        <f>IF(N102&gt;DEBT!$AH$14, 0, V102-Y102)</f>
        <v>0</v>
      </c>
    </row>
    <row r="103" spans="14:26">
      <c r="N103" s="1066">
        <v>85</v>
      </c>
      <c r="O103" s="1067">
        <v>8</v>
      </c>
      <c r="P103" s="1068">
        <f>IF(AND(N103&gt;=INPUTS!$I$6, N103&lt;=(INPUTS!$I$6+INPUTS!$I$5-1), MOD(N103-INPUTS!$I$6,12)=0), INPUTS!$F$20/CEILING(INPUTS!$I$5/12,1), 0)</f>
        <v>0</v>
      </c>
      <c r="Q103" s="1068">
        <f>IF(AND(N103&gt;=INPUTS!$I$6, N103&lt;=(INPUTS!$I$6+INPUTS!$I$5-1)), INPUTS!$F$20/INPUTS!$I$5, 0)</f>
        <v>0</v>
      </c>
      <c r="R103" s="1069">
        <v>0</v>
      </c>
      <c r="S103" s="1068">
        <f>IF(INPUTS!$I$8="Year Start", P103, IF(INPUTS!$I$8="Even Distribution", Q103, R103))</f>
        <v>0</v>
      </c>
      <c r="T103" s="1068" cm="1">
        <f t="array" ref="T103">IF(INPUTS!$C$24&lt;&gt;"Yes", 0, IFERROR(S103 / SUMPRODUCT(($O$19:$O$138=O103)*$S$19:$S$138) * INDEX($U$5:$U$14, O103), 0))</f>
        <v>0</v>
      </c>
      <c r="U103" s="1068">
        <f t="shared" si="10"/>
        <v>0</v>
      </c>
      <c r="V103" s="1068">
        <f t="shared" si="9"/>
        <v>0</v>
      </c>
      <c r="W103" s="1068">
        <f>IF(N103&gt;DEBT!$AH$14, 0, IF(V103=0, 0, IF(N103&lt;=DEBT!$AH$15, V103*DEBT!$AH$12/12, PMT(DEBT!$AH$12/12, DEBT!$AH$13-N103+DEBT!$AH$15+1, -V103))))</f>
        <v>0</v>
      </c>
      <c r="X103" s="1068">
        <f>IF(N103&gt;DEBT!$AH$14, 0, V103*DEBT!$AH$12/12)</f>
        <v>0</v>
      </c>
      <c r="Y103" s="1068">
        <f>IF(N103&gt;INPUTS!$C$26*12, 0, W103-X103)</f>
        <v>0</v>
      </c>
      <c r="Z103" s="1070">
        <f>IF(N103&gt;DEBT!$AH$14, 0, V103-Y103)</f>
        <v>0</v>
      </c>
    </row>
    <row r="104" spans="14:26">
      <c r="N104" s="1071">
        <v>86</v>
      </c>
      <c r="O104" s="1072">
        <v>8</v>
      </c>
      <c r="P104" s="1073">
        <f>IF(AND(N104&gt;=INPUTS!$I$6, N104&lt;=(INPUTS!$I$6+INPUTS!$I$5-1), MOD(N104-INPUTS!$I$6,12)=0), INPUTS!$F$20/CEILING(INPUTS!$I$5/12,1), 0)</f>
        <v>0</v>
      </c>
      <c r="Q104" s="1073">
        <f>IF(AND(N104&gt;=INPUTS!$I$6, N104&lt;=(INPUTS!$I$6+INPUTS!$I$5-1)), INPUTS!$F$20/INPUTS!$I$5, 0)</f>
        <v>0</v>
      </c>
      <c r="R104" s="1074">
        <v>0</v>
      </c>
      <c r="S104" s="1073">
        <f>IF(INPUTS!$I$8="Year Start", P104, IF(INPUTS!$I$8="Even Distribution", Q104, R104))</f>
        <v>0</v>
      </c>
      <c r="T104" s="1073" cm="1">
        <f t="array" ref="T104">IF(INPUTS!$C$24&lt;&gt;"Yes", 0, IFERROR(S104 / SUMPRODUCT(($O$19:$O$138=O104)*$S$19:$S$138) * INDEX($U$5:$U$14, O104), 0))</f>
        <v>0</v>
      </c>
      <c r="U104" s="1073">
        <f t="shared" si="10"/>
        <v>0</v>
      </c>
      <c r="V104" s="1073">
        <f t="shared" si="9"/>
        <v>0</v>
      </c>
      <c r="W104" s="1073">
        <f>IF(N104&gt;DEBT!$AH$14, 0, IF(V104=0, 0, IF(N104&lt;=DEBT!$AH$15, V104*DEBT!$AH$12/12, PMT(DEBT!$AH$12/12, DEBT!$AH$13-N104+DEBT!$AH$15+1, -V104))))</f>
        <v>0</v>
      </c>
      <c r="X104" s="1073">
        <f>IF(N104&gt;DEBT!$AH$14, 0, V104*DEBT!$AH$12/12)</f>
        <v>0</v>
      </c>
      <c r="Y104" s="1073">
        <f>IF(N104&gt;INPUTS!$C$26*12, 0, W104-X104)</f>
        <v>0</v>
      </c>
      <c r="Z104" s="1075">
        <f>IF(N104&gt;DEBT!$AH$14, 0, V104-Y104)</f>
        <v>0</v>
      </c>
    </row>
    <row r="105" spans="14:26">
      <c r="N105" s="1066">
        <v>87</v>
      </c>
      <c r="O105" s="1067">
        <v>8</v>
      </c>
      <c r="P105" s="1068">
        <f>IF(AND(N105&gt;=INPUTS!$I$6, N105&lt;=(INPUTS!$I$6+INPUTS!$I$5-1), MOD(N105-INPUTS!$I$6,12)=0), INPUTS!$F$20/CEILING(INPUTS!$I$5/12,1), 0)</f>
        <v>0</v>
      </c>
      <c r="Q105" s="1068">
        <f>IF(AND(N105&gt;=INPUTS!$I$6, N105&lt;=(INPUTS!$I$6+INPUTS!$I$5-1)), INPUTS!$F$20/INPUTS!$I$5, 0)</f>
        <v>0</v>
      </c>
      <c r="R105" s="1069">
        <v>0</v>
      </c>
      <c r="S105" s="1068">
        <f>IF(INPUTS!$I$8="Year Start", P105, IF(INPUTS!$I$8="Even Distribution", Q105, R105))</f>
        <v>0</v>
      </c>
      <c r="T105" s="1068" cm="1">
        <f t="array" ref="T105">IF(INPUTS!$C$24&lt;&gt;"Yes", 0, IFERROR(S105 / SUMPRODUCT(($O$19:$O$138=O105)*$S$19:$S$138) * INDEX($U$5:$U$14, O105), 0))</f>
        <v>0</v>
      </c>
      <c r="U105" s="1068">
        <f t="shared" si="10"/>
        <v>0</v>
      </c>
      <c r="V105" s="1068">
        <f t="shared" si="9"/>
        <v>0</v>
      </c>
      <c r="W105" s="1068">
        <f>IF(N105&gt;DEBT!$AH$14, 0, IF(V105=0, 0, IF(N105&lt;=DEBT!$AH$15, V105*DEBT!$AH$12/12, PMT(DEBT!$AH$12/12, DEBT!$AH$13-N105+DEBT!$AH$15+1, -V105))))</f>
        <v>0</v>
      </c>
      <c r="X105" s="1068">
        <f>IF(N105&gt;DEBT!$AH$14, 0, V105*DEBT!$AH$12/12)</f>
        <v>0</v>
      </c>
      <c r="Y105" s="1068">
        <f>IF(N105&gt;INPUTS!$C$26*12, 0, W105-X105)</f>
        <v>0</v>
      </c>
      <c r="Z105" s="1070">
        <f>IF(N105&gt;DEBT!$AH$14, 0, V105-Y105)</f>
        <v>0</v>
      </c>
    </row>
    <row r="106" spans="14:26">
      <c r="N106" s="1071">
        <v>88</v>
      </c>
      <c r="O106" s="1072">
        <v>8</v>
      </c>
      <c r="P106" s="1073">
        <f>IF(AND(N106&gt;=INPUTS!$I$6, N106&lt;=(INPUTS!$I$6+INPUTS!$I$5-1), MOD(N106-INPUTS!$I$6,12)=0), INPUTS!$F$20/CEILING(INPUTS!$I$5/12,1), 0)</f>
        <v>0</v>
      </c>
      <c r="Q106" s="1073">
        <f>IF(AND(N106&gt;=INPUTS!$I$6, N106&lt;=(INPUTS!$I$6+INPUTS!$I$5-1)), INPUTS!$F$20/INPUTS!$I$5, 0)</f>
        <v>0</v>
      </c>
      <c r="R106" s="1074">
        <v>0</v>
      </c>
      <c r="S106" s="1073">
        <f>IF(INPUTS!$I$8="Year Start", P106, IF(INPUTS!$I$8="Even Distribution", Q106, R106))</f>
        <v>0</v>
      </c>
      <c r="T106" s="1073" cm="1">
        <f t="array" ref="T106">IF(INPUTS!$C$24&lt;&gt;"Yes", 0, IFERROR(S106 / SUMPRODUCT(($O$19:$O$138=O106)*$S$19:$S$138) * INDEX($U$5:$U$14, O106), 0))</f>
        <v>0</v>
      </c>
      <c r="U106" s="1073">
        <f t="shared" si="10"/>
        <v>0</v>
      </c>
      <c r="V106" s="1073">
        <f t="shared" si="9"/>
        <v>0</v>
      </c>
      <c r="W106" s="1073">
        <f>IF(N106&gt;DEBT!$AH$14, 0, IF(V106=0, 0, IF(N106&lt;=DEBT!$AH$15, V106*DEBT!$AH$12/12, PMT(DEBT!$AH$12/12, DEBT!$AH$13-N106+DEBT!$AH$15+1, -V106))))</f>
        <v>0</v>
      </c>
      <c r="X106" s="1073">
        <f>IF(N106&gt;DEBT!$AH$14, 0, V106*DEBT!$AH$12/12)</f>
        <v>0</v>
      </c>
      <c r="Y106" s="1073">
        <f>IF(N106&gt;INPUTS!$C$26*12, 0, W106-X106)</f>
        <v>0</v>
      </c>
      <c r="Z106" s="1075">
        <f>IF(N106&gt;DEBT!$AH$14, 0, V106-Y106)</f>
        <v>0</v>
      </c>
    </row>
    <row r="107" spans="14:26">
      <c r="N107" s="1066">
        <v>89</v>
      </c>
      <c r="O107" s="1067">
        <v>8</v>
      </c>
      <c r="P107" s="1068">
        <f>IF(AND(N107&gt;=INPUTS!$I$6, N107&lt;=(INPUTS!$I$6+INPUTS!$I$5-1), MOD(N107-INPUTS!$I$6,12)=0), INPUTS!$F$20/CEILING(INPUTS!$I$5/12,1), 0)</f>
        <v>0</v>
      </c>
      <c r="Q107" s="1068">
        <f>IF(AND(N107&gt;=INPUTS!$I$6, N107&lt;=(INPUTS!$I$6+INPUTS!$I$5-1)), INPUTS!$F$20/INPUTS!$I$5, 0)</f>
        <v>0</v>
      </c>
      <c r="R107" s="1069">
        <v>0</v>
      </c>
      <c r="S107" s="1068">
        <f>IF(INPUTS!$I$8="Year Start", P107, IF(INPUTS!$I$8="Even Distribution", Q107, R107))</f>
        <v>0</v>
      </c>
      <c r="T107" s="1068" cm="1">
        <f t="array" ref="T107">IF(INPUTS!$C$24&lt;&gt;"Yes", 0, IFERROR(S107 / SUMPRODUCT(($O$19:$O$138=O107)*$S$19:$S$138) * INDEX($U$5:$U$14, O107), 0))</f>
        <v>0</v>
      </c>
      <c r="U107" s="1068">
        <f t="shared" si="10"/>
        <v>0</v>
      </c>
      <c r="V107" s="1068">
        <f t="shared" si="9"/>
        <v>0</v>
      </c>
      <c r="W107" s="1068">
        <f>IF(N107&gt;DEBT!$AH$14, 0, IF(V107=0, 0, IF(N107&lt;=DEBT!$AH$15, V107*DEBT!$AH$12/12, PMT(DEBT!$AH$12/12, DEBT!$AH$13-N107+DEBT!$AH$15+1, -V107))))</f>
        <v>0</v>
      </c>
      <c r="X107" s="1068">
        <f>IF(N107&gt;DEBT!$AH$14, 0, V107*DEBT!$AH$12/12)</f>
        <v>0</v>
      </c>
      <c r="Y107" s="1068">
        <f>IF(N107&gt;INPUTS!$C$26*12, 0, W107-X107)</f>
        <v>0</v>
      </c>
      <c r="Z107" s="1070">
        <f>IF(N107&gt;DEBT!$AH$14, 0, V107-Y107)</f>
        <v>0</v>
      </c>
    </row>
    <row r="108" spans="14:26">
      <c r="N108" s="1071">
        <v>90</v>
      </c>
      <c r="O108" s="1072">
        <v>8</v>
      </c>
      <c r="P108" s="1073">
        <f>IF(AND(N108&gt;=INPUTS!$I$6, N108&lt;=(INPUTS!$I$6+INPUTS!$I$5-1), MOD(N108-INPUTS!$I$6,12)=0), INPUTS!$F$20/CEILING(INPUTS!$I$5/12,1), 0)</f>
        <v>0</v>
      </c>
      <c r="Q108" s="1073">
        <f>IF(AND(N108&gt;=INPUTS!$I$6, N108&lt;=(INPUTS!$I$6+INPUTS!$I$5-1)), INPUTS!$F$20/INPUTS!$I$5, 0)</f>
        <v>0</v>
      </c>
      <c r="R108" s="1074">
        <v>0</v>
      </c>
      <c r="S108" s="1073">
        <f>IF(INPUTS!$I$8="Year Start", P108, IF(INPUTS!$I$8="Even Distribution", Q108, R108))</f>
        <v>0</v>
      </c>
      <c r="T108" s="1073" cm="1">
        <f t="array" ref="T108">IF(INPUTS!$C$24&lt;&gt;"Yes", 0, IFERROR(S108 / SUMPRODUCT(($O$19:$O$138=O108)*$S$19:$S$138) * INDEX($U$5:$U$14, O108), 0))</f>
        <v>0</v>
      </c>
      <c r="U108" s="1073">
        <f t="shared" si="10"/>
        <v>0</v>
      </c>
      <c r="V108" s="1073">
        <f t="shared" si="9"/>
        <v>0</v>
      </c>
      <c r="W108" s="1073">
        <f>IF(N108&gt;DEBT!$AH$14, 0, IF(V108=0, 0, IF(N108&lt;=DEBT!$AH$15, V108*DEBT!$AH$12/12, PMT(DEBT!$AH$12/12, DEBT!$AH$13-N108+DEBT!$AH$15+1, -V108))))</f>
        <v>0</v>
      </c>
      <c r="X108" s="1073">
        <f>IF(N108&gt;DEBT!$AH$14, 0, V108*DEBT!$AH$12/12)</f>
        <v>0</v>
      </c>
      <c r="Y108" s="1073">
        <f>IF(N108&gt;INPUTS!$C$26*12, 0, W108-X108)</f>
        <v>0</v>
      </c>
      <c r="Z108" s="1075">
        <f>IF(N108&gt;DEBT!$AH$14, 0, V108-Y108)</f>
        <v>0</v>
      </c>
    </row>
    <row r="109" spans="14:26">
      <c r="N109" s="1066">
        <v>91</v>
      </c>
      <c r="O109" s="1067">
        <v>8</v>
      </c>
      <c r="P109" s="1068">
        <f>IF(AND(N109&gt;=INPUTS!$I$6, N109&lt;=(INPUTS!$I$6+INPUTS!$I$5-1), MOD(N109-INPUTS!$I$6,12)=0), INPUTS!$F$20/CEILING(INPUTS!$I$5/12,1), 0)</f>
        <v>0</v>
      </c>
      <c r="Q109" s="1068">
        <f>IF(AND(N109&gt;=INPUTS!$I$6, N109&lt;=(INPUTS!$I$6+INPUTS!$I$5-1)), INPUTS!$F$20/INPUTS!$I$5, 0)</f>
        <v>0</v>
      </c>
      <c r="R109" s="1069">
        <v>0</v>
      </c>
      <c r="S109" s="1068">
        <f>IF(INPUTS!$I$8="Year Start", P109, IF(INPUTS!$I$8="Even Distribution", Q109, R109))</f>
        <v>0</v>
      </c>
      <c r="T109" s="1068" cm="1">
        <f t="array" ref="T109">IF(INPUTS!$C$24&lt;&gt;"Yes", 0, IFERROR(S109 / SUMPRODUCT(($O$19:$O$138=O109)*$S$19:$S$138) * INDEX($U$5:$U$14, O109), 0))</f>
        <v>0</v>
      </c>
      <c r="U109" s="1068">
        <f t="shared" si="10"/>
        <v>0</v>
      </c>
      <c r="V109" s="1068">
        <f t="shared" si="9"/>
        <v>0</v>
      </c>
      <c r="W109" s="1068">
        <f>IF(N109&gt;DEBT!$AH$14, 0, IF(V109=0, 0, IF(N109&lt;=DEBT!$AH$15, V109*DEBT!$AH$12/12, PMT(DEBT!$AH$12/12, DEBT!$AH$13-N109+DEBT!$AH$15+1, -V109))))</f>
        <v>0</v>
      </c>
      <c r="X109" s="1068">
        <f>IF(N109&gt;DEBT!$AH$14, 0, V109*DEBT!$AH$12/12)</f>
        <v>0</v>
      </c>
      <c r="Y109" s="1068">
        <f>IF(N109&gt;INPUTS!$C$26*12, 0, W109-X109)</f>
        <v>0</v>
      </c>
      <c r="Z109" s="1070">
        <f>IF(N109&gt;DEBT!$AH$14, 0, V109-Y109)</f>
        <v>0</v>
      </c>
    </row>
    <row r="110" spans="14:26">
      <c r="N110" s="1071">
        <v>92</v>
      </c>
      <c r="O110" s="1072">
        <v>8</v>
      </c>
      <c r="P110" s="1073">
        <f>IF(AND(N110&gt;=INPUTS!$I$6, N110&lt;=(INPUTS!$I$6+INPUTS!$I$5-1), MOD(N110-INPUTS!$I$6,12)=0), INPUTS!$F$20/CEILING(INPUTS!$I$5/12,1), 0)</f>
        <v>0</v>
      </c>
      <c r="Q110" s="1073">
        <f>IF(AND(N110&gt;=INPUTS!$I$6, N110&lt;=(INPUTS!$I$6+INPUTS!$I$5-1)), INPUTS!$F$20/INPUTS!$I$5, 0)</f>
        <v>0</v>
      </c>
      <c r="R110" s="1074">
        <v>0</v>
      </c>
      <c r="S110" s="1073">
        <f>IF(INPUTS!$I$8="Year Start", P110, IF(INPUTS!$I$8="Even Distribution", Q110, R110))</f>
        <v>0</v>
      </c>
      <c r="T110" s="1073" cm="1">
        <f t="array" ref="T110">IF(INPUTS!$C$24&lt;&gt;"Yes", 0, IFERROR(S110 / SUMPRODUCT(($O$19:$O$138=O110)*$S$19:$S$138) * INDEX($U$5:$U$14, O110), 0))</f>
        <v>0</v>
      </c>
      <c r="U110" s="1073">
        <f t="shared" si="10"/>
        <v>0</v>
      </c>
      <c r="V110" s="1073">
        <f t="shared" si="9"/>
        <v>0</v>
      </c>
      <c r="W110" s="1073">
        <f>IF(N110&gt;DEBT!$AH$14, 0, IF(V110=0, 0, IF(N110&lt;=DEBT!$AH$15, V110*DEBT!$AH$12/12, PMT(DEBT!$AH$12/12, DEBT!$AH$13-N110+DEBT!$AH$15+1, -V110))))</f>
        <v>0</v>
      </c>
      <c r="X110" s="1073">
        <f>IF(N110&gt;DEBT!$AH$14, 0, V110*DEBT!$AH$12/12)</f>
        <v>0</v>
      </c>
      <c r="Y110" s="1073">
        <f>IF(N110&gt;INPUTS!$C$26*12, 0, W110-X110)</f>
        <v>0</v>
      </c>
      <c r="Z110" s="1075">
        <f>IF(N110&gt;DEBT!$AH$14, 0, V110-Y110)</f>
        <v>0</v>
      </c>
    </row>
    <row r="111" spans="14:26">
      <c r="N111" s="1066">
        <v>93</v>
      </c>
      <c r="O111" s="1067">
        <v>8</v>
      </c>
      <c r="P111" s="1068">
        <f>IF(AND(N111&gt;=INPUTS!$I$6, N111&lt;=(INPUTS!$I$6+INPUTS!$I$5-1), MOD(N111-INPUTS!$I$6,12)=0), INPUTS!$F$20/CEILING(INPUTS!$I$5/12,1), 0)</f>
        <v>0</v>
      </c>
      <c r="Q111" s="1068">
        <f>IF(AND(N111&gt;=INPUTS!$I$6, N111&lt;=(INPUTS!$I$6+INPUTS!$I$5-1)), INPUTS!$F$20/INPUTS!$I$5, 0)</f>
        <v>0</v>
      </c>
      <c r="R111" s="1069">
        <v>0</v>
      </c>
      <c r="S111" s="1068">
        <f>IF(INPUTS!$I$8="Year Start", P111, IF(INPUTS!$I$8="Even Distribution", Q111, R111))</f>
        <v>0</v>
      </c>
      <c r="T111" s="1068" cm="1">
        <f t="array" ref="T111">IF(INPUTS!$C$24&lt;&gt;"Yes", 0, IFERROR(S111 / SUMPRODUCT(($O$19:$O$138=O111)*$S$19:$S$138) * INDEX($U$5:$U$14, O111), 0))</f>
        <v>0</v>
      </c>
      <c r="U111" s="1068">
        <f t="shared" si="10"/>
        <v>0</v>
      </c>
      <c r="V111" s="1068">
        <f t="shared" si="9"/>
        <v>0</v>
      </c>
      <c r="W111" s="1068">
        <f>IF(N111&gt;DEBT!$AH$14, 0, IF(V111=0, 0, IF(N111&lt;=DEBT!$AH$15, V111*DEBT!$AH$12/12, PMT(DEBT!$AH$12/12, DEBT!$AH$13-N111+DEBT!$AH$15+1, -V111))))</f>
        <v>0</v>
      </c>
      <c r="X111" s="1068">
        <f>IF(N111&gt;DEBT!$AH$14, 0, V111*DEBT!$AH$12/12)</f>
        <v>0</v>
      </c>
      <c r="Y111" s="1068">
        <f>IF(N111&gt;INPUTS!$C$26*12, 0, W111-X111)</f>
        <v>0</v>
      </c>
      <c r="Z111" s="1070">
        <f>IF(N111&gt;DEBT!$AH$14, 0, V111-Y111)</f>
        <v>0</v>
      </c>
    </row>
    <row r="112" spans="14:26">
      <c r="N112" s="1071">
        <v>94</v>
      </c>
      <c r="O112" s="1072">
        <v>8</v>
      </c>
      <c r="P112" s="1073">
        <f>IF(AND(N112&gt;=INPUTS!$I$6, N112&lt;=(INPUTS!$I$6+INPUTS!$I$5-1), MOD(N112-INPUTS!$I$6,12)=0), INPUTS!$F$20/CEILING(INPUTS!$I$5/12,1), 0)</f>
        <v>0</v>
      </c>
      <c r="Q112" s="1073">
        <f>IF(AND(N112&gt;=INPUTS!$I$6, N112&lt;=(INPUTS!$I$6+INPUTS!$I$5-1)), INPUTS!$F$20/INPUTS!$I$5, 0)</f>
        <v>0</v>
      </c>
      <c r="R112" s="1074">
        <v>0</v>
      </c>
      <c r="S112" s="1073">
        <f>IF(INPUTS!$I$8="Year Start", P112, IF(INPUTS!$I$8="Even Distribution", Q112, R112))</f>
        <v>0</v>
      </c>
      <c r="T112" s="1073" cm="1">
        <f t="array" ref="T112">IF(INPUTS!$C$24&lt;&gt;"Yes", 0, IFERROR(S112 / SUMPRODUCT(($O$19:$O$138=O112)*$S$19:$S$138) * INDEX($U$5:$U$14, O112), 0))</f>
        <v>0</v>
      </c>
      <c r="U112" s="1073">
        <f t="shared" si="10"/>
        <v>0</v>
      </c>
      <c r="V112" s="1073">
        <f t="shared" si="9"/>
        <v>0</v>
      </c>
      <c r="W112" s="1073">
        <f>IF(N112&gt;DEBT!$AH$14, 0, IF(V112=0, 0, IF(N112&lt;=DEBT!$AH$15, V112*DEBT!$AH$12/12, PMT(DEBT!$AH$12/12, DEBT!$AH$13-N112+DEBT!$AH$15+1, -V112))))</f>
        <v>0</v>
      </c>
      <c r="X112" s="1073">
        <f>IF(N112&gt;DEBT!$AH$14, 0, V112*DEBT!$AH$12/12)</f>
        <v>0</v>
      </c>
      <c r="Y112" s="1073">
        <f>IF(N112&gt;INPUTS!$C$26*12, 0, W112-X112)</f>
        <v>0</v>
      </c>
      <c r="Z112" s="1075">
        <f>IF(N112&gt;DEBT!$AH$14, 0, V112-Y112)</f>
        <v>0</v>
      </c>
    </row>
    <row r="113" spans="14:26">
      <c r="N113" s="1066">
        <v>95</v>
      </c>
      <c r="O113" s="1067">
        <v>8</v>
      </c>
      <c r="P113" s="1068">
        <f>IF(AND(N113&gt;=INPUTS!$I$6, N113&lt;=(INPUTS!$I$6+INPUTS!$I$5-1), MOD(N113-INPUTS!$I$6,12)=0), INPUTS!$F$20/CEILING(INPUTS!$I$5/12,1), 0)</f>
        <v>0</v>
      </c>
      <c r="Q113" s="1068">
        <f>IF(AND(N113&gt;=INPUTS!$I$6, N113&lt;=(INPUTS!$I$6+INPUTS!$I$5-1)), INPUTS!$F$20/INPUTS!$I$5, 0)</f>
        <v>0</v>
      </c>
      <c r="R113" s="1069">
        <v>0</v>
      </c>
      <c r="S113" s="1068">
        <f>IF(INPUTS!$I$8="Year Start", P113, IF(INPUTS!$I$8="Even Distribution", Q113, R113))</f>
        <v>0</v>
      </c>
      <c r="T113" s="1068" cm="1">
        <f t="array" ref="T113">IF(INPUTS!$C$24&lt;&gt;"Yes", 0, IFERROR(S113 / SUMPRODUCT(($O$19:$O$138=O113)*$S$19:$S$138) * INDEX($U$5:$U$14, O113), 0))</f>
        <v>0</v>
      </c>
      <c r="U113" s="1068">
        <f t="shared" si="10"/>
        <v>0</v>
      </c>
      <c r="V113" s="1068">
        <f t="shared" si="9"/>
        <v>0</v>
      </c>
      <c r="W113" s="1068">
        <f>IF(N113&gt;DEBT!$AH$14, 0, IF(V113=0, 0, IF(N113&lt;=DEBT!$AH$15, V113*DEBT!$AH$12/12, PMT(DEBT!$AH$12/12, DEBT!$AH$13-N113+DEBT!$AH$15+1, -V113))))</f>
        <v>0</v>
      </c>
      <c r="X113" s="1068">
        <f>IF(N113&gt;DEBT!$AH$14, 0, V113*DEBT!$AH$12/12)</f>
        <v>0</v>
      </c>
      <c r="Y113" s="1068">
        <f>IF(N113&gt;INPUTS!$C$26*12, 0, W113-X113)</f>
        <v>0</v>
      </c>
      <c r="Z113" s="1070">
        <f>IF(N113&gt;DEBT!$AH$14, 0, V113-Y113)</f>
        <v>0</v>
      </c>
    </row>
    <row r="114" spans="14:26">
      <c r="N114" s="1071">
        <v>96</v>
      </c>
      <c r="O114" s="1072">
        <v>8</v>
      </c>
      <c r="P114" s="1073">
        <f>IF(AND(N114&gt;=INPUTS!$I$6, N114&lt;=(INPUTS!$I$6+INPUTS!$I$5-1), MOD(N114-INPUTS!$I$6,12)=0), INPUTS!$F$20/CEILING(INPUTS!$I$5/12,1), 0)</f>
        <v>0</v>
      </c>
      <c r="Q114" s="1073">
        <f>IF(AND(N114&gt;=INPUTS!$I$6, N114&lt;=(INPUTS!$I$6+INPUTS!$I$5-1)), INPUTS!$F$20/INPUTS!$I$5, 0)</f>
        <v>0</v>
      </c>
      <c r="R114" s="1074">
        <v>0</v>
      </c>
      <c r="S114" s="1073">
        <f>IF(INPUTS!$I$8="Year Start", P114, IF(INPUTS!$I$8="Even Distribution", Q114, R114))</f>
        <v>0</v>
      </c>
      <c r="T114" s="1073" cm="1">
        <f t="array" ref="T114">IF(INPUTS!$C$24&lt;&gt;"Yes", 0, IFERROR(S114 / SUMPRODUCT(($O$19:$O$138=O114)*$S$19:$S$138) * INDEX($U$5:$U$14, O114), 0))</f>
        <v>0</v>
      </c>
      <c r="U114" s="1073">
        <f t="shared" si="10"/>
        <v>0</v>
      </c>
      <c r="V114" s="1073">
        <f t="shared" si="9"/>
        <v>0</v>
      </c>
      <c r="W114" s="1073">
        <f>IF(N114&gt;DEBT!$AH$14, 0, IF(V114=0, 0, IF(N114&lt;=DEBT!$AH$15, V114*DEBT!$AH$12/12, PMT(DEBT!$AH$12/12, DEBT!$AH$13-N114+DEBT!$AH$15+1, -V114))))</f>
        <v>0</v>
      </c>
      <c r="X114" s="1073">
        <f>IF(N114&gt;DEBT!$AH$14, 0, V114*DEBT!$AH$12/12)</f>
        <v>0</v>
      </c>
      <c r="Y114" s="1073">
        <f>IF(N114&gt;INPUTS!$C$26*12, 0, W114-X114)</f>
        <v>0</v>
      </c>
      <c r="Z114" s="1075">
        <f>IF(N114&gt;DEBT!$AH$14, 0, V114-Y114)</f>
        <v>0</v>
      </c>
    </row>
    <row r="115" spans="14:26">
      <c r="N115" s="1066">
        <v>97</v>
      </c>
      <c r="O115" s="1067">
        <v>9</v>
      </c>
      <c r="P115" s="1068">
        <f>IF(AND(N115&gt;=INPUTS!$I$6, N115&lt;=(INPUTS!$I$6+INPUTS!$I$5-1), MOD(N115-INPUTS!$I$6,12)=0), INPUTS!$F$20/CEILING(INPUTS!$I$5/12,1), 0)</f>
        <v>0</v>
      </c>
      <c r="Q115" s="1068">
        <f>IF(AND(N115&gt;=INPUTS!$I$6, N115&lt;=(INPUTS!$I$6+INPUTS!$I$5-1)), INPUTS!$F$20/INPUTS!$I$5, 0)</f>
        <v>0</v>
      </c>
      <c r="R115" s="1069">
        <v>0</v>
      </c>
      <c r="S115" s="1068">
        <f>IF(INPUTS!$I$8="Year Start", P115, IF(INPUTS!$I$8="Even Distribution", Q115, R115))</f>
        <v>0</v>
      </c>
      <c r="T115" s="1068" cm="1">
        <f t="array" ref="T115">IF(INPUTS!$C$24&lt;&gt;"Yes", 0, IFERROR(S115 / SUMPRODUCT(($O$19:$O$138=O115)*$S$19:$S$138) * INDEX($U$5:$U$14, O115), 0))</f>
        <v>0</v>
      </c>
      <c r="U115" s="1068">
        <f t="shared" si="10"/>
        <v>0</v>
      </c>
      <c r="V115" s="1068">
        <f t="shared" si="9"/>
        <v>0</v>
      </c>
      <c r="W115" s="1068">
        <f>IF(N115&gt;DEBT!$AH$14, 0, IF(V115=0, 0, IF(N115&lt;=DEBT!$AH$15, V115*DEBT!$AH$12/12, PMT(DEBT!$AH$12/12, DEBT!$AH$13-N115+DEBT!$AH$15+1, -V115))))</f>
        <v>0</v>
      </c>
      <c r="X115" s="1068">
        <f>IF(N115&gt;DEBT!$AH$14, 0, V115*DEBT!$AH$12/12)</f>
        <v>0</v>
      </c>
      <c r="Y115" s="1068">
        <f>IF(N115&gt;INPUTS!$C$26*12, 0, W115-X115)</f>
        <v>0</v>
      </c>
      <c r="Z115" s="1070">
        <f>IF(N115&gt;DEBT!$AH$14, 0, V115-Y115)</f>
        <v>0</v>
      </c>
    </row>
    <row r="116" spans="14:26">
      <c r="N116" s="1071">
        <v>98</v>
      </c>
      <c r="O116" s="1072">
        <v>9</v>
      </c>
      <c r="P116" s="1073">
        <f>IF(AND(N116&gt;=INPUTS!$I$6, N116&lt;=(INPUTS!$I$6+INPUTS!$I$5-1), MOD(N116-INPUTS!$I$6,12)=0), INPUTS!$F$20/CEILING(INPUTS!$I$5/12,1), 0)</f>
        <v>0</v>
      </c>
      <c r="Q116" s="1073">
        <f>IF(AND(N116&gt;=INPUTS!$I$6, N116&lt;=(INPUTS!$I$6+INPUTS!$I$5-1)), INPUTS!$F$20/INPUTS!$I$5, 0)</f>
        <v>0</v>
      </c>
      <c r="R116" s="1074">
        <v>0</v>
      </c>
      <c r="S116" s="1073">
        <f>IF(INPUTS!$I$8="Year Start", P116, IF(INPUTS!$I$8="Even Distribution", Q116, R116))</f>
        <v>0</v>
      </c>
      <c r="T116" s="1073" cm="1">
        <f t="array" ref="T116">IF(INPUTS!$C$24&lt;&gt;"Yes", 0, IFERROR(S116 / SUMPRODUCT(($O$19:$O$138=O116)*$S$19:$S$138) * INDEX($U$5:$U$14, O116), 0))</f>
        <v>0</v>
      </c>
      <c r="U116" s="1073">
        <f t="shared" si="10"/>
        <v>0</v>
      </c>
      <c r="V116" s="1073">
        <f t="shared" si="9"/>
        <v>0</v>
      </c>
      <c r="W116" s="1073">
        <f>IF(N116&gt;DEBT!$AH$14, 0, IF(V116=0, 0, IF(N116&lt;=DEBT!$AH$15, V116*DEBT!$AH$12/12, PMT(DEBT!$AH$12/12, DEBT!$AH$13-N116+DEBT!$AH$15+1, -V116))))</f>
        <v>0</v>
      </c>
      <c r="X116" s="1073">
        <f>IF(N116&gt;DEBT!$AH$14, 0, V116*DEBT!$AH$12/12)</f>
        <v>0</v>
      </c>
      <c r="Y116" s="1073">
        <f>IF(N116&gt;INPUTS!$C$26*12, 0, W116-X116)</f>
        <v>0</v>
      </c>
      <c r="Z116" s="1075">
        <f>IF(N116&gt;DEBT!$AH$14, 0, V116-Y116)</f>
        <v>0</v>
      </c>
    </row>
    <row r="117" spans="14:26">
      <c r="N117" s="1066">
        <v>99</v>
      </c>
      <c r="O117" s="1067">
        <v>9</v>
      </c>
      <c r="P117" s="1068">
        <f>IF(AND(N117&gt;=INPUTS!$I$6, N117&lt;=(INPUTS!$I$6+INPUTS!$I$5-1), MOD(N117-INPUTS!$I$6,12)=0), INPUTS!$F$20/CEILING(INPUTS!$I$5/12,1), 0)</f>
        <v>0</v>
      </c>
      <c r="Q117" s="1068">
        <f>IF(AND(N117&gt;=INPUTS!$I$6, N117&lt;=(INPUTS!$I$6+INPUTS!$I$5-1)), INPUTS!$F$20/INPUTS!$I$5, 0)</f>
        <v>0</v>
      </c>
      <c r="R117" s="1069">
        <v>0</v>
      </c>
      <c r="S117" s="1068">
        <f>IF(INPUTS!$I$8="Year Start", P117, IF(INPUTS!$I$8="Even Distribution", Q117, R117))</f>
        <v>0</v>
      </c>
      <c r="T117" s="1068" cm="1">
        <f t="array" ref="T117">IF(INPUTS!$C$24&lt;&gt;"Yes", 0, IFERROR(S117 / SUMPRODUCT(($O$19:$O$138=O117)*$S$19:$S$138) * INDEX($U$5:$U$14, O117), 0))</f>
        <v>0</v>
      </c>
      <c r="U117" s="1068">
        <f t="shared" si="10"/>
        <v>0</v>
      </c>
      <c r="V117" s="1068">
        <f t="shared" si="9"/>
        <v>0</v>
      </c>
      <c r="W117" s="1068">
        <f>IF(N117&gt;DEBT!$AH$14, 0, IF(V117=0, 0, IF(N117&lt;=DEBT!$AH$15, V117*DEBT!$AH$12/12, PMT(DEBT!$AH$12/12, DEBT!$AH$13-N117+DEBT!$AH$15+1, -V117))))</f>
        <v>0</v>
      </c>
      <c r="X117" s="1068">
        <f>IF(N117&gt;DEBT!$AH$14, 0, V117*DEBT!$AH$12/12)</f>
        <v>0</v>
      </c>
      <c r="Y117" s="1068">
        <f>IF(N117&gt;INPUTS!$C$26*12, 0, W117-X117)</f>
        <v>0</v>
      </c>
      <c r="Z117" s="1070">
        <f>IF(N117&gt;DEBT!$AH$14, 0, V117-Y117)</f>
        <v>0</v>
      </c>
    </row>
    <row r="118" spans="14:26">
      <c r="N118" s="1071">
        <v>100</v>
      </c>
      <c r="O118" s="1072">
        <v>9</v>
      </c>
      <c r="P118" s="1073">
        <f>IF(AND(N118&gt;=INPUTS!$I$6, N118&lt;=(INPUTS!$I$6+INPUTS!$I$5-1), MOD(N118-INPUTS!$I$6,12)=0), INPUTS!$F$20/CEILING(INPUTS!$I$5/12,1), 0)</f>
        <v>0</v>
      </c>
      <c r="Q118" s="1073">
        <f>IF(AND(N118&gt;=INPUTS!$I$6, N118&lt;=(INPUTS!$I$6+INPUTS!$I$5-1)), INPUTS!$F$20/INPUTS!$I$5, 0)</f>
        <v>0</v>
      </c>
      <c r="R118" s="1074">
        <v>0</v>
      </c>
      <c r="S118" s="1073">
        <f>IF(INPUTS!$I$8="Year Start", P118, IF(INPUTS!$I$8="Even Distribution", Q118, R118))</f>
        <v>0</v>
      </c>
      <c r="T118" s="1073" cm="1">
        <f t="array" ref="T118">IF(INPUTS!$C$24&lt;&gt;"Yes", 0, IFERROR(S118 / SUMPRODUCT(($O$19:$O$138=O118)*$S$19:$S$138) * INDEX($U$5:$U$14, O118), 0))</f>
        <v>0</v>
      </c>
      <c r="U118" s="1073">
        <f t="shared" si="10"/>
        <v>0</v>
      </c>
      <c r="V118" s="1073">
        <f t="shared" si="9"/>
        <v>0</v>
      </c>
      <c r="W118" s="1073">
        <f>IF(N118&gt;DEBT!$AH$14, 0, IF(V118=0, 0, IF(N118&lt;=DEBT!$AH$15, V118*DEBT!$AH$12/12, PMT(DEBT!$AH$12/12, DEBT!$AH$13-N118+DEBT!$AH$15+1, -V118))))</f>
        <v>0</v>
      </c>
      <c r="X118" s="1073">
        <f>IF(N118&gt;DEBT!$AH$14, 0, V118*DEBT!$AH$12/12)</f>
        <v>0</v>
      </c>
      <c r="Y118" s="1073">
        <f>IF(N118&gt;INPUTS!$C$26*12, 0, W118-X118)</f>
        <v>0</v>
      </c>
      <c r="Z118" s="1075">
        <f>IF(N118&gt;DEBT!$AH$14, 0, V118-Y118)</f>
        <v>0</v>
      </c>
    </row>
    <row r="119" spans="14:26">
      <c r="N119" s="1066">
        <v>101</v>
      </c>
      <c r="O119" s="1067">
        <v>9</v>
      </c>
      <c r="P119" s="1068">
        <f>IF(AND(N119&gt;=INPUTS!$I$6, N119&lt;=(INPUTS!$I$6+INPUTS!$I$5-1), MOD(N119-INPUTS!$I$6,12)=0), INPUTS!$F$20/CEILING(INPUTS!$I$5/12,1), 0)</f>
        <v>0</v>
      </c>
      <c r="Q119" s="1068">
        <f>IF(AND(N119&gt;=INPUTS!$I$6, N119&lt;=(INPUTS!$I$6+INPUTS!$I$5-1)), INPUTS!$F$20/INPUTS!$I$5, 0)</f>
        <v>0</v>
      </c>
      <c r="R119" s="1069">
        <v>0</v>
      </c>
      <c r="S119" s="1068">
        <f>IF(INPUTS!$I$8="Year Start", P119, IF(INPUTS!$I$8="Even Distribution", Q119, R119))</f>
        <v>0</v>
      </c>
      <c r="T119" s="1068" cm="1">
        <f t="array" ref="T119">IF(INPUTS!$C$24&lt;&gt;"Yes", 0, IFERROR(S119 / SUMPRODUCT(($O$19:$O$138=O119)*$S$19:$S$138) * INDEX($U$5:$U$14, O119), 0))</f>
        <v>0</v>
      </c>
      <c r="U119" s="1068">
        <f t="shared" si="10"/>
        <v>0</v>
      </c>
      <c r="V119" s="1068">
        <f t="shared" si="9"/>
        <v>0</v>
      </c>
      <c r="W119" s="1068">
        <f>IF(N119&gt;DEBT!$AH$14, 0, IF(V119=0, 0, IF(N119&lt;=DEBT!$AH$15, V119*DEBT!$AH$12/12, PMT(DEBT!$AH$12/12, DEBT!$AH$13-N119+DEBT!$AH$15+1, -V119))))</f>
        <v>0</v>
      </c>
      <c r="X119" s="1068">
        <f>IF(N119&gt;DEBT!$AH$14, 0, V119*DEBT!$AH$12/12)</f>
        <v>0</v>
      </c>
      <c r="Y119" s="1068">
        <f>IF(N119&gt;INPUTS!$C$26*12, 0, W119-X119)</f>
        <v>0</v>
      </c>
      <c r="Z119" s="1070">
        <f>IF(N119&gt;DEBT!$AH$14, 0, V119-Y119)</f>
        <v>0</v>
      </c>
    </row>
    <row r="120" spans="14:26">
      <c r="N120" s="1071">
        <v>102</v>
      </c>
      <c r="O120" s="1072">
        <v>9</v>
      </c>
      <c r="P120" s="1073">
        <f>IF(AND(N120&gt;=INPUTS!$I$6, N120&lt;=(INPUTS!$I$6+INPUTS!$I$5-1), MOD(N120-INPUTS!$I$6,12)=0), INPUTS!$F$20/CEILING(INPUTS!$I$5/12,1), 0)</f>
        <v>0</v>
      </c>
      <c r="Q120" s="1073">
        <f>IF(AND(N120&gt;=INPUTS!$I$6, N120&lt;=(INPUTS!$I$6+INPUTS!$I$5-1)), INPUTS!$F$20/INPUTS!$I$5, 0)</f>
        <v>0</v>
      </c>
      <c r="R120" s="1074">
        <v>0</v>
      </c>
      <c r="S120" s="1073">
        <f>IF(INPUTS!$I$8="Year Start", P120, IF(INPUTS!$I$8="Even Distribution", Q120, R120))</f>
        <v>0</v>
      </c>
      <c r="T120" s="1073" cm="1">
        <f t="array" ref="T120">IF(INPUTS!$C$24&lt;&gt;"Yes", 0, IFERROR(S120 / SUMPRODUCT(($O$19:$O$138=O120)*$S$19:$S$138) * INDEX($U$5:$U$14, O120), 0))</f>
        <v>0</v>
      </c>
      <c r="U120" s="1073">
        <f t="shared" si="10"/>
        <v>0</v>
      </c>
      <c r="V120" s="1073">
        <f t="shared" si="9"/>
        <v>0</v>
      </c>
      <c r="W120" s="1073">
        <f>IF(N120&gt;DEBT!$AH$14, 0, IF(V120=0, 0, IF(N120&lt;=DEBT!$AH$15, V120*DEBT!$AH$12/12, PMT(DEBT!$AH$12/12, DEBT!$AH$13-N120+DEBT!$AH$15+1, -V120))))</f>
        <v>0</v>
      </c>
      <c r="X120" s="1073">
        <f>IF(N120&gt;DEBT!$AH$14, 0, V120*DEBT!$AH$12/12)</f>
        <v>0</v>
      </c>
      <c r="Y120" s="1073">
        <f>IF(N120&gt;INPUTS!$C$26*12, 0, W120-X120)</f>
        <v>0</v>
      </c>
      <c r="Z120" s="1075">
        <f>IF(N120&gt;DEBT!$AH$14, 0, V120-Y120)</f>
        <v>0</v>
      </c>
    </row>
    <row r="121" spans="14:26">
      <c r="N121" s="1066">
        <v>103</v>
      </c>
      <c r="O121" s="1067">
        <v>9</v>
      </c>
      <c r="P121" s="1068">
        <f>IF(AND(N121&gt;=INPUTS!$I$6, N121&lt;=(INPUTS!$I$6+INPUTS!$I$5-1), MOD(N121-INPUTS!$I$6,12)=0), INPUTS!$F$20/CEILING(INPUTS!$I$5/12,1), 0)</f>
        <v>0</v>
      </c>
      <c r="Q121" s="1068">
        <f>IF(AND(N121&gt;=INPUTS!$I$6, N121&lt;=(INPUTS!$I$6+INPUTS!$I$5-1)), INPUTS!$F$20/INPUTS!$I$5, 0)</f>
        <v>0</v>
      </c>
      <c r="R121" s="1069">
        <v>0</v>
      </c>
      <c r="S121" s="1068">
        <f>IF(INPUTS!$I$8="Year Start", P121, IF(INPUTS!$I$8="Even Distribution", Q121, R121))</f>
        <v>0</v>
      </c>
      <c r="T121" s="1068" cm="1">
        <f t="array" ref="T121">IF(INPUTS!$C$24&lt;&gt;"Yes", 0, IFERROR(S121 / SUMPRODUCT(($O$19:$O$138=O121)*$S$19:$S$138) * INDEX($U$5:$U$14, O121), 0))</f>
        <v>0</v>
      </c>
      <c r="U121" s="1068">
        <f t="shared" si="10"/>
        <v>0</v>
      </c>
      <c r="V121" s="1068">
        <f t="shared" si="9"/>
        <v>0</v>
      </c>
      <c r="W121" s="1068">
        <f>IF(N121&gt;DEBT!$AH$14, 0, IF(V121=0, 0, IF(N121&lt;=DEBT!$AH$15, V121*DEBT!$AH$12/12, PMT(DEBT!$AH$12/12, DEBT!$AH$13-N121+DEBT!$AH$15+1, -V121))))</f>
        <v>0</v>
      </c>
      <c r="X121" s="1068">
        <f>IF(N121&gt;DEBT!$AH$14, 0, V121*DEBT!$AH$12/12)</f>
        <v>0</v>
      </c>
      <c r="Y121" s="1068">
        <f>IF(N121&gt;INPUTS!$C$26*12, 0, W121-X121)</f>
        <v>0</v>
      </c>
      <c r="Z121" s="1070">
        <f>IF(N121&gt;DEBT!$AH$14, 0, V121-Y121)</f>
        <v>0</v>
      </c>
    </row>
    <row r="122" spans="14:26">
      <c r="N122" s="1071">
        <v>104</v>
      </c>
      <c r="O122" s="1072">
        <v>9</v>
      </c>
      <c r="P122" s="1073">
        <f>IF(AND(N122&gt;=INPUTS!$I$6, N122&lt;=(INPUTS!$I$6+INPUTS!$I$5-1), MOD(N122-INPUTS!$I$6,12)=0), INPUTS!$F$20/CEILING(INPUTS!$I$5/12,1), 0)</f>
        <v>0</v>
      </c>
      <c r="Q122" s="1073">
        <f>IF(AND(N122&gt;=INPUTS!$I$6, N122&lt;=(INPUTS!$I$6+INPUTS!$I$5-1)), INPUTS!$F$20/INPUTS!$I$5, 0)</f>
        <v>0</v>
      </c>
      <c r="R122" s="1074">
        <v>0</v>
      </c>
      <c r="S122" s="1073">
        <f>IF(INPUTS!$I$8="Year Start", P122, IF(INPUTS!$I$8="Even Distribution", Q122, R122))</f>
        <v>0</v>
      </c>
      <c r="T122" s="1073" cm="1">
        <f t="array" ref="T122">IF(INPUTS!$C$24&lt;&gt;"Yes", 0, IFERROR(S122 / SUMPRODUCT(($O$19:$O$138=O122)*$S$19:$S$138) * INDEX($U$5:$U$14, O122), 0))</f>
        <v>0</v>
      </c>
      <c r="U122" s="1073">
        <f t="shared" si="10"/>
        <v>0</v>
      </c>
      <c r="V122" s="1073">
        <f t="shared" si="9"/>
        <v>0</v>
      </c>
      <c r="W122" s="1073">
        <f>IF(N122&gt;DEBT!$AH$14, 0, IF(V122=0, 0, IF(N122&lt;=DEBT!$AH$15, V122*DEBT!$AH$12/12, PMT(DEBT!$AH$12/12, DEBT!$AH$13-N122+DEBT!$AH$15+1, -V122))))</f>
        <v>0</v>
      </c>
      <c r="X122" s="1073">
        <f>IF(N122&gt;DEBT!$AH$14, 0, V122*DEBT!$AH$12/12)</f>
        <v>0</v>
      </c>
      <c r="Y122" s="1073">
        <f>IF(N122&gt;INPUTS!$C$26*12, 0, W122-X122)</f>
        <v>0</v>
      </c>
      <c r="Z122" s="1075">
        <f>IF(N122&gt;DEBT!$AH$14, 0, V122-Y122)</f>
        <v>0</v>
      </c>
    </row>
    <row r="123" spans="14:26">
      <c r="N123" s="1066">
        <v>105</v>
      </c>
      <c r="O123" s="1067">
        <v>9</v>
      </c>
      <c r="P123" s="1068">
        <f>IF(AND(N123&gt;=INPUTS!$I$6, N123&lt;=(INPUTS!$I$6+INPUTS!$I$5-1), MOD(N123-INPUTS!$I$6,12)=0), INPUTS!$F$20/CEILING(INPUTS!$I$5/12,1), 0)</f>
        <v>0</v>
      </c>
      <c r="Q123" s="1068">
        <f>IF(AND(N123&gt;=INPUTS!$I$6, N123&lt;=(INPUTS!$I$6+INPUTS!$I$5-1)), INPUTS!$F$20/INPUTS!$I$5, 0)</f>
        <v>0</v>
      </c>
      <c r="R123" s="1069">
        <v>0</v>
      </c>
      <c r="S123" s="1068">
        <f>IF(INPUTS!$I$8="Year Start", P123, IF(INPUTS!$I$8="Even Distribution", Q123, R123))</f>
        <v>0</v>
      </c>
      <c r="T123" s="1068" cm="1">
        <f t="array" ref="T123">IF(INPUTS!$C$24&lt;&gt;"Yes", 0, IFERROR(S123 / SUMPRODUCT(($O$19:$O$138=O123)*$S$19:$S$138) * INDEX($U$5:$U$14, O123), 0))</f>
        <v>0</v>
      </c>
      <c r="U123" s="1068">
        <f t="shared" si="10"/>
        <v>0</v>
      </c>
      <c r="V123" s="1068">
        <f t="shared" si="9"/>
        <v>0</v>
      </c>
      <c r="W123" s="1068">
        <f>IF(N123&gt;DEBT!$AH$14, 0, IF(V123=0, 0, IF(N123&lt;=DEBT!$AH$15, V123*DEBT!$AH$12/12, PMT(DEBT!$AH$12/12, DEBT!$AH$13-N123+DEBT!$AH$15+1, -V123))))</f>
        <v>0</v>
      </c>
      <c r="X123" s="1068">
        <f>IF(N123&gt;DEBT!$AH$14, 0, V123*DEBT!$AH$12/12)</f>
        <v>0</v>
      </c>
      <c r="Y123" s="1068">
        <f>IF(N123&gt;INPUTS!$C$26*12, 0, W123-X123)</f>
        <v>0</v>
      </c>
      <c r="Z123" s="1070">
        <f>IF(N123&gt;DEBT!$AH$14, 0, V123-Y123)</f>
        <v>0</v>
      </c>
    </row>
    <row r="124" spans="14:26">
      <c r="N124" s="1071">
        <v>106</v>
      </c>
      <c r="O124" s="1072">
        <v>9</v>
      </c>
      <c r="P124" s="1073">
        <f>IF(AND(N124&gt;=INPUTS!$I$6, N124&lt;=(INPUTS!$I$6+INPUTS!$I$5-1), MOD(N124-INPUTS!$I$6,12)=0), INPUTS!$F$20/CEILING(INPUTS!$I$5/12,1), 0)</f>
        <v>0</v>
      </c>
      <c r="Q124" s="1073">
        <f>IF(AND(N124&gt;=INPUTS!$I$6, N124&lt;=(INPUTS!$I$6+INPUTS!$I$5-1)), INPUTS!$F$20/INPUTS!$I$5, 0)</f>
        <v>0</v>
      </c>
      <c r="R124" s="1074">
        <v>0</v>
      </c>
      <c r="S124" s="1073">
        <f>IF(INPUTS!$I$8="Year Start", P124, IF(INPUTS!$I$8="Even Distribution", Q124, R124))</f>
        <v>0</v>
      </c>
      <c r="T124" s="1073" cm="1">
        <f t="array" ref="T124">IF(INPUTS!$C$24&lt;&gt;"Yes", 0, IFERROR(S124 / SUMPRODUCT(($O$19:$O$138=O124)*$S$19:$S$138) * INDEX($U$5:$U$14, O124), 0))</f>
        <v>0</v>
      </c>
      <c r="U124" s="1073">
        <f t="shared" si="10"/>
        <v>0</v>
      </c>
      <c r="V124" s="1073">
        <f t="shared" si="9"/>
        <v>0</v>
      </c>
      <c r="W124" s="1073">
        <f>IF(N124&gt;DEBT!$AH$14, 0, IF(V124=0, 0, IF(N124&lt;=DEBT!$AH$15, V124*DEBT!$AH$12/12, PMT(DEBT!$AH$12/12, DEBT!$AH$13-N124+DEBT!$AH$15+1, -V124))))</f>
        <v>0</v>
      </c>
      <c r="X124" s="1073">
        <f>IF(N124&gt;DEBT!$AH$14, 0, V124*DEBT!$AH$12/12)</f>
        <v>0</v>
      </c>
      <c r="Y124" s="1073">
        <f>IF(N124&gt;INPUTS!$C$26*12, 0, W124-X124)</f>
        <v>0</v>
      </c>
      <c r="Z124" s="1075">
        <f>IF(N124&gt;DEBT!$AH$14, 0, V124-Y124)</f>
        <v>0</v>
      </c>
    </row>
    <row r="125" spans="14:26">
      <c r="N125" s="1066">
        <v>107</v>
      </c>
      <c r="O125" s="1067">
        <v>9</v>
      </c>
      <c r="P125" s="1068">
        <f>IF(AND(N125&gt;=INPUTS!$I$6, N125&lt;=(INPUTS!$I$6+INPUTS!$I$5-1), MOD(N125-INPUTS!$I$6,12)=0), INPUTS!$F$20/CEILING(INPUTS!$I$5/12,1), 0)</f>
        <v>0</v>
      </c>
      <c r="Q125" s="1068">
        <f>IF(AND(N125&gt;=INPUTS!$I$6, N125&lt;=(INPUTS!$I$6+INPUTS!$I$5-1)), INPUTS!$F$20/INPUTS!$I$5, 0)</f>
        <v>0</v>
      </c>
      <c r="R125" s="1069">
        <v>0</v>
      </c>
      <c r="S125" s="1068">
        <f>IF(INPUTS!$I$8="Year Start", P125, IF(INPUTS!$I$8="Even Distribution", Q125, R125))</f>
        <v>0</v>
      </c>
      <c r="T125" s="1068" cm="1">
        <f t="array" ref="T125">IF(INPUTS!$C$24&lt;&gt;"Yes", 0, IFERROR(S125 / SUMPRODUCT(($O$19:$O$138=O125)*$S$19:$S$138) * INDEX($U$5:$U$14, O125), 0))</f>
        <v>0</v>
      </c>
      <c r="U125" s="1068">
        <f t="shared" si="10"/>
        <v>0</v>
      </c>
      <c r="V125" s="1068">
        <f t="shared" si="9"/>
        <v>0</v>
      </c>
      <c r="W125" s="1068">
        <f>IF(N125&gt;DEBT!$AH$14, 0, IF(V125=0, 0, IF(N125&lt;=DEBT!$AH$15, V125*DEBT!$AH$12/12, PMT(DEBT!$AH$12/12, DEBT!$AH$13-N125+DEBT!$AH$15+1, -V125))))</f>
        <v>0</v>
      </c>
      <c r="X125" s="1068">
        <f>IF(N125&gt;DEBT!$AH$14, 0, V125*DEBT!$AH$12/12)</f>
        <v>0</v>
      </c>
      <c r="Y125" s="1068">
        <f>IF(N125&gt;INPUTS!$C$26*12, 0, W125-X125)</f>
        <v>0</v>
      </c>
      <c r="Z125" s="1070">
        <f>IF(N125&gt;DEBT!$AH$14, 0, V125-Y125)</f>
        <v>0</v>
      </c>
    </row>
    <row r="126" spans="14:26">
      <c r="N126" s="1071">
        <v>108</v>
      </c>
      <c r="O126" s="1072">
        <v>9</v>
      </c>
      <c r="P126" s="1073">
        <f>IF(AND(N126&gt;=INPUTS!$I$6, N126&lt;=(INPUTS!$I$6+INPUTS!$I$5-1), MOD(N126-INPUTS!$I$6,12)=0), INPUTS!$F$20/CEILING(INPUTS!$I$5/12,1), 0)</f>
        <v>0</v>
      </c>
      <c r="Q126" s="1073">
        <f>IF(AND(N126&gt;=INPUTS!$I$6, N126&lt;=(INPUTS!$I$6+INPUTS!$I$5-1)), INPUTS!$F$20/INPUTS!$I$5, 0)</f>
        <v>0</v>
      </c>
      <c r="R126" s="1074">
        <v>0</v>
      </c>
      <c r="S126" s="1073">
        <f>IF(INPUTS!$I$8="Year Start", P126, IF(INPUTS!$I$8="Even Distribution", Q126, R126))</f>
        <v>0</v>
      </c>
      <c r="T126" s="1073" cm="1">
        <f t="array" ref="T126">IF(INPUTS!$C$24&lt;&gt;"Yes", 0, IFERROR(S126 / SUMPRODUCT(($O$19:$O$138=O126)*$S$19:$S$138) * INDEX($U$5:$U$14, O126), 0))</f>
        <v>0</v>
      </c>
      <c r="U126" s="1073">
        <f t="shared" si="10"/>
        <v>0</v>
      </c>
      <c r="V126" s="1073">
        <f t="shared" si="9"/>
        <v>0</v>
      </c>
      <c r="W126" s="1073">
        <f>IF(N126&gt;DEBT!$AH$14, 0, IF(V126=0, 0, IF(N126&lt;=DEBT!$AH$15, V126*DEBT!$AH$12/12, PMT(DEBT!$AH$12/12, DEBT!$AH$13-N126+DEBT!$AH$15+1, -V126))))</f>
        <v>0</v>
      </c>
      <c r="X126" s="1073">
        <f>IF(N126&gt;DEBT!$AH$14, 0, V126*DEBT!$AH$12/12)</f>
        <v>0</v>
      </c>
      <c r="Y126" s="1073">
        <f>IF(N126&gt;INPUTS!$C$26*12, 0, W126-X126)</f>
        <v>0</v>
      </c>
      <c r="Z126" s="1075">
        <f>IF(N126&gt;DEBT!$AH$14, 0, V126-Y126)</f>
        <v>0</v>
      </c>
    </row>
    <row r="127" spans="14:26">
      <c r="N127" s="1066">
        <v>109</v>
      </c>
      <c r="O127" s="1067">
        <v>10</v>
      </c>
      <c r="P127" s="1068">
        <f>IF(AND(N127&gt;=INPUTS!$I$6, N127&lt;=(INPUTS!$I$6+INPUTS!$I$5-1), MOD(N127-INPUTS!$I$6,12)=0), INPUTS!$F$20/CEILING(INPUTS!$I$5/12,1), 0)</f>
        <v>0</v>
      </c>
      <c r="Q127" s="1068">
        <f>IF(AND(N127&gt;=INPUTS!$I$6, N127&lt;=(INPUTS!$I$6+INPUTS!$I$5-1)), INPUTS!$F$20/INPUTS!$I$5, 0)</f>
        <v>0</v>
      </c>
      <c r="R127" s="1069">
        <v>0</v>
      </c>
      <c r="S127" s="1068">
        <f>IF(INPUTS!$I$8="Year Start", P127, IF(INPUTS!$I$8="Even Distribution", Q127, R127))</f>
        <v>0</v>
      </c>
      <c r="T127" s="1068" cm="1">
        <f t="array" ref="T127">IF(INPUTS!$C$24&lt;&gt;"Yes", 0, IFERROR(S127 / SUMPRODUCT(($O$19:$O$138=O127)*$S$19:$S$138) * INDEX($U$5:$U$14, O127), 0))</f>
        <v>0</v>
      </c>
      <c r="U127" s="1068">
        <f t="shared" si="10"/>
        <v>0</v>
      </c>
      <c r="V127" s="1068">
        <f t="shared" si="9"/>
        <v>0</v>
      </c>
      <c r="W127" s="1068">
        <f>IF(N127&gt;DEBT!$AH$14, 0, IF(V127=0, 0, IF(N127&lt;=DEBT!$AH$15, V127*DEBT!$AH$12/12, PMT(DEBT!$AH$12/12, DEBT!$AH$13-N127+DEBT!$AH$15+1, -V127))))</f>
        <v>0</v>
      </c>
      <c r="X127" s="1068">
        <f>IF(N127&gt;DEBT!$AH$14, 0, V127*DEBT!$AH$12/12)</f>
        <v>0</v>
      </c>
      <c r="Y127" s="1068">
        <f>IF(N127&gt;INPUTS!$C$26*12, 0, W127-X127)</f>
        <v>0</v>
      </c>
      <c r="Z127" s="1070">
        <f>IF(N127&gt;DEBT!$AH$14, 0, V127-Y127)</f>
        <v>0</v>
      </c>
    </row>
    <row r="128" spans="14:26">
      <c r="N128" s="1071">
        <v>110</v>
      </c>
      <c r="O128" s="1072">
        <v>10</v>
      </c>
      <c r="P128" s="1073">
        <f>IF(AND(N128&gt;=INPUTS!$I$6, N128&lt;=(INPUTS!$I$6+INPUTS!$I$5-1), MOD(N128-INPUTS!$I$6,12)=0), INPUTS!$F$20/CEILING(INPUTS!$I$5/12,1), 0)</f>
        <v>0</v>
      </c>
      <c r="Q128" s="1073">
        <f>IF(AND(N128&gt;=INPUTS!$I$6, N128&lt;=(INPUTS!$I$6+INPUTS!$I$5-1)), INPUTS!$F$20/INPUTS!$I$5, 0)</f>
        <v>0</v>
      </c>
      <c r="R128" s="1074">
        <v>0</v>
      </c>
      <c r="S128" s="1073">
        <f>IF(INPUTS!$I$8="Year Start", P128, IF(INPUTS!$I$8="Even Distribution", Q128, R128))</f>
        <v>0</v>
      </c>
      <c r="T128" s="1073" cm="1">
        <f t="array" ref="T128">IF(INPUTS!$C$24&lt;&gt;"Yes", 0, IFERROR(S128 / SUMPRODUCT(($O$19:$O$138=O128)*$S$19:$S$138) * INDEX($U$5:$U$14, O128), 0))</f>
        <v>0</v>
      </c>
      <c r="U128" s="1073">
        <f t="shared" si="10"/>
        <v>0</v>
      </c>
      <c r="V128" s="1073">
        <f t="shared" si="9"/>
        <v>0</v>
      </c>
      <c r="W128" s="1073">
        <f>IF(N128&gt;DEBT!$AH$14, 0, IF(V128=0, 0, IF(N128&lt;=DEBT!$AH$15, V128*DEBT!$AH$12/12, PMT(DEBT!$AH$12/12, DEBT!$AH$13-N128+DEBT!$AH$15+1, -V128))))</f>
        <v>0</v>
      </c>
      <c r="X128" s="1073">
        <f>IF(N128&gt;DEBT!$AH$14, 0, V128*DEBT!$AH$12/12)</f>
        <v>0</v>
      </c>
      <c r="Y128" s="1073">
        <f>IF(N128&gt;INPUTS!$C$26*12, 0, W128-X128)</f>
        <v>0</v>
      </c>
      <c r="Z128" s="1075">
        <f>IF(N128&gt;DEBT!$AH$14, 0, V128-Y128)</f>
        <v>0</v>
      </c>
    </row>
    <row r="129" spans="14:26">
      <c r="N129" s="1066">
        <v>111</v>
      </c>
      <c r="O129" s="1067">
        <v>10</v>
      </c>
      <c r="P129" s="1068">
        <f>IF(AND(N129&gt;=INPUTS!$I$6, N129&lt;=(INPUTS!$I$6+INPUTS!$I$5-1), MOD(N129-INPUTS!$I$6,12)=0), INPUTS!$F$20/CEILING(INPUTS!$I$5/12,1), 0)</f>
        <v>0</v>
      </c>
      <c r="Q129" s="1068">
        <f>IF(AND(N129&gt;=INPUTS!$I$6, N129&lt;=(INPUTS!$I$6+INPUTS!$I$5-1)), INPUTS!$F$20/INPUTS!$I$5, 0)</f>
        <v>0</v>
      </c>
      <c r="R129" s="1069">
        <v>0</v>
      </c>
      <c r="S129" s="1068">
        <f>IF(INPUTS!$I$8="Year Start", P129, IF(INPUTS!$I$8="Even Distribution", Q129, R129))</f>
        <v>0</v>
      </c>
      <c r="T129" s="1068" cm="1">
        <f t="array" ref="T129">IF(INPUTS!$C$24&lt;&gt;"Yes", 0, IFERROR(S129 / SUMPRODUCT(($O$19:$O$138=O129)*$S$19:$S$138) * INDEX($U$5:$U$14, O129), 0))</f>
        <v>0</v>
      </c>
      <c r="U129" s="1068">
        <f t="shared" si="10"/>
        <v>0</v>
      </c>
      <c r="V129" s="1068">
        <f t="shared" si="9"/>
        <v>0</v>
      </c>
      <c r="W129" s="1068">
        <f>IF(N129&gt;DEBT!$AH$14, 0, IF(V129=0, 0, IF(N129&lt;=DEBT!$AH$15, V129*DEBT!$AH$12/12, PMT(DEBT!$AH$12/12, DEBT!$AH$13-N129+DEBT!$AH$15+1, -V129))))</f>
        <v>0</v>
      </c>
      <c r="X129" s="1068">
        <f>IF(N129&gt;DEBT!$AH$14, 0, V129*DEBT!$AH$12/12)</f>
        <v>0</v>
      </c>
      <c r="Y129" s="1068">
        <f>IF(N129&gt;INPUTS!$C$26*12, 0, W129-X129)</f>
        <v>0</v>
      </c>
      <c r="Z129" s="1070">
        <f>IF(N129&gt;DEBT!$AH$14, 0, V129-Y129)</f>
        <v>0</v>
      </c>
    </row>
    <row r="130" spans="14:26">
      <c r="N130" s="1071">
        <v>112</v>
      </c>
      <c r="O130" s="1072">
        <v>10</v>
      </c>
      <c r="P130" s="1073">
        <f>IF(AND(N130&gt;=INPUTS!$I$6, N130&lt;=(INPUTS!$I$6+INPUTS!$I$5-1), MOD(N130-INPUTS!$I$6,12)=0), INPUTS!$F$20/CEILING(INPUTS!$I$5/12,1), 0)</f>
        <v>0</v>
      </c>
      <c r="Q130" s="1073">
        <f>IF(AND(N130&gt;=INPUTS!$I$6, N130&lt;=(INPUTS!$I$6+INPUTS!$I$5-1)), INPUTS!$F$20/INPUTS!$I$5, 0)</f>
        <v>0</v>
      </c>
      <c r="R130" s="1074">
        <v>0</v>
      </c>
      <c r="S130" s="1073">
        <f>IF(INPUTS!$I$8="Year Start", P130, IF(INPUTS!$I$8="Even Distribution", Q130, R130))</f>
        <v>0</v>
      </c>
      <c r="T130" s="1073" cm="1">
        <f t="array" ref="T130">IF(INPUTS!$C$24&lt;&gt;"Yes", 0, IFERROR(S130 / SUMPRODUCT(($O$19:$O$138=O130)*$S$19:$S$138) * INDEX($U$5:$U$14, O130), 0))</f>
        <v>0</v>
      </c>
      <c r="U130" s="1073">
        <f t="shared" si="10"/>
        <v>0</v>
      </c>
      <c r="V130" s="1073">
        <f t="shared" si="9"/>
        <v>0</v>
      </c>
      <c r="W130" s="1073">
        <f>IF(N130&gt;DEBT!$AH$14, 0, IF(V130=0, 0, IF(N130&lt;=DEBT!$AH$15, V130*DEBT!$AH$12/12, PMT(DEBT!$AH$12/12, DEBT!$AH$13-N130+DEBT!$AH$15+1, -V130))))</f>
        <v>0</v>
      </c>
      <c r="X130" s="1073">
        <f>IF(N130&gt;DEBT!$AH$14, 0, V130*DEBT!$AH$12/12)</f>
        <v>0</v>
      </c>
      <c r="Y130" s="1073">
        <f>IF(N130&gt;INPUTS!$C$26*12, 0, W130-X130)</f>
        <v>0</v>
      </c>
      <c r="Z130" s="1075">
        <f>IF(N130&gt;DEBT!$AH$14, 0, V130-Y130)</f>
        <v>0</v>
      </c>
    </row>
    <row r="131" spans="14:26">
      <c r="N131" s="1066">
        <v>113</v>
      </c>
      <c r="O131" s="1067">
        <v>10</v>
      </c>
      <c r="P131" s="1068">
        <f>IF(AND(N131&gt;=INPUTS!$I$6, N131&lt;=(INPUTS!$I$6+INPUTS!$I$5-1), MOD(N131-INPUTS!$I$6,12)=0), INPUTS!$F$20/CEILING(INPUTS!$I$5/12,1), 0)</f>
        <v>0</v>
      </c>
      <c r="Q131" s="1068">
        <f>IF(AND(N131&gt;=INPUTS!$I$6, N131&lt;=(INPUTS!$I$6+INPUTS!$I$5-1)), INPUTS!$F$20/INPUTS!$I$5, 0)</f>
        <v>0</v>
      </c>
      <c r="R131" s="1069">
        <v>0</v>
      </c>
      <c r="S131" s="1068">
        <f>IF(INPUTS!$I$8="Year Start", P131, IF(INPUTS!$I$8="Even Distribution", Q131, R131))</f>
        <v>0</v>
      </c>
      <c r="T131" s="1068" cm="1">
        <f t="array" ref="T131">IF(INPUTS!$C$24&lt;&gt;"Yes", 0, IFERROR(S131 / SUMPRODUCT(($O$19:$O$138=O131)*$S$19:$S$138) * INDEX($U$5:$U$14, O131), 0))</f>
        <v>0</v>
      </c>
      <c r="U131" s="1068">
        <f t="shared" si="10"/>
        <v>0</v>
      </c>
      <c r="V131" s="1068">
        <f t="shared" si="9"/>
        <v>0</v>
      </c>
      <c r="W131" s="1068">
        <f>IF(N131&gt;DEBT!$AH$14, 0, IF(V131=0, 0, IF(N131&lt;=DEBT!$AH$15, V131*DEBT!$AH$12/12, PMT(DEBT!$AH$12/12, DEBT!$AH$13-N131+DEBT!$AH$15+1, -V131))))</f>
        <v>0</v>
      </c>
      <c r="X131" s="1068">
        <f>IF(N131&gt;DEBT!$AH$14, 0, V131*DEBT!$AH$12/12)</f>
        <v>0</v>
      </c>
      <c r="Y131" s="1068">
        <f>IF(N131&gt;INPUTS!$C$26*12, 0, W131-X131)</f>
        <v>0</v>
      </c>
      <c r="Z131" s="1070">
        <f>IF(N131&gt;DEBT!$AH$14, 0, V131-Y131)</f>
        <v>0</v>
      </c>
    </row>
    <row r="132" spans="14:26">
      <c r="N132" s="1071">
        <v>114</v>
      </c>
      <c r="O132" s="1072">
        <v>10</v>
      </c>
      <c r="P132" s="1073">
        <f>IF(AND(N132&gt;=INPUTS!$I$6, N132&lt;=(INPUTS!$I$6+INPUTS!$I$5-1), MOD(N132-INPUTS!$I$6,12)=0), INPUTS!$F$20/CEILING(INPUTS!$I$5/12,1), 0)</f>
        <v>0</v>
      </c>
      <c r="Q132" s="1073">
        <f>IF(AND(N132&gt;=INPUTS!$I$6, N132&lt;=(INPUTS!$I$6+INPUTS!$I$5-1)), INPUTS!$F$20/INPUTS!$I$5, 0)</f>
        <v>0</v>
      </c>
      <c r="R132" s="1074">
        <v>0</v>
      </c>
      <c r="S132" s="1073">
        <f>IF(INPUTS!$I$8="Year Start", P132, IF(INPUTS!$I$8="Even Distribution", Q132, R132))</f>
        <v>0</v>
      </c>
      <c r="T132" s="1073" cm="1">
        <f t="array" ref="T132">IF(INPUTS!$C$24&lt;&gt;"Yes", 0, IFERROR(S132 / SUMPRODUCT(($O$19:$O$138=O132)*$S$19:$S$138) * INDEX($U$5:$U$14, O132), 0))</f>
        <v>0</v>
      </c>
      <c r="U132" s="1073">
        <f t="shared" si="10"/>
        <v>0</v>
      </c>
      <c r="V132" s="1073">
        <f t="shared" si="9"/>
        <v>0</v>
      </c>
      <c r="W132" s="1073">
        <f>IF(N132&gt;DEBT!$AH$14, 0, IF(V132=0, 0, IF(N132&lt;=DEBT!$AH$15, V132*DEBT!$AH$12/12, PMT(DEBT!$AH$12/12, DEBT!$AH$13-N132+DEBT!$AH$15+1, -V132))))</f>
        <v>0</v>
      </c>
      <c r="X132" s="1073">
        <f>IF(N132&gt;DEBT!$AH$14, 0, V132*DEBT!$AH$12/12)</f>
        <v>0</v>
      </c>
      <c r="Y132" s="1073">
        <f>IF(N132&gt;INPUTS!$C$26*12, 0, W132-X132)</f>
        <v>0</v>
      </c>
      <c r="Z132" s="1075">
        <f>IF(N132&gt;DEBT!$AH$14, 0, V132-Y132)</f>
        <v>0</v>
      </c>
    </row>
    <row r="133" spans="14:26">
      <c r="N133" s="1066">
        <v>115</v>
      </c>
      <c r="O133" s="1067">
        <v>10</v>
      </c>
      <c r="P133" s="1068">
        <f>IF(AND(N133&gt;=INPUTS!$I$6, N133&lt;=(INPUTS!$I$6+INPUTS!$I$5-1), MOD(N133-INPUTS!$I$6,12)=0), INPUTS!$F$20/CEILING(INPUTS!$I$5/12,1), 0)</f>
        <v>0</v>
      </c>
      <c r="Q133" s="1068">
        <f>IF(AND(N133&gt;=INPUTS!$I$6, N133&lt;=(INPUTS!$I$6+INPUTS!$I$5-1)), INPUTS!$F$20/INPUTS!$I$5, 0)</f>
        <v>0</v>
      </c>
      <c r="R133" s="1069">
        <v>0</v>
      </c>
      <c r="S133" s="1068">
        <f>IF(INPUTS!$I$8="Year Start", P133, IF(INPUTS!$I$8="Even Distribution", Q133, R133))</f>
        <v>0</v>
      </c>
      <c r="T133" s="1068" cm="1">
        <f t="array" ref="T133">IF(INPUTS!$C$24&lt;&gt;"Yes", 0, IFERROR(S133 / SUMPRODUCT(($O$19:$O$138=O133)*$S$19:$S$138) * INDEX($U$5:$U$14, O133), 0))</f>
        <v>0</v>
      </c>
      <c r="U133" s="1068">
        <f t="shared" si="10"/>
        <v>0</v>
      </c>
      <c r="V133" s="1068">
        <f t="shared" si="9"/>
        <v>0</v>
      </c>
      <c r="W133" s="1068">
        <f>IF(N133&gt;DEBT!$AH$14, 0, IF(V133=0, 0, IF(N133&lt;=DEBT!$AH$15, V133*DEBT!$AH$12/12, PMT(DEBT!$AH$12/12, DEBT!$AH$13-N133+DEBT!$AH$15+1, -V133))))</f>
        <v>0</v>
      </c>
      <c r="X133" s="1068">
        <f>IF(N133&gt;DEBT!$AH$14, 0, V133*DEBT!$AH$12/12)</f>
        <v>0</v>
      </c>
      <c r="Y133" s="1068">
        <f>IF(N133&gt;INPUTS!$C$26*12, 0, W133-X133)</f>
        <v>0</v>
      </c>
      <c r="Z133" s="1070">
        <f>IF(N133&gt;DEBT!$AH$14, 0, V133-Y133)</f>
        <v>0</v>
      </c>
    </row>
    <row r="134" spans="14:26">
      <c r="N134" s="1071">
        <v>116</v>
      </c>
      <c r="O134" s="1072">
        <v>10</v>
      </c>
      <c r="P134" s="1073">
        <f>IF(AND(N134&gt;=INPUTS!$I$6, N134&lt;=(INPUTS!$I$6+INPUTS!$I$5-1), MOD(N134-INPUTS!$I$6,12)=0), INPUTS!$F$20/CEILING(INPUTS!$I$5/12,1), 0)</f>
        <v>0</v>
      </c>
      <c r="Q134" s="1073">
        <f>IF(AND(N134&gt;=INPUTS!$I$6, N134&lt;=(INPUTS!$I$6+INPUTS!$I$5-1)), INPUTS!$F$20/INPUTS!$I$5, 0)</f>
        <v>0</v>
      </c>
      <c r="R134" s="1074">
        <v>0</v>
      </c>
      <c r="S134" s="1073">
        <f>IF(INPUTS!$I$8="Year Start", P134, IF(INPUTS!$I$8="Even Distribution", Q134, R134))</f>
        <v>0</v>
      </c>
      <c r="T134" s="1073" cm="1">
        <f t="array" ref="T134">IF(INPUTS!$C$24&lt;&gt;"Yes", 0, IFERROR(S134 / SUMPRODUCT(($O$19:$O$138=O134)*$S$19:$S$138) * INDEX($U$5:$U$14, O134), 0))</f>
        <v>0</v>
      </c>
      <c r="U134" s="1073">
        <f t="shared" si="10"/>
        <v>0</v>
      </c>
      <c r="V134" s="1073">
        <f t="shared" si="9"/>
        <v>0</v>
      </c>
      <c r="W134" s="1073">
        <f>IF(N134&gt;DEBT!$AH$14, 0, IF(V134=0, 0, IF(N134&lt;=DEBT!$AH$15, V134*DEBT!$AH$12/12, PMT(DEBT!$AH$12/12, DEBT!$AH$13-N134+DEBT!$AH$15+1, -V134))))</f>
        <v>0</v>
      </c>
      <c r="X134" s="1073">
        <f>IF(N134&gt;DEBT!$AH$14, 0, V134*DEBT!$AH$12/12)</f>
        <v>0</v>
      </c>
      <c r="Y134" s="1073">
        <f>IF(N134&gt;INPUTS!$C$26*12, 0, W134-X134)</f>
        <v>0</v>
      </c>
      <c r="Z134" s="1075">
        <f>IF(N134&gt;DEBT!$AH$14, 0, V134-Y134)</f>
        <v>0</v>
      </c>
    </row>
    <row r="135" spans="14:26">
      <c r="N135" s="1066">
        <v>117</v>
      </c>
      <c r="O135" s="1067">
        <v>10</v>
      </c>
      <c r="P135" s="1068">
        <f>IF(AND(N135&gt;=INPUTS!$I$6, N135&lt;=(INPUTS!$I$6+INPUTS!$I$5-1), MOD(N135-INPUTS!$I$6,12)=0), INPUTS!$F$20/CEILING(INPUTS!$I$5/12,1), 0)</f>
        <v>0</v>
      </c>
      <c r="Q135" s="1068">
        <f>IF(AND(N135&gt;=INPUTS!$I$6, N135&lt;=(INPUTS!$I$6+INPUTS!$I$5-1)), INPUTS!$F$20/INPUTS!$I$5, 0)</f>
        <v>0</v>
      </c>
      <c r="R135" s="1069">
        <v>0</v>
      </c>
      <c r="S135" s="1068">
        <f>IF(INPUTS!$I$8="Year Start", P135, IF(INPUTS!$I$8="Even Distribution", Q135, R135))</f>
        <v>0</v>
      </c>
      <c r="T135" s="1068" cm="1">
        <f t="array" ref="T135">IF(INPUTS!$C$24&lt;&gt;"Yes", 0, IFERROR(S135 / SUMPRODUCT(($O$19:$O$138=O135)*$S$19:$S$138) * INDEX($U$5:$U$14, O135), 0))</f>
        <v>0</v>
      </c>
      <c r="U135" s="1068">
        <f t="shared" si="10"/>
        <v>0</v>
      </c>
      <c r="V135" s="1068">
        <f t="shared" si="9"/>
        <v>0</v>
      </c>
      <c r="W135" s="1068">
        <f>IF(N135&gt;DEBT!$AH$14, 0, IF(V135=0, 0, IF(N135&lt;=DEBT!$AH$15, V135*DEBT!$AH$12/12, PMT(DEBT!$AH$12/12, DEBT!$AH$13-N135+DEBT!$AH$15+1, -V135))))</f>
        <v>0</v>
      </c>
      <c r="X135" s="1068">
        <f>IF(N135&gt;DEBT!$AH$14, 0, V135*DEBT!$AH$12/12)</f>
        <v>0</v>
      </c>
      <c r="Y135" s="1068">
        <f>IF(N135&gt;INPUTS!$C$26*12, 0, W135-X135)</f>
        <v>0</v>
      </c>
      <c r="Z135" s="1070">
        <f>IF(N135&gt;DEBT!$AH$14, 0, V135-Y135)</f>
        <v>0</v>
      </c>
    </row>
    <row r="136" spans="14:26">
      <c r="N136" s="1071">
        <v>118</v>
      </c>
      <c r="O136" s="1072">
        <v>10</v>
      </c>
      <c r="P136" s="1073">
        <f>IF(AND(N136&gt;=INPUTS!$I$6, N136&lt;=(INPUTS!$I$6+INPUTS!$I$5-1), MOD(N136-INPUTS!$I$6,12)=0), INPUTS!$F$20/CEILING(INPUTS!$I$5/12,1), 0)</f>
        <v>0</v>
      </c>
      <c r="Q136" s="1073">
        <f>IF(AND(N136&gt;=INPUTS!$I$6, N136&lt;=(INPUTS!$I$6+INPUTS!$I$5-1)), INPUTS!$F$20/INPUTS!$I$5, 0)</f>
        <v>0</v>
      </c>
      <c r="R136" s="1074">
        <v>0</v>
      </c>
      <c r="S136" s="1073">
        <f>IF(INPUTS!$I$8="Year Start", P136, IF(INPUTS!$I$8="Even Distribution", Q136, R136))</f>
        <v>0</v>
      </c>
      <c r="T136" s="1073" cm="1">
        <f t="array" ref="T136">IF(INPUTS!$C$24&lt;&gt;"Yes", 0, IFERROR(S136 / SUMPRODUCT(($O$19:$O$138=O136)*$S$19:$S$138) * INDEX($U$5:$U$14, O136), 0))</f>
        <v>0</v>
      </c>
      <c r="U136" s="1073">
        <f t="shared" si="10"/>
        <v>0</v>
      </c>
      <c r="V136" s="1073">
        <f t="shared" si="9"/>
        <v>0</v>
      </c>
      <c r="W136" s="1073">
        <f>IF(N136&gt;DEBT!$AH$14, 0, IF(V136=0, 0, IF(N136&lt;=DEBT!$AH$15, V136*DEBT!$AH$12/12, PMT(DEBT!$AH$12/12, DEBT!$AH$13-N136+DEBT!$AH$15+1, -V136))))</f>
        <v>0</v>
      </c>
      <c r="X136" s="1073">
        <f>IF(N136&gt;DEBT!$AH$14, 0, V136*DEBT!$AH$12/12)</f>
        <v>0</v>
      </c>
      <c r="Y136" s="1073">
        <f>IF(N136&gt;INPUTS!$C$26*12, 0, W136-X136)</f>
        <v>0</v>
      </c>
      <c r="Z136" s="1075">
        <f>IF(N136&gt;DEBT!$AH$14, 0, V136-Y136)</f>
        <v>0</v>
      </c>
    </row>
    <row r="137" spans="14:26">
      <c r="N137" s="1066">
        <v>119</v>
      </c>
      <c r="O137" s="1067">
        <v>10</v>
      </c>
      <c r="P137" s="1068">
        <f>IF(AND(N137&gt;=INPUTS!$I$6, N137&lt;=(INPUTS!$I$6+INPUTS!$I$5-1), MOD(N137-INPUTS!$I$6,12)=0), INPUTS!$F$20/CEILING(INPUTS!$I$5/12,1), 0)</f>
        <v>0</v>
      </c>
      <c r="Q137" s="1068">
        <f>IF(AND(N137&gt;=INPUTS!$I$6, N137&lt;=(INPUTS!$I$6+INPUTS!$I$5-1)), INPUTS!$F$20/INPUTS!$I$5, 0)</f>
        <v>0</v>
      </c>
      <c r="R137" s="1069">
        <v>0</v>
      </c>
      <c r="S137" s="1068">
        <f>IF(INPUTS!$I$8="Year Start", P137, IF(INPUTS!$I$8="Even Distribution", Q137, R137))</f>
        <v>0</v>
      </c>
      <c r="T137" s="1068" cm="1">
        <f t="array" ref="T137">IF(INPUTS!$C$24&lt;&gt;"Yes", 0, IFERROR(S137 / SUMPRODUCT(($O$19:$O$138=O137)*$S$19:$S$138) * INDEX($U$5:$U$14, O137), 0))</f>
        <v>0</v>
      </c>
      <c r="U137" s="1068">
        <f t="shared" si="10"/>
        <v>0</v>
      </c>
      <c r="V137" s="1068">
        <f t="shared" si="9"/>
        <v>0</v>
      </c>
      <c r="W137" s="1068">
        <f>IF(N137&gt;DEBT!$AH$14, 0, IF(V137=0, 0, IF(N137&lt;=DEBT!$AH$15, V137*DEBT!$AH$12/12, PMT(DEBT!$AH$12/12, DEBT!$AH$13-N137+DEBT!$AH$15+1, -V137))))</f>
        <v>0</v>
      </c>
      <c r="X137" s="1068">
        <f>IF(N137&gt;DEBT!$AH$14, 0, V137*DEBT!$AH$12/12)</f>
        <v>0</v>
      </c>
      <c r="Y137" s="1068">
        <f>IF(N137&gt;INPUTS!$C$26*12, 0, W137-X137)</f>
        <v>0</v>
      </c>
      <c r="Z137" s="1070">
        <f>IF(N137&gt;DEBT!$AH$14, 0, V137-Y137)</f>
        <v>0</v>
      </c>
    </row>
    <row r="138" spans="14:26">
      <c r="N138" s="1076">
        <v>120</v>
      </c>
      <c r="O138" s="1077">
        <v>10</v>
      </c>
      <c r="P138" s="1078">
        <f>IF(AND(N138&gt;=INPUTS!$I$6, N138&lt;=(INPUTS!$I$6+INPUTS!$I$5-1), MOD(N138-INPUTS!$I$6,12)=0), INPUTS!$F$20/CEILING(INPUTS!$I$5/12,1), 0)</f>
        <v>0</v>
      </c>
      <c r="Q138" s="1078">
        <f>IF(AND(N138&gt;=INPUTS!$I$6, N138&lt;=(INPUTS!$I$6+INPUTS!$I$5-1)), INPUTS!$F$20/INPUTS!$I$5, 0)</f>
        <v>0</v>
      </c>
      <c r="R138" s="1079">
        <v>0</v>
      </c>
      <c r="S138" s="1078">
        <f>IF(INPUTS!$I$8="Year Start", P138, IF(INPUTS!$I$8="Even Distribution", Q138, R138))</f>
        <v>0</v>
      </c>
      <c r="T138" s="1078" cm="1">
        <f t="array" ref="T138">IF(INPUTS!$C$24&lt;&gt;"Yes", 0, IFERROR(S138 / SUMPRODUCT(($O$19:$O$138=O138)*$S$19:$S$138) * INDEX($U$5:$U$14, O138), 0))</f>
        <v>0</v>
      </c>
      <c r="U138" s="1078">
        <f t="shared" si="10"/>
        <v>0</v>
      </c>
      <c r="V138" s="1078">
        <f t="shared" si="9"/>
        <v>0</v>
      </c>
      <c r="W138" s="1078">
        <f>IF(N138&gt;DEBT!$AH$14, 0, IF(V138=0, 0, IF(N138&lt;=DEBT!$AH$15, V138*DEBT!$AH$12/12, PMT(DEBT!$AH$12/12, DEBT!$AH$13-N138+DEBT!$AH$15+1, -V138))))</f>
        <v>0</v>
      </c>
      <c r="X138" s="1078">
        <f>IF(N138&gt;DEBT!$AH$14, 0, V138*DEBT!$AH$12/12)</f>
        <v>0</v>
      </c>
      <c r="Y138" s="1078">
        <f>IF(N138&gt;INPUTS!$C$26*12, 0, W138-X138)</f>
        <v>0</v>
      </c>
      <c r="Z138" s="1080">
        <f>IF(N138&gt;DEBT!$AH$14, 0, V138-Y138)</f>
        <v>0</v>
      </c>
    </row>
  </sheetData>
  <mergeCells count="1">
    <mergeCell ref="Q17:T17"/>
  </mergeCells>
  <pageMargins left="0.25" right="0.25" top="0.25" bottom="0.25" header="0" footer="0"/>
  <pageSetup scale="27"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D20B-671C-AC4F-8D24-8AA8D99864A0}">
  <sheetPr>
    <tabColor theme="7" tint="0.59999389629810485"/>
    <pageSetUpPr fitToPage="1"/>
  </sheetPr>
  <dimension ref="A2:X181"/>
  <sheetViews>
    <sheetView showGridLines="0" topLeftCell="H161" workbookViewId="0">
      <selection activeCell="X180" sqref="X180"/>
    </sheetView>
  </sheetViews>
  <sheetFormatPr baseColWidth="10" defaultRowHeight="16"/>
  <cols>
    <col min="1" max="1" width="2.33203125" customWidth="1"/>
    <col min="2" max="3" width="14.33203125" customWidth="1"/>
    <col min="4" max="4" width="8.33203125" customWidth="1"/>
    <col min="5" max="5" width="4.6640625" customWidth="1"/>
    <col min="6" max="6" width="17.83203125" customWidth="1"/>
    <col min="7" max="7" width="8.1640625" customWidth="1"/>
    <col min="8" max="8" width="3.33203125" customWidth="1"/>
    <col min="9" max="9" width="18.1640625" customWidth="1"/>
    <col min="10" max="10" width="8.5" customWidth="1"/>
    <col min="11" max="11" width="4.1640625" customWidth="1"/>
    <col min="12" max="12" width="13.6640625" customWidth="1"/>
    <col min="13" max="13" width="8.5" customWidth="1"/>
    <col min="14" max="14" width="3.83203125" customWidth="1"/>
    <col min="15" max="15" width="15" hidden="1" customWidth="1"/>
    <col min="16" max="16" width="10.5" hidden="1" customWidth="1"/>
    <col min="17" max="17" width="4.33203125" hidden="1" customWidth="1"/>
    <col min="18" max="18" width="15.1640625" hidden="1" customWidth="1"/>
    <col min="19" max="19" width="10" hidden="1" customWidth="1"/>
    <col min="20" max="20" width="5.6640625" customWidth="1"/>
    <col min="21" max="21" width="16.83203125" customWidth="1"/>
    <col min="22" max="22" width="20.5" customWidth="1"/>
    <col min="23" max="23" width="9.1640625" customWidth="1"/>
    <col min="24" max="24" width="64.1640625" customWidth="1"/>
  </cols>
  <sheetData>
    <row r="2" spans="2:24" s="415" customFormat="1" ht="28" customHeight="1" thickBot="1">
      <c r="B2" s="415" t="s">
        <v>25</v>
      </c>
    </row>
    <row r="4" spans="2:24" s="9" customFormat="1" ht="32" customHeight="1" thickBot="1">
      <c r="B4" s="150" t="s">
        <v>32</v>
      </c>
      <c r="C4" s="151"/>
      <c r="D4" s="151"/>
      <c r="E4" s="151"/>
      <c r="F4" s="348">
        <v>2023</v>
      </c>
      <c r="G4" s="152" t="s">
        <v>33</v>
      </c>
      <c r="H4" s="152"/>
      <c r="I4" s="348">
        <v>2024</v>
      </c>
      <c r="J4" s="152" t="s">
        <v>33</v>
      </c>
      <c r="K4" s="152"/>
      <c r="L4" s="348">
        <v>2025</v>
      </c>
      <c r="M4" s="152" t="s">
        <v>33</v>
      </c>
      <c r="N4" s="152"/>
      <c r="O4" s="152" t="s">
        <v>36</v>
      </c>
      <c r="P4" s="152" t="s">
        <v>33</v>
      </c>
      <c r="Q4" s="152"/>
      <c r="R4" s="152" t="s">
        <v>297</v>
      </c>
      <c r="S4" s="152" t="s">
        <v>33</v>
      </c>
      <c r="T4" s="152"/>
      <c r="U4" s="152" t="s">
        <v>30</v>
      </c>
      <c r="V4" s="153">
        <f>L4</f>
        <v>2025</v>
      </c>
      <c r="W4" s="152" t="s">
        <v>33</v>
      </c>
      <c r="X4" s="154" t="s">
        <v>37</v>
      </c>
    </row>
    <row r="5" spans="2:24">
      <c r="B5" s="14"/>
      <c r="X5" s="15"/>
    </row>
    <row r="6" spans="2:24" ht="17" thickBot="1">
      <c r="B6" s="155" t="s">
        <v>34</v>
      </c>
      <c r="C6" s="2"/>
      <c r="D6" s="2"/>
      <c r="E6" s="2"/>
      <c r="F6" s="2"/>
      <c r="G6" s="2"/>
      <c r="H6" s="2"/>
      <c r="I6" s="2"/>
      <c r="J6" s="2"/>
      <c r="K6" s="2"/>
      <c r="L6" s="2"/>
      <c r="M6" s="2"/>
      <c r="N6" s="2"/>
      <c r="O6" s="2"/>
      <c r="P6" s="2"/>
      <c r="Q6" s="2"/>
      <c r="R6" s="2"/>
      <c r="S6" s="2"/>
      <c r="T6" s="2"/>
      <c r="U6" s="2"/>
      <c r="V6" s="2"/>
      <c r="W6" s="2"/>
      <c r="X6" s="156"/>
    </row>
    <row r="7" spans="2:24" ht="18" customHeight="1">
      <c r="B7" s="157" t="s">
        <v>26</v>
      </c>
      <c r="V7" s="4"/>
      <c r="X7" s="158" t="s">
        <v>51</v>
      </c>
    </row>
    <row r="8" spans="2:24">
      <c r="B8" s="14"/>
      <c r="F8" s="159"/>
      <c r="G8" s="160">
        <f t="shared" ref="G8:G28" si="0">IFERROR(F8/$F$29,0)</f>
        <v>0</v>
      </c>
      <c r="I8" s="258"/>
      <c r="J8" s="160" t="e">
        <f>I8/$I$29</f>
        <v>#DIV/0!</v>
      </c>
      <c r="L8" s="258"/>
      <c r="M8" s="160" t="e">
        <f>L8/$L$29</f>
        <v>#DIV/0!</v>
      </c>
      <c r="P8">
        <f t="shared" ref="P8:P28" si="1">IFERROR(O8/$O$29,0)</f>
        <v>0</v>
      </c>
      <c r="S8">
        <f t="shared" ref="S8:S28" si="2">IFERROR(R8/$R$29,0)</f>
        <v>0</v>
      </c>
      <c r="V8" s="159">
        <f>U8+L8</f>
        <v>0</v>
      </c>
      <c r="W8" s="160" t="e">
        <f>V8/$V$29</f>
        <v>#DIV/0!</v>
      </c>
      <c r="X8" s="15"/>
    </row>
    <row r="9" spans="2:24">
      <c r="B9" s="14"/>
      <c r="F9" s="159"/>
      <c r="G9" s="160">
        <f t="shared" si="0"/>
        <v>0</v>
      </c>
      <c r="I9" s="259"/>
      <c r="J9" s="160" t="e">
        <f t="shared" ref="J9:J28" si="3">I9/$I$29</f>
        <v>#DIV/0!</v>
      </c>
      <c r="L9" s="258"/>
      <c r="M9" s="160" t="e">
        <f t="shared" ref="M9:M28" si="4">L9/$L$29</f>
        <v>#DIV/0!</v>
      </c>
      <c r="P9">
        <f t="shared" si="1"/>
        <v>0</v>
      </c>
      <c r="S9">
        <f t="shared" si="2"/>
        <v>0</v>
      </c>
      <c r="V9" s="159">
        <f t="shared" ref="V9:V11" si="5">U9+L9</f>
        <v>0</v>
      </c>
      <c r="W9" s="160" t="e">
        <f t="shared" ref="W9:W28" si="6">V9/$V$29</f>
        <v>#DIV/0!</v>
      </c>
      <c r="X9" s="15"/>
    </row>
    <row r="10" spans="2:24">
      <c r="B10" s="14"/>
      <c r="F10" s="159"/>
      <c r="G10" s="160">
        <f t="shared" si="0"/>
        <v>0</v>
      </c>
      <c r="I10" s="258"/>
      <c r="J10" s="160" t="e">
        <f t="shared" si="3"/>
        <v>#DIV/0!</v>
      </c>
      <c r="L10" s="258"/>
      <c r="M10" s="160" t="e">
        <f t="shared" si="4"/>
        <v>#DIV/0!</v>
      </c>
      <c r="P10">
        <f t="shared" si="1"/>
        <v>0</v>
      </c>
      <c r="S10">
        <f t="shared" si="2"/>
        <v>0</v>
      </c>
      <c r="V10" s="159">
        <f t="shared" si="5"/>
        <v>0</v>
      </c>
      <c r="W10" s="160" t="e">
        <f t="shared" si="6"/>
        <v>#DIV/0!</v>
      </c>
      <c r="X10" s="15"/>
    </row>
    <row r="11" spans="2:24">
      <c r="B11" s="14"/>
      <c r="F11" s="159"/>
      <c r="G11" s="160">
        <f t="shared" si="0"/>
        <v>0</v>
      </c>
      <c r="I11" s="259"/>
      <c r="J11" s="160" t="e">
        <f t="shared" si="3"/>
        <v>#DIV/0!</v>
      </c>
      <c r="L11" s="258"/>
      <c r="M11" s="160" t="e">
        <f t="shared" si="4"/>
        <v>#DIV/0!</v>
      </c>
      <c r="P11">
        <f t="shared" si="1"/>
        <v>0</v>
      </c>
      <c r="S11">
        <f t="shared" si="2"/>
        <v>0</v>
      </c>
      <c r="V11" s="159">
        <f t="shared" si="5"/>
        <v>0</v>
      </c>
      <c r="W11" s="160" t="e">
        <f t="shared" si="6"/>
        <v>#DIV/0!</v>
      </c>
      <c r="X11" s="15"/>
    </row>
    <row r="12" spans="2:24">
      <c r="B12" s="14"/>
      <c r="F12" s="159"/>
      <c r="G12" s="160">
        <f t="shared" si="0"/>
        <v>0</v>
      </c>
      <c r="I12" s="159"/>
      <c r="J12" s="160" t="e">
        <f t="shared" si="3"/>
        <v>#DIV/0!</v>
      </c>
      <c r="L12" s="159"/>
      <c r="M12" s="160" t="e">
        <f t="shared" si="4"/>
        <v>#DIV/0!</v>
      </c>
      <c r="P12">
        <f t="shared" si="1"/>
        <v>0</v>
      </c>
      <c r="S12">
        <f t="shared" si="2"/>
        <v>0</v>
      </c>
      <c r="V12" s="159">
        <f t="shared" ref="V12:V28" si="7">R12+U12</f>
        <v>0</v>
      </c>
      <c r="W12" s="160" t="e">
        <f t="shared" si="6"/>
        <v>#DIV/0!</v>
      </c>
      <c r="X12" s="15"/>
    </row>
    <row r="13" spans="2:24">
      <c r="B13" s="14"/>
      <c r="F13" s="159"/>
      <c r="G13" s="160">
        <f t="shared" si="0"/>
        <v>0</v>
      </c>
      <c r="I13" s="159"/>
      <c r="J13" s="160" t="e">
        <f t="shared" si="3"/>
        <v>#DIV/0!</v>
      </c>
      <c r="L13" s="159"/>
      <c r="M13" s="160" t="e">
        <f t="shared" si="4"/>
        <v>#DIV/0!</v>
      </c>
      <c r="P13">
        <f t="shared" si="1"/>
        <v>0</v>
      </c>
      <c r="S13">
        <f t="shared" si="2"/>
        <v>0</v>
      </c>
      <c r="V13" s="159">
        <f t="shared" si="7"/>
        <v>0</v>
      </c>
      <c r="W13" s="160" t="e">
        <f t="shared" si="6"/>
        <v>#DIV/0!</v>
      </c>
      <c r="X13" s="15"/>
    </row>
    <row r="14" spans="2:24">
      <c r="B14" s="14"/>
      <c r="F14" s="159"/>
      <c r="G14" s="160">
        <f t="shared" si="0"/>
        <v>0</v>
      </c>
      <c r="I14" s="159"/>
      <c r="J14" s="160" t="e">
        <f t="shared" si="3"/>
        <v>#DIV/0!</v>
      </c>
      <c r="L14" s="159"/>
      <c r="M14" s="160" t="e">
        <f t="shared" si="4"/>
        <v>#DIV/0!</v>
      </c>
      <c r="P14">
        <f t="shared" si="1"/>
        <v>0</v>
      </c>
      <c r="S14">
        <f t="shared" si="2"/>
        <v>0</v>
      </c>
      <c r="V14" s="159">
        <f t="shared" si="7"/>
        <v>0</v>
      </c>
      <c r="W14" s="160" t="e">
        <f t="shared" si="6"/>
        <v>#DIV/0!</v>
      </c>
      <c r="X14" s="15"/>
    </row>
    <row r="15" spans="2:24">
      <c r="B15" s="14"/>
      <c r="F15" s="159"/>
      <c r="G15" s="160">
        <f t="shared" si="0"/>
        <v>0</v>
      </c>
      <c r="I15" s="159"/>
      <c r="J15" s="160" t="e">
        <f t="shared" si="3"/>
        <v>#DIV/0!</v>
      </c>
      <c r="L15" s="159"/>
      <c r="M15" s="160" t="e">
        <f t="shared" si="4"/>
        <v>#DIV/0!</v>
      </c>
      <c r="P15">
        <f t="shared" si="1"/>
        <v>0</v>
      </c>
      <c r="S15">
        <f t="shared" si="2"/>
        <v>0</v>
      </c>
      <c r="V15" s="159">
        <f t="shared" si="7"/>
        <v>0</v>
      </c>
      <c r="W15" s="160" t="e">
        <f t="shared" si="6"/>
        <v>#DIV/0!</v>
      </c>
      <c r="X15" s="15"/>
    </row>
    <row r="16" spans="2:24">
      <c r="B16" s="14"/>
      <c r="F16" s="159"/>
      <c r="G16" s="160">
        <f t="shared" si="0"/>
        <v>0</v>
      </c>
      <c r="I16" s="159"/>
      <c r="J16" s="160" t="e">
        <f t="shared" si="3"/>
        <v>#DIV/0!</v>
      </c>
      <c r="L16" s="159"/>
      <c r="M16" s="160" t="e">
        <f t="shared" si="4"/>
        <v>#DIV/0!</v>
      </c>
      <c r="P16">
        <f t="shared" si="1"/>
        <v>0</v>
      </c>
      <c r="S16">
        <f t="shared" si="2"/>
        <v>0</v>
      </c>
      <c r="V16" s="159">
        <f t="shared" si="7"/>
        <v>0</v>
      </c>
      <c r="W16" s="160" t="e">
        <f t="shared" si="6"/>
        <v>#DIV/0!</v>
      </c>
      <c r="X16" s="15"/>
    </row>
    <row r="17" spans="2:24">
      <c r="B17" s="14"/>
      <c r="F17" s="159"/>
      <c r="G17" s="160">
        <f t="shared" si="0"/>
        <v>0</v>
      </c>
      <c r="I17" s="159"/>
      <c r="J17" s="160" t="e">
        <f t="shared" si="3"/>
        <v>#DIV/0!</v>
      </c>
      <c r="L17" s="159"/>
      <c r="M17" s="160" t="e">
        <f t="shared" si="4"/>
        <v>#DIV/0!</v>
      </c>
      <c r="P17">
        <f t="shared" si="1"/>
        <v>0</v>
      </c>
      <c r="S17">
        <f t="shared" si="2"/>
        <v>0</v>
      </c>
      <c r="V17" s="159">
        <f t="shared" si="7"/>
        <v>0</v>
      </c>
      <c r="W17" s="160" t="e">
        <f t="shared" si="6"/>
        <v>#DIV/0!</v>
      </c>
      <c r="X17" s="15"/>
    </row>
    <row r="18" spans="2:24">
      <c r="B18" s="14"/>
      <c r="F18" s="159"/>
      <c r="G18" s="160">
        <f t="shared" si="0"/>
        <v>0</v>
      </c>
      <c r="I18" s="159"/>
      <c r="J18" s="160" t="e">
        <f t="shared" si="3"/>
        <v>#DIV/0!</v>
      </c>
      <c r="L18" s="159"/>
      <c r="M18" s="160" t="e">
        <f t="shared" si="4"/>
        <v>#DIV/0!</v>
      </c>
      <c r="P18">
        <f t="shared" si="1"/>
        <v>0</v>
      </c>
      <c r="S18">
        <f t="shared" si="2"/>
        <v>0</v>
      </c>
      <c r="V18" s="159">
        <f t="shared" si="7"/>
        <v>0</v>
      </c>
      <c r="W18" s="160" t="e">
        <f t="shared" si="6"/>
        <v>#DIV/0!</v>
      </c>
      <c r="X18" s="15"/>
    </row>
    <row r="19" spans="2:24">
      <c r="B19" s="14"/>
      <c r="F19" s="159"/>
      <c r="G19" s="160">
        <f t="shared" si="0"/>
        <v>0</v>
      </c>
      <c r="I19" s="159"/>
      <c r="J19" s="160" t="e">
        <f t="shared" si="3"/>
        <v>#DIV/0!</v>
      </c>
      <c r="L19" s="159"/>
      <c r="M19" s="160" t="e">
        <f t="shared" si="4"/>
        <v>#DIV/0!</v>
      </c>
      <c r="P19">
        <f t="shared" si="1"/>
        <v>0</v>
      </c>
      <c r="S19">
        <f t="shared" si="2"/>
        <v>0</v>
      </c>
      <c r="V19" s="159">
        <f t="shared" si="7"/>
        <v>0</v>
      </c>
      <c r="W19" s="160" t="e">
        <f t="shared" si="6"/>
        <v>#DIV/0!</v>
      </c>
      <c r="X19" s="15"/>
    </row>
    <row r="20" spans="2:24">
      <c r="B20" s="14"/>
      <c r="F20" s="159"/>
      <c r="G20" s="160">
        <f t="shared" si="0"/>
        <v>0</v>
      </c>
      <c r="I20" s="159"/>
      <c r="J20" s="160" t="e">
        <f t="shared" si="3"/>
        <v>#DIV/0!</v>
      </c>
      <c r="L20" s="159"/>
      <c r="M20" s="160" t="e">
        <f t="shared" si="4"/>
        <v>#DIV/0!</v>
      </c>
      <c r="P20">
        <f t="shared" si="1"/>
        <v>0</v>
      </c>
      <c r="S20">
        <f t="shared" si="2"/>
        <v>0</v>
      </c>
      <c r="V20" s="159">
        <f t="shared" si="7"/>
        <v>0</v>
      </c>
      <c r="W20" s="160" t="e">
        <f t="shared" si="6"/>
        <v>#DIV/0!</v>
      </c>
      <c r="X20" s="15"/>
    </row>
    <row r="21" spans="2:24">
      <c r="B21" s="14"/>
      <c r="F21" s="159"/>
      <c r="G21" s="160">
        <f t="shared" si="0"/>
        <v>0</v>
      </c>
      <c r="I21" s="159"/>
      <c r="J21" s="160" t="e">
        <f t="shared" si="3"/>
        <v>#DIV/0!</v>
      </c>
      <c r="L21" s="159"/>
      <c r="M21" s="160" t="e">
        <f t="shared" si="4"/>
        <v>#DIV/0!</v>
      </c>
      <c r="P21">
        <f t="shared" si="1"/>
        <v>0</v>
      </c>
      <c r="S21">
        <f t="shared" si="2"/>
        <v>0</v>
      </c>
      <c r="V21" s="159">
        <f t="shared" si="7"/>
        <v>0</v>
      </c>
      <c r="W21" s="160" t="e">
        <f t="shared" si="6"/>
        <v>#DIV/0!</v>
      </c>
      <c r="X21" s="15"/>
    </row>
    <row r="22" spans="2:24">
      <c r="B22" s="14"/>
      <c r="F22" s="159"/>
      <c r="G22" s="160">
        <f t="shared" si="0"/>
        <v>0</v>
      </c>
      <c r="I22" s="159"/>
      <c r="J22" s="160" t="e">
        <f t="shared" si="3"/>
        <v>#DIV/0!</v>
      </c>
      <c r="L22" s="159"/>
      <c r="M22" s="160" t="e">
        <f t="shared" si="4"/>
        <v>#DIV/0!</v>
      </c>
      <c r="P22">
        <f t="shared" si="1"/>
        <v>0</v>
      </c>
      <c r="S22">
        <f t="shared" si="2"/>
        <v>0</v>
      </c>
      <c r="V22" s="159">
        <f t="shared" si="7"/>
        <v>0</v>
      </c>
      <c r="W22" s="160" t="e">
        <f t="shared" si="6"/>
        <v>#DIV/0!</v>
      </c>
      <c r="X22" s="15"/>
    </row>
    <row r="23" spans="2:24">
      <c r="B23" s="14"/>
      <c r="F23" s="159"/>
      <c r="G23" s="160">
        <f t="shared" si="0"/>
        <v>0</v>
      </c>
      <c r="I23" s="159"/>
      <c r="J23" s="160" t="e">
        <f t="shared" si="3"/>
        <v>#DIV/0!</v>
      </c>
      <c r="L23" s="159"/>
      <c r="M23" s="160" t="e">
        <f t="shared" si="4"/>
        <v>#DIV/0!</v>
      </c>
      <c r="P23">
        <f t="shared" si="1"/>
        <v>0</v>
      </c>
      <c r="S23">
        <f t="shared" si="2"/>
        <v>0</v>
      </c>
      <c r="V23" s="159">
        <f t="shared" si="7"/>
        <v>0</v>
      </c>
      <c r="W23" s="160" t="e">
        <f t="shared" si="6"/>
        <v>#DIV/0!</v>
      </c>
      <c r="X23" s="15"/>
    </row>
    <row r="24" spans="2:24">
      <c r="B24" s="14"/>
      <c r="F24" s="159"/>
      <c r="G24" s="160">
        <f t="shared" si="0"/>
        <v>0</v>
      </c>
      <c r="I24" s="159"/>
      <c r="J24" s="160" t="e">
        <f t="shared" si="3"/>
        <v>#DIV/0!</v>
      </c>
      <c r="L24" s="159"/>
      <c r="M24" s="160" t="e">
        <f t="shared" si="4"/>
        <v>#DIV/0!</v>
      </c>
      <c r="P24">
        <f t="shared" si="1"/>
        <v>0</v>
      </c>
      <c r="S24">
        <f t="shared" si="2"/>
        <v>0</v>
      </c>
      <c r="V24" s="159">
        <f t="shared" si="7"/>
        <v>0</v>
      </c>
      <c r="W24" s="160" t="e">
        <f t="shared" si="6"/>
        <v>#DIV/0!</v>
      </c>
      <c r="X24" s="15"/>
    </row>
    <row r="25" spans="2:24">
      <c r="B25" s="14"/>
      <c r="F25" s="159"/>
      <c r="G25" s="160">
        <f t="shared" si="0"/>
        <v>0</v>
      </c>
      <c r="I25" s="159"/>
      <c r="J25" s="160" t="e">
        <f t="shared" si="3"/>
        <v>#DIV/0!</v>
      </c>
      <c r="L25" s="159"/>
      <c r="M25" s="160" t="e">
        <f t="shared" si="4"/>
        <v>#DIV/0!</v>
      </c>
      <c r="P25">
        <f t="shared" si="1"/>
        <v>0</v>
      </c>
      <c r="S25">
        <f t="shared" si="2"/>
        <v>0</v>
      </c>
      <c r="V25" s="159">
        <f t="shared" si="7"/>
        <v>0</v>
      </c>
      <c r="W25" s="160" t="e">
        <f t="shared" si="6"/>
        <v>#DIV/0!</v>
      </c>
      <c r="X25" s="15"/>
    </row>
    <row r="26" spans="2:24">
      <c r="B26" s="14"/>
      <c r="F26" s="159"/>
      <c r="G26" s="160">
        <f t="shared" si="0"/>
        <v>0</v>
      </c>
      <c r="I26" s="159"/>
      <c r="J26" s="160" t="e">
        <f t="shared" si="3"/>
        <v>#DIV/0!</v>
      </c>
      <c r="L26" s="159"/>
      <c r="M26" s="160" t="e">
        <f t="shared" si="4"/>
        <v>#DIV/0!</v>
      </c>
      <c r="P26">
        <f t="shared" si="1"/>
        <v>0</v>
      </c>
      <c r="S26">
        <f t="shared" si="2"/>
        <v>0</v>
      </c>
      <c r="V26" s="159">
        <f t="shared" si="7"/>
        <v>0</v>
      </c>
      <c r="W26" s="160" t="e">
        <f t="shared" si="6"/>
        <v>#DIV/0!</v>
      </c>
      <c r="X26" s="15"/>
    </row>
    <row r="27" spans="2:24">
      <c r="B27" s="14"/>
      <c r="F27" s="159"/>
      <c r="G27" s="160">
        <f t="shared" si="0"/>
        <v>0</v>
      </c>
      <c r="I27" s="159"/>
      <c r="J27" s="160" t="e">
        <f t="shared" si="3"/>
        <v>#DIV/0!</v>
      </c>
      <c r="L27" s="159"/>
      <c r="M27" s="160" t="e">
        <f t="shared" si="4"/>
        <v>#DIV/0!</v>
      </c>
      <c r="P27">
        <f t="shared" si="1"/>
        <v>0</v>
      </c>
      <c r="S27">
        <f t="shared" si="2"/>
        <v>0</v>
      </c>
      <c r="V27" s="159">
        <f t="shared" si="7"/>
        <v>0</v>
      </c>
      <c r="W27" s="160" t="e">
        <f t="shared" si="6"/>
        <v>#DIV/0!</v>
      </c>
      <c r="X27" s="15"/>
    </row>
    <row r="28" spans="2:24">
      <c r="B28" s="14"/>
      <c r="F28" s="159"/>
      <c r="G28" s="160">
        <f t="shared" si="0"/>
        <v>0</v>
      </c>
      <c r="I28" s="159"/>
      <c r="J28" s="160" t="e">
        <f t="shared" si="3"/>
        <v>#DIV/0!</v>
      </c>
      <c r="L28" s="159"/>
      <c r="M28" s="160" t="e">
        <f t="shared" si="4"/>
        <v>#DIV/0!</v>
      </c>
      <c r="P28">
        <f t="shared" si="1"/>
        <v>0</v>
      </c>
      <c r="S28">
        <f t="shared" si="2"/>
        <v>0</v>
      </c>
      <c r="V28" s="159">
        <f t="shared" si="7"/>
        <v>0</v>
      </c>
      <c r="W28" s="160" t="e">
        <f t="shared" si="6"/>
        <v>#DIV/0!</v>
      </c>
      <c r="X28" s="15"/>
    </row>
    <row r="29" spans="2:24">
      <c r="B29" s="161" t="s">
        <v>29</v>
      </c>
      <c r="F29" s="24">
        <f>SUM(F7:F28)</f>
        <v>0</v>
      </c>
      <c r="G29" s="195">
        <f>IFERROR(F29/(F8+F9),0)</f>
        <v>0</v>
      </c>
      <c r="I29" s="24">
        <f>SUM(I7:I28)</f>
        <v>0</v>
      </c>
      <c r="J29" s="195" t="e">
        <f>I29/(I8+I9)</f>
        <v>#DIV/0!</v>
      </c>
      <c r="L29" s="24">
        <f>SUM(L7:L28)</f>
        <v>0</v>
      </c>
      <c r="M29" s="195" t="e">
        <f>L29/(L8+L9)</f>
        <v>#DIV/0!</v>
      </c>
      <c r="O29" s="4">
        <f>SUM(O7:O28)</f>
        <v>0</v>
      </c>
      <c r="R29" s="4">
        <f>SUM(R7:R28)</f>
        <v>0</v>
      </c>
      <c r="V29" s="24">
        <f>SUM(V7:V28)</f>
        <v>0</v>
      </c>
      <c r="W29" s="195" t="e">
        <f>V29/(V8+V9)</f>
        <v>#DIV/0!</v>
      </c>
      <c r="X29" s="15"/>
    </row>
    <row r="30" spans="2:24">
      <c r="B30" s="14"/>
      <c r="X30" s="15"/>
    </row>
    <row r="31" spans="2:24">
      <c r="B31" s="121" t="s">
        <v>31</v>
      </c>
      <c r="X31" s="15"/>
    </row>
    <row r="32" spans="2:24">
      <c r="B32" s="162"/>
      <c r="F32" s="159"/>
      <c r="G32" s="160">
        <f t="shared" ref="G32:G63" si="8">IFERROR(F32/$F$29,0)</f>
        <v>0</v>
      </c>
      <c r="I32" s="159"/>
      <c r="J32" s="160" t="e">
        <f>I32/$I$29</f>
        <v>#DIV/0!</v>
      </c>
      <c r="L32" s="159"/>
      <c r="M32" s="160" t="e">
        <f>L32/$L$29</f>
        <v>#DIV/0!</v>
      </c>
      <c r="P32">
        <f t="shared" ref="P32:P63" si="9">IFERROR(O32/$O$29,0)</f>
        <v>0</v>
      </c>
      <c r="S32">
        <f t="shared" ref="S32:S63" si="10">IFERROR(R32/$R$29,0)</f>
        <v>0</v>
      </c>
      <c r="V32" s="159">
        <f>U32+L32</f>
        <v>0</v>
      </c>
      <c r="W32" s="160" t="e">
        <f>V32/$V$29</f>
        <v>#DIV/0!</v>
      </c>
      <c r="X32" s="15"/>
    </row>
    <row r="33" spans="2:24">
      <c r="B33" s="162"/>
      <c r="F33" s="256"/>
      <c r="G33" s="195">
        <f t="shared" si="8"/>
        <v>0</v>
      </c>
      <c r="I33" s="256"/>
      <c r="J33" s="195" t="e">
        <f t="shared" ref="J33:J96" si="11">I33/$I$29</f>
        <v>#DIV/0!</v>
      </c>
      <c r="L33" s="256"/>
      <c r="M33" s="195" t="e">
        <f t="shared" ref="M33:M96" si="12">L33/$L$29</f>
        <v>#DIV/0!</v>
      </c>
      <c r="P33">
        <f t="shared" si="9"/>
        <v>0</v>
      </c>
      <c r="S33">
        <f t="shared" si="10"/>
        <v>0</v>
      </c>
      <c r="U33" s="257"/>
      <c r="V33" s="256">
        <f t="shared" ref="V33:V96" si="13">U33+L33</f>
        <v>0</v>
      </c>
      <c r="W33" s="195" t="e">
        <f t="shared" ref="W33:W96" si="14">V33/$V$29</f>
        <v>#DIV/0!</v>
      </c>
      <c r="X33" s="15"/>
    </row>
    <row r="34" spans="2:24" s="1218" customFormat="1">
      <c r="B34" s="1217"/>
      <c r="F34" s="256"/>
      <c r="G34" s="195">
        <f t="shared" si="8"/>
        <v>0</v>
      </c>
      <c r="I34" s="256"/>
      <c r="J34" s="195" t="e">
        <f t="shared" si="11"/>
        <v>#DIV/0!</v>
      </c>
      <c r="L34" s="256"/>
      <c r="M34" s="195" t="e">
        <f t="shared" si="12"/>
        <v>#DIV/0!</v>
      </c>
      <c r="P34" s="1218">
        <f t="shared" si="9"/>
        <v>0</v>
      </c>
      <c r="S34" s="1218">
        <f t="shared" si="10"/>
        <v>0</v>
      </c>
      <c r="V34" s="256">
        <f t="shared" si="13"/>
        <v>0</v>
      </c>
      <c r="W34" s="195" t="e">
        <f t="shared" si="14"/>
        <v>#DIV/0!</v>
      </c>
      <c r="X34" s="1219"/>
    </row>
    <row r="35" spans="2:24" s="1218" customFormat="1">
      <c r="B35" s="1217"/>
      <c r="F35" s="256"/>
      <c r="G35" s="195">
        <f t="shared" si="8"/>
        <v>0</v>
      </c>
      <c r="I35" s="256"/>
      <c r="J35" s="195" t="e">
        <f t="shared" si="11"/>
        <v>#DIV/0!</v>
      </c>
      <c r="L35" s="256"/>
      <c r="M35" s="195" t="e">
        <f t="shared" si="12"/>
        <v>#DIV/0!</v>
      </c>
      <c r="P35" s="1218">
        <f t="shared" si="9"/>
        <v>0</v>
      </c>
      <c r="S35" s="1218">
        <f t="shared" si="10"/>
        <v>0</v>
      </c>
      <c r="V35" s="256">
        <f t="shared" si="13"/>
        <v>0</v>
      </c>
      <c r="W35" s="195" t="e">
        <f t="shared" si="14"/>
        <v>#DIV/0!</v>
      </c>
      <c r="X35" s="1219"/>
    </row>
    <row r="36" spans="2:24" s="1218" customFormat="1">
      <c r="B36" s="1217"/>
      <c r="F36" s="256"/>
      <c r="G36" s="195">
        <f t="shared" si="8"/>
        <v>0</v>
      </c>
      <c r="I36" s="256"/>
      <c r="J36" s="195" t="e">
        <f t="shared" si="11"/>
        <v>#DIV/0!</v>
      </c>
      <c r="L36" s="256"/>
      <c r="M36" s="195" t="e">
        <f t="shared" si="12"/>
        <v>#DIV/0!</v>
      </c>
      <c r="P36" s="1218">
        <f t="shared" si="9"/>
        <v>0</v>
      </c>
      <c r="S36" s="1218">
        <f t="shared" si="10"/>
        <v>0</v>
      </c>
      <c r="U36" s="1220"/>
      <c r="V36" s="256">
        <f t="shared" si="13"/>
        <v>0</v>
      </c>
      <c r="W36" s="195" t="e">
        <f t="shared" si="14"/>
        <v>#DIV/0!</v>
      </c>
      <c r="X36" s="1219"/>
    </row>
    <row r="37" spans="2:24" s="1218" customFormat="1">
      <c r="B37" s="1217"/>
      <c r="F37" s="256"/>
      <c r="G37" s="195">
        <f t="shared" si="8"/>
        <v>0</v>
      </c>
      <c r="I37" s="256"/>
      <c r="J37" s="195" t="e">
        <f t="shared" si="11"/>
        <v>#DIV/0!</v>
      </c>
      <c r="L37" s="256"/>
      <c r="M37" s="195" t="e">
        <f t="shared" si="12"/>
        <v>#DIV/0!</v>
      </c>
      <c r="P37" s="1218">
        <f t="shared" si="9"/>
        <v>0</v>
      </c>
      <c r="S37" s="1218">
        <f t="shared" si="10"/>
        <v>0</v>
      </c>
      <c r="U37" s="1220"/>
      <c r="V37" s="256">
        <f t="shared" si="13"/>
        <v>0</v>
      </c>
      <c r="W37" s="195" t="e">
        <f t="shared" si="14"/>
        <v>#DIV/0!</v>
      </c>
      <c r="X37" s="1219"/>
    </row>
    <row r="38" spans="2:24" s="1218" customFormat="1">
      <c r="B38" s="1217"/>
      <c r="F38" s="256"/>
      <c r="G38" s="195">
        <f t="shared" si="8"/>
        <v>0</v>
      </c>
      <c r="I38" s="256"/>
      <c r="J38" s="195" t="e">
        <f t="shared" si="11"/>
        <v>#DIV/0!</v>
      </c>
      <c r="L38" s="256"/>
      <c r="M38" s="195" t="e">
        <f t="shared" si="12"/>
        <v>#DIV/0!</v>
      </c>
      <c r="P38" s="1218">
        <f t="shared" si="9"/>
        <v>0</v>
      </c>
      <c r="S38" s="1218">
        <f t="shared" si="10"/>
        <v>0</v>
      </c>
      <c r="U38" s="1220"/>
      <c r="V38" s="256">
        <f t="shared" si="13"/>
        <v>0</v>
      </c>
      <c r="W38" s="195" t="e">
        <f t="shared" si="14"/>
        <v>#DIV/0!</v>
      </c>
      <c r="X38" s="1219"/>
    </row>
    <row r="39" spans="2:24" s="1218" customFormat="1">
      <c r="B39" s="1217"/>
      <c r="F39" s="256"/>
      <c r="G39" s="195">
        <f t="shared" si="8"/>
        <v>0</v>
      </c>
      <c r="I39" s="256"/>
      <c r="J39" s="195" t="e">
        <f t="shared" si="11"/>
        <v>#DIV/0!</v>
      </c>
      <c r="L39" s="256"/>
      <c r="M39" s="195" t="e">
        <f t="shared" si="12"/>
        <v>#DIV/0!</v>
      </c>
      <c r="P39" s="1218">
        <f t="shared" si="9"/>
        <v>0</v>
      </c>
      <c r="S39" s="1218">
        <f t="shared" si="10"/>
        <v>0</v>
      </c>
      <c r="V39" s="256">
        <f t="shared" si="13"/>
        <v>0</v>
      </c>
      <c r="W39" s="195" t="e">
        <f t="shared" si="14"/>
        <v>#DIV/0!</v>
      </c>
      <c r="X39" s="1219"/>
    </row>
    <row r="40" spans="2:24" s="1218" customFormat="1">
      <c r="B40" s="1217"/>
      <c r="F40" s="256"/>
      <c r="G40" s="195">
        <f t="shared" si="8"/>
        <v>0</v>
      </c>
      <c r="I40" s="256"/>
      <c r="J40" s="195" t="e">
        <f t="shared" si="11"/>
        <v>#DIV/0!</v>
      </c>
      <c r="L40" s="256"/>
      <c r="M40" s="195" t="e">
        <f t="shared" si="12"/>
        <v>#DIV/0!</v>
      </c>
      <c r="P40" s="1218">
        <f t="shared" si="9"/>
        <v>0</v>
      </c>
      <c r="S40" s="1218">
        <f t="shared" si="10"/>
        <v>0</v>
      </c>
      <c r="U40" s="1220"/>
      <c r="V40" s="256">
        <f t="shared" si="13"/>
        <v>0</v>
      </c>
      <c r="W40" s="195" t="e">
        <f t="shared" si="14"/>
        <v>#DIV/0!</v>
      </c>
      <c r="X40" s="1219"/>
    </row>
    <row r="41" spans="2:24" s="1218" customFormat="1">
      <c r="B41" s="1217"/>
      <c r="F41" s="256"/>
      <c r="G41" s="195">
        <f t="shared" si="8"/>
        <v>0</v>
      </c>
      <c r="I41" s="256"/>
      <c r="J41" s="195" t="e">
        <f t="shared" si="11"/>
        <v>#DIV/0!</v>
      </c>
      <c r="L41" s="256"/>
      <c r="M41" s="195" t="e">
        <f t="shared" si="12"/>
        <v>#DIV/0!</v>
      </c>
      <c r="P41" s="1218">
        <f t="shared" si="9"/>
        <v>0</v>
      </c>
      <c r="S41" s="1218">
        <f t="shared" si="10"/>
        <v>0</v>
      </c>
      <c r="V41" s="256">
        <f t="shared" si="13"/>
        <v>0</v>
      </c>
      <c r="W41" s="195" t="e">
        <f t="shared" si="14"/>
        <v>#DIV/0!</v>
      </c>
      <c r="X41" s="1219"/>
    </row>
    <row r="42" spans="2:24" s="1218" customFormat="1">
      <c r="B42" s="1217"/>
      <c r="F42" s="256"/>
      <c r="G42" s="195">
        <f t="shared" si="8"/>
        <v>0</v>
      </c>
      <c r="I42" s="256"/>
      <c r="J42" s="195" t="e">
        <f t="shared" si="11"/>
        <v>#DIV/0!</v>
      </c>
      <c r="L42" s="256"/>
      <c r="M42" s="195" t="e">
        <f t="shared" si="12"/>
        <v>#DIV/0!</v>
      </c>
      <c r="P42" s="1218">
        <f t="shared" si="9"/>
        <v>0</v>
      </c>
      <c r="S42" s="1218">
        <f t="shared" si="10"/>
        <v>0</v>
      </c>
      <c r="V42" s="256">
        <f t="shared" si="13"/>
        <v>0</v>
      </c>
      <c r="W42" s="195" t="e">
        <f t="shared" si="14"/>
        <v>#DIV/0!</v>
      </c>
      <c r="X42" s="1219"/>
    </row>
    <row r="43" spans="2:24" s="1218" customFormat="1">
      <c r="B43" s="1217"/>
      <c r="F43" s="256"/>
      <c r="G43" s="195">
        <f t="shared" si="8"/>
        <v>0</v>
      </c>
      <c r="I43" s="256"/>
      <c r="J43" s="195" t="e">
        <f t="shared" si="11"/>
        <v>#DIV/0!</v>
      </c>
      <c r="L43" s="256"/>
      <c r="M43" s="195" t="e">
        <f t="shared" si="12"/>
        <v>#DIV/0!</v>
      </c>
      <c r="P43" s="1218">
        <f t="shared" si="9"/>
        <v>0</v>
      </c>
      <c r="S43" s="1218">
        <f t="shared" si="10"/>
        <v>0</v>
      </c>
      <c r="V43" s="256">
        <f t="shared" si="13"/>
        <v>0</v>
      </c>
      <c r="W43" s="195" t="e">
        <f t="shared" si="14"/>
        <v>#DIV/0!</v>
      </c>
      <c r="X43" s="1219"/>
    </row>
    <row r="44" spans="2:24" s="1218" customFormat="1">
      <c r="B44" s="1217"/>
      <c r="F44" s="256"/>
      <c r="G44" s="195">
        <f t="shared" si="8"/>
        <v>0</v>
      </c>
      <c r="I44" s="256"/>
      <c r="J44" s="195" t="e">
        <f t="shared" si="11"/>
        <v>#DIV/0!</v>
      </c>
      <c r="L44" s="256"/>
      <c r="M44" s="195" t="e">
        <f t="shared" si="12"/>
        <v>#DIV/0!</v>
      </c>
      <c r="P44" s="1218">
        <f t="shared" si="9"/>
        <v>0</v>
      </c>
      <c r="S44" s="1218">
        <f t="shared" si="10"/>
        <v>0</v>
      </c>
      <c r="U44" s="1220"/>
      <c r="V44" s="256">
        <f t="shared" si="13"/>
        <v>0</v>
      </c>
      <c r="W44" s="195" t="e">
        <f t="shared" si="14"/>
        <v>#DIV/0!</v>
      </c>
      <c r="X44" s="1219"/>
    </row>
    <row r="45" spans="2:24" s="1218" customFormat="1">
      <c r="B45" s="1217"/>
      <c r="F45" s="256"/>
      <c r="G45" s="195">
        <f t="shared" si="8"/>
        <v>0</v>
      </c>
      <c r="I45" s="256"/>
      <c r="J45" s="195" t="e">
        <f t="shared" si="11"/>
        <v>#DIV/0!</v>
      </c>
      <c r="L45" s="256"/>
      <c r="M45" s="195" t="e">
        <f t="shared" si="12"/>
        <v>#DIV/0!</v>
      </c>
      <c r="P45" s="1218">
        <f t="shared" si="9"/>
        <v>0</v>
      </c>
      <c r="S45" s="1218">
        <f t="shared" si="10"/>
        <v>0</v>
      </c>
      <c r="V45" s="256">
        <f t="shared" si="13"/>
        <v>0</v>
      </c>
      <c r="W45" s="195" t="e">
        <f t="shared" si="14"/>
        <v>#DIV/0!</v>
      </c>
      <c r="X45" s="1219"/>
    </row>
    <row r="46" spans="2:24" s="1218" customFormat="1">
      <c r="B46" s="1217"/>
      <c r="F46" s="256"/>
      <c r="G46" s="195">
        <f t="shared" si="8"/>
        <v>0</v>
      </c>
      <c r="I46" s="256"/>
      <c r="J46" s="195" t="e">
        <f t="shared" si="11"/>
        <v>#DIV/0!</v>
      </c>
      <c r="L46" s="256"/>
      <c r="M46" s="195" t="e">
        <f t="shared" si="12"/>
        <v>#DIV/0!</v>
      </c>
      <c r="P46" s="1218">
        <f t="shared" si="9"/>
        <v>0</v>
      </c>
      <c r="S46" s="1218">
        <f t="shared" si="10"/>
        <v>0</v>
      </c>
      <c r="V46" s="256">
        <f t="shared" si="13"/>
        <v>0</v>
      </c>
      <c r="W46" s="195" t="e">
        <f t="shared" si="14"/>
        <v>#DIV/0!</v>
      </c>
      <c r="X46" s="1219"/>
    </row>
    <row r="47" spans="2:24" s="1218" customFormat="1">
      <c r="B47" s="1217"/>
      <c r="F47" s="256"/>
      <c r="G47" s="195">
        <f t="shared" si="8"/>
        <v>0</v>
      </c>
      <c r="I47" s="256"/>
      <c r="J47" s="195" t="e">
        <f t="shared" si="11"/>
        <v>#DIV/0!</v>
      </c>
      <c r="L47" s="256"/>
      <c r="M47" s="195" t="e">
        <f t="shared" si="12"/>
        <v>#DIV/0!</v>
      </c>
      <c r="P47" s="1218">
        <f t="shared" si="9"/>
        <v>0</v>
      </c>
      <c r="S47" s="1218">
        <f t="shared" si="10"/>
        <v>0</v>
      </c>
      <c r="V47" s="256">
        <f t="shared" si="13"/>
        <v>0</v>
      </c>
      <c r="W47" s="195" t="e">
        <f t="shared" si="14"/>
        <v>#DIV/0!</v>
      </c>
      <c r="X47" s="1219"/>
    </row>
    <row r="48" spans="2:24" s="1218" customFormat="1">
      <c r="B48" s="1217"/>
      <c r="F48" s="256"/>
      <c r="G48" s="195">
        <f t="shared" si="8"/>
        <v>0</v>
      </c>
      <c r="I48" s="256"/>
      <c r="J48" s="195" t="e">
        <f t="shared" si="11"/>
        <v>#DIV/0!</v>
      </c>
      <c r="L48" s="256"/>
      <c r="M48" s="195" t="e">
        <f t="shared" si="12"/>
        <v>#DIV/0!</v>
      </c>
      <c r="P48" s="1218">
        <f t="shared" si="9"/>
        <v>0</v>
      </c>
      <c r="S48" s="1218">
        <f t="shared" si="10"/>
        <v>0</v>
      </c>
      <c r="V48" s="256">
        <f t="shared" si="13"/>
        <v>0</v>
      </c>
      <c r="W48" s="195" t="e">
        <f t="shared" si="14"/>
        <v>#DIV/0!</v>
      </c>
      <c r="X48" s="1219"/>
    </row>
    <row r="49" spans="2:24" s="1218" customFormat="1">
      <c r="B49" s="1217"/>
      <c r="F49" s="256"/>
      <c r="G49" s="195">
        <f t="shared" si="8"/>
        <v>0</v>
      </c>
      <c r="I49" s="256"/>
      <c r="J49" s="195" t="e">
        <f t="shared" si="11"/>
        <v>#DIV/0!</v>
      </c>
      <c r="L49" s="256"/>
      <c r="M49" s="195" t="e">
        <f t="shared" si="12"/>
        <v>#DIV/0!</v>
      </c>
      <c r="P49" s="1218">
        <f t="shared" si="9"/>
        <v>0</v>
      </c>
      <c r="S49" s="1218">
        <f t="shared" si="10"/>
        <v>0</v>
      </c>
      <c r="V49" s="256">
        <f t="shared" si="13"/>
        <v>0</v>
      </c>
      <c r="W49" s="195" t="e">
        <f t="shared" si="14"/>
        <v>#DIV/0!</v>
      </c>
      <c r="X49" s="1219"/>
    </row>
    <row r="50" spans="2:24" s="1218" customFormat="1">
      <c r="B50" s="1217"/>
      <c r="F50" s="256"/>
      <c r="G50" s="195">
        <f t="shared" si="8"/>
        <v>0</v>
      </c>
      <c r="I50" s="256"/>
      <c r="J50" s="195" t="e">
        <f t="shared" si="11"/>
        <v>#DIV/0!</v>
      </c>
      <c r="L50" s="256"/>
      <c r="M50" s="195" t="e">
        <f t="shared" si="12"/>
        <v>#DIV/0!</v>
      </c>
      <c r="P50" s="1218">
        <f t="shared" si="9"/>
        <v>0</v>
      </c>
      <c r="S50" s="1218">
        <f t="shared" si="10"/>
        <v>0</v>
      </c>
      <c r="V50" s="256">
        <f t="shared" si="13"/>
        <v>0</v>
      </c>
      <c r="W50" s="195" t="e">
        <f t="shared" si="14"/>
        <v>#DIV/0!</v>
      </c>
      <c r="X50" s="1219"/>
    </row>
    <row r="51" spans="2:24" s="1218" customFormat="1">
      <c r="B51" s="1217"/>
      <c r="F51" s="256"/>
      <c r="G51" s="195">
        <f t="shared" si="8"/>
        <v>0</v>
      </c>
      <c r="I51" s="256"/>
      <c r="J51" s="195" t="e">
        <f t="shared" si="11"/>
        <v>#DIV/0!</v>
      </c>
      <c r="L51" s="256"/>
      <c r="M51" s="195" t="e">
        <f t="shared" si="12"/>
        <v>#DIV/0!</v>
      </c>
      <c r="P51" s="1218">
        <f t="shared" si="9"/>
        <v>0</v>
      </c>
      <c r="S51" s="1218">
        <f t="shared" si="10"/>
        <v>0</v>
      </c>
      <c r="V51" s="256">
        <f t="shared" si="13"/>
        <v>0</v>
      </c>
      <c r="W51" s="195" t="e">
        <f t="shared" si="14"/>
        <v>#DIV/0!</v>
      </c>
      <c r="X51" s="1219"/>
    </row>
    <row r="52" spans="2:24" s="1218" customFormat="1">
      <c r="B52" s="1217"/>
      <c r="F52" s="256"/>
      <c r="G52" s="195">
        <f t="shared" si="8"/>
        <v>0</v>
      </c>
      <c r="I52" s="256"/>
      <c r="J52" s="195" t="e">
        <f t="shared" si="11"/>
        <v>#DIV/0!</v>
      </c>
      <c r="L52" s="256"/>
      <c r="M52" s="195" t="e">
        <f t="shared" si="12"/>
        <v>#DIV/0!</v>
      </c>
      <c r="P52" s="1218">
        <f t="shared" si="9"/>
        <v>0</v>
      </c>
      <c r="S52" s="1218">
        <f t="shared" si="10"/>
        <v>0</v>
      </c>
      <c r="U52" s="1220"/>
      <c r="V52" s="256">
        <f t="shared" si="13"/>
        <v>0</v>
      </c>
      <c r="W52" s="195" t="e">
        <f t="shared" si="14"/>
        <v>#DIV/0!</v>
      </c>
      <c r="X52" s="1219"/>
    </row>
    <row r="53" spans="2:24" s="1218" customFormat="1">
      <c r="B53" s="1217"/>
      <c r="F53" s="256"/>
      <c r="G53" s="195">
        <f t="shared" si="8"/>
        <v>0</v>
      </c>
      <c r="I53" s="256"/>
      <c r="J53" s="195" t="e">
        <f t="shared" si="11"/>
        <v>#DIV/0!</v>
      </c>
      <c r="L53" s="256"/>
      <c r="M53" s="195" t="e">
        <f t="shared" si="12"/>
        <v>#DIV/0!</v>
      </c>
      <c r="P53" s="1218">
        <f t="shared" si="9"/>
        <v>0</v>
      </c>
      <c r="S53" s="1218">
        <f t="shared" si="10"/>
        <v>0</v>
      </c>
      <c r="V53" s="256">
        <f t="shared" si="13"/>
        <v>0</v>
      </c>
      <c r="W53" s="195" t="e">
        <f t="shared" si="14"/>
        <v>#DIV/0!</v>
      </c>
      <c r="X53" s="1219"/>
    </row>
    <row r="54" spans="2:24" s="1218" customFormat="1">
      <c r="B54" s="1217"/>
      <c r="F54" s="256"/>
      <c r="G54" s="195">
        <f t="shared" si="8"/>
        <v>0</v>
      </c>
      <c r="I54" s="256"/>
      <c r="J54" s="195" t="e">
        <f t="shared" si="11"/>
        <v>#DIV/0!</v>
      </c>
      <c r="L54" s="256"/>
      <c r="M54" s="195" t="e">
        <f t="shared" si="12"/>
        <v>#DIV/0!</v>
      </c>
      <c r="P54" s="1218">
        <f t="shared" si="9"/>
        <v>0</v>
      </c>
      <c r="S54" s="1218">
        <f t="shared" si="10"/>
        <v>0</v>
      </c>
      <c r="V54" s="256">
        <f t="shared" si="13"/>
        <v>0</v>
      </c>
      <c r="W54" s="195" t="e">
        <f t="shared" si="14"/>
        <v>#DIV/0!</v>
      </c>
      <c r="X54" s="1219"/>
    </row>
    <row r="55" spans="2:24" s="1218" customFormat="1">
      <c r="B55" s="1217"/>
      <c r="F55" s="256"/>
      <c r="G55" s="195">
        <f t="shared" si="8"/>
        <v>0</v>
      </c>
      <c r="I55" s="256"/>
      <c r="J55" s="195" t="e">
        <f t="shared" si="11"/>
        <v>#DIV/0!</v>
      </c>
      <c r="L55" s="256"/>
      <c r="M55" s="195" t="e">
        <f t="shared" si="12"/>
        <v>#DIV/0!</v>
      </c>
      <c r="P55" s="1218">
        <f t="shared" si="9"/>
        <v>0</v>
      </c>
      <c r="S55" s="1218">
        <f t="shared" si="10"/>
        <v>0</v>
      </c>
      <c r="V55" s="256">
        <f t="shared" si="13"/>
        <v>0</v>
      </c>
      <c r="W55" s="195" t="e">
        <f t="shared" si="14"/>
        <v>#DIV/0!</v>
      </c>
      <c r="X55" s="1219"/>
    </row>
    <row r="56" spans="2:24" s="1218" customFormat="1">
      <c r="B56" s="1217"/>
      <c r="F56" s="256"/>
      <c r="G56" s="195">
        <f t="shared" si="8"/>
        <v>0</v>
      </c>
      <c r="I56" s="256"/>
      <c r="J56" s="195" t="e">
        <f t="shared" si="11"/>
        <v>#DIV/0!</v>
      </c>
      <c r="L56" s="256"/>
      <c r="M56" s="195" t="e">
        <f t="shared" si="12"/>
        <v>#DIV/0!</v>
      </c>
      <c r="P56" s="1218">
        <f t="shared" si="9"/>
        <v>0</v>
      </c>
      <c r="S56" s="1218">
        <f t="shared" si="10"/>
        <v>0</v>
      </c>
      <c r="V56" s="256">
        <f t="shared" si="13"/>
        <v>0</v>
      </c>
      <c r="W56" s="195" t="e">
        <f t="shared" si="14"/>
        <v>#DIV/0!</v>
      </c>
      <c r="X56" s="1219"/>
    </row>
    <row r="57" spans="2:24" s="1218" customFormat="1">
      <c r="B57" s="1217"/>
      <c r="F57" s="256"/>
      <c r="G57" s="195">
        <f t="shared" si="8"/>
        <v>0</v>
      </c>
      <c r="I57" s="256"/>
      <c r="J57" s="195" t="e">
        <f t="shared" si="11"/>
        <v>#DIV/0!</v>
      </c>
      <c r="L57" s="256"/>
      <c r="M57" s="195" t="e">
        <f t="shared" si="12"/>
        <v>#DIV/0!</v>
      </c>
      <c r="P57" s="1218">
        <f t="shared" si="9"/>
        <v>0</v>
      </c>
      <c r="S57" s="1218">
        <f t="shared" si="10"/>
        <v>0</v>
      </c>
      <c r="V57" s="256">
        <f t="shared" si="13"/>
        <v>0</v>
      </c>
      <c r="W57" s="195" t="e">
        <f t="shared" si="14"/>
        <v>#DIV/0!</v>
      </c>
      <c r="X57" s="1219"/>
    </row>
    <row r="58" spans="2:24" s="1218" customFormat="1">
      <c r="B58" s="1217"/>
      <c r="F58" s="256"/>
      <c r="G58" s="195">
        <f t="shared" si="8"/>
        <v>0</v>
      </c>
      <c r="I58" s="256"/>
      <c r="J58" s="195" t="e">
        <f t="shared" si="11"/>
        <v>#DIV/0!</v>
      </c>
      <c r="L58" s="256"/>
      <c r="M58" s="195" t="e">
        <f t="shared" si="12"/>
        <v>#DIV/0!</v>
      </c>
      <c r="P58" s="1218">
        <f t="shared" si="9"/>
        <v>0</v>
      </c>
      <c r="S58" s="1218">
        <f t="shared" si="10"/>
        <v>0</v>
      </c>
      <c r="V58" s="256">
        <f t="shared" si="13"/>
        <v>0</v>
      </c>
      <c r="W58" s="195" t="e">
        <f t="shared" si="14"/>
        <v>#DIV/0!</v>
      </c>
      <c r="X58" s="1219"/>
    </row>
    <row r="59" spans="2:24" s="1218" customFormat="1">
      <c r="B59" s="1217"/>
      <c r="F59" s="256"/>
      <c r="G59" s="195">
        <f t="shared" si="8"/>
        <v>0</v>
      </c>
      <c r="I59" s="256"/>
      <c r="J59" s="195" t="e">
        <f t="shared" si="11"/>
        <v>#DIV/0!</v>
      </c>
      <c r="L59" s="256"/>
      <c r="M59" s="195" t="e">
        <f t="shared" si="12"/>
        <v>#DIV/0!</v>
      </c>
      <c r="P59" s="1218">
        <f t="shared" si="9"/>
        <v>0</v>
      </c>
      <c r="S59" s="1218">
        <f t="shared" si="10"/>
        <v>0</v>
      </c>
      <c r="V59" s="256">
        <f t="shared" si="13"/>
        <v>0</v>
      </c>
      <c r="W59" s="195" t="e">
        <f t="shared" si="14"/>
        <v>#DIV/0!</v>
      </c>
      <c r="X59" s="1219"/>
    </row>
    <row r="60" spans="2:24" s="1218" customFormat="1">
      <c r="B60" s="1217"/>
      <c r="F60" s="256"/>
      <c r="G60" s="195">
        <f t="shared" si="8"/>
        <v>0</v>
      </c>
      <c r="I60" s="256"/>
      <c r="J60" s="195" t="e">
        <f t="shared" si="11"/>
        <v>#DIV/0!</v>
      </c>
      <c r="L60" s="256"/>
      <c r="M60" s="195" t="e">
        <f t="shared" si="12"/>
        <v>#DIV/0!</v>
      </c>
      <c r="P60" s="1218">
        <f t="shared" si="9"/>
        <v>0</v>
      </c>
      <c r="S60" s="1218">
        <f t="shared" si="10"/>
        <v>0</v>
      </c>
      <c r="U60" s="1220"/>
      <c r="V60" s="256">
        <f t="shared" si="13"/>
        <v>0</v>
      </c>
      <c r="W60" s="195" t="e">
        <f t="shared" si="14"/>
        <v>#DIV/0!</v>
      </c>
      <c r="X60" s="1219"/>
    </row>
    <row r="61" spans="2:24" s="1218" customFormat="1">
      <c r="B61" s="1217"/>
      <c r="F61" s="256"/>
      <c r="G61" s="195">
        <f t="shared" si="8"/>
        <v>0</v>
      </c>
      <c r="I61" s="256"/>
      <c r="J61" s="195" t="e">
        <f t="shared" si="11"/>
        <v>#DIV/0!</v>
      </c>
      <c r="L61" s="256"/>
      <c r="M61" s="195" t="e">
        <f t="shared" si="12"/>
        <v>#DIV/0!</v>
      </c>
      <c r="P61" s="1218">
        <f t="shared" si="9"/>
        <v>0</v>
      </c>
      <c r="S61" s="1218">
        <f t="shared" si="10"/>
        <v>0</v>
      </c>
      <c r="V61" s="256">
        <f t="shared" si="13"/>
        <v>0</v>
      </c>
      <c r="W61" s="195" t="e">
        <f t="shared" si="14"/>
        <v>#DIV/0!</v>
      </c>
      <c r="X61" s="1219"/>
    </row>
    <row r="62" spans="2:24" s="1218" customFormat="1">
      <c r="B62" s="1217"/>
      <c r="F62" s="256"/>
      <c r="G62" s="195">
        <f t="shared" si="8"/>
        <v>0</v>
      </c>
      <c r="I62" s="256"/>
      <c r="J62" s="195" t="e">
        <f t="shared" si="11"/>
        <v>#DIV/0!</v>
      </c>
      <c r="L62" s="256"/>
      <c r="M62" s="195" t="e">
        <f t="shared" si="12"/>
        <v>#DIV/0!</v>
      </c>
      <c r="P62" s="1218">
        <f t="shared" si="9"/>
        <v>0</v>
      </c>
      <c r="S62" s="1218">
        <f t="shared" si="10"/>
        <v>0</v>
      </c>
      <c r="V62" s="256">
        <f t="shared" si="13"/>
        <v>0</v>
      </c>
      <c r="W62" s="195" t="e">
        <f t="shared" si="14"/>
        <v>#DIV/0!</v>
      </c>
      <c r="X62" s="1219"/>
    </row>
    <row r="63" spans="2:24" s="1218" customFormat="1">
      <c r="B63" s="1217"/>
      <c r="F63" s="256"/>
      <c r="G63" s="195">
        <f t="shared" si="8"/>
        <v>0</v>
      </c>
      <c r="I63" s="256"/>
      <c r="J63" s="195" t="e">
        <f t="shared" si="11"/>
        <v>#DIV/0!</v>
      </c>
      <c r="L63" s="256"/>
      <c r="M63" s="195" t="e">
        <f t="shared" si="12"/>
        <v>#DIV/0!</v>
      </c>
      <c r="P63" s="1218">
        <f t="shared" si="9"/>
        <v>0</v>
      </c>
      <c r="S63" s="1218">
        <f t="shared" si="10"/>
        <v>0</v>
      </c>
      <c r="U63" s="1220"/>
      <c r="V63" s="256">
        <f t="shared" si="13"/>
        <v>0</v>
      </c>
      <c r="W63" s="195" t="e">
        <f t="shared" si="14"/>
        <v>#DIV/0!</v>
      </c>
      <c r="X63" s="1219"/>
    </row>
    <row r="64" spans="2:24" s="1218" customFormat="1">
      <c r="B64" s="1217"/>
      <c r="F64" s="256"/>
      <c r="G64" s="195">
        <f t="shared" ref="G64:G95" si="15">IFERROR(F64/$F$29,0)</f>
        <v>0</v>
      </c>
      <c r="I64" s="256"/>
      <c r="J64" s="195" t="e">
        <f t="shared" si="11"/>
        <v>#DIV/0!</v>
      </c>
      <c r="L64" s="256"/>
      <c r="M64" s="195" t="e">
        <f t="shared" si="12"/>
        <v>#DIV/0!</v>
      </c>
      <c r="P64" s="1218">
        <f t="shared" ref="P64:P95" si="16">IFERROR(O64/$O$29,0)</f>
        <v>0</v>
      </c>
      <c r="S64" s="1218">
        <f t="shared" ref="S64:S95" si="17">IFERROR(R64/$R$29,0)</f>
        <v>0</v>
      </c>
      <c r="V64" s="256">
        <f t="shared" si="13"/>
        <v>0</v>
      </c>
      <c r="W64" s="195" t="e">
        <f t="shared" si="14"/>
        <v>#DIV/0!</v>
      </c>
      <c r="X64" s="1219"/>
    </row>
    <row r="65" spans="2:24" s="1218" customFormat="1">
      <c r="B65" s="1217"/>
      <c r="F65" s="256"/>
      <c r="G65" s="195">
        <f t="shared" si="15"/>
        <v>0</v>
      </c>
      <c r="I65" s="256"/>
      <c r="J65" s="195" t="e">
        <f t="shared" si="11"/>
        <v>#DIV/0!</v>
      </c>
      <c r="L65" s="256"/>
      <c r="M65" s="195" t="e">
        <f t="shared" si="12"/>
        <v>#DIV/0!</v>
      </c>
      <c r="P65" s="1218">
        <f t="shared" si="16"/>
        <v>0</v>
      </c>
      <c r="S65" s="1218">
        <f t="shared" si="17"/>
        <v>0</v>
      </c>
      <c r="V65" s="256">
        <f t="shared" si="13"/>
        <v>0</v>
      </c>
      <c r="W65" s="195" t="e">
        <f t="shared" si="14"/>
        <v>#DIV/0!</v>
      </c>
      <c r="X65" s="1219"/>
    </row>
    <row r="66" spans="2:24" s="1218" customFormat="1">
      <c r="B66" s="1217"/>
      <c r="F66" s="256"/>
      <c r="G66" s="195">
        <f t="shared" si="15"/>
        <v>0</v>
      </c>
      <c r="I66" s="256"/>
      <c r="J66" s="195" t="e">
        <f t="shared" si="11"/>
        <v>#DIV/0!</v>
      </c>
      <c r="L66" s="256"/>
      <c r="M66" s="195" t="e">
        <f t="shared" si="12"/>
        <v>#DIV/0!</v>
      </c>
      <c r="P66" s="1218">
        <f t="shared" si="16"/>
        <v>0</v>
      </c>
      <c r="S66" s="1218">
        <f t="shared" si="17"/>
        <v>0</v>
      </c>
      <c r="V66" s="256">
        <f t="shared" si="13"/>
        <v>0</v>
      </c>
      <c r="W66" s="195" t="e">
        <f t="shared" si="14"/>
        <v>#DIV/0!</v>
      </c>
      <c r="X66" s="1219"/>
    </row>
    <row r="67" spans="2:24" s="1218" customFormat="1">
      <c r="B67" s="1217"/>
      <c r="F67" s="256"/>
      <c r="G67" s="195">
        <f t="shared" si="15"/>
        <v>0</v>
      </c>
      <c r="I67" s="256"/>
      <c r="J67" s="195" t="e">
        <f t="shared" si="11"/>
        <v>#DIV/0!</v>
      </c>
      <c r="L67" s="256"/>
      <c r="M67" s="195" t="e">
        <f t="shared" si="12"/>
        <v>#DIV/0!</v>
      </c>
      <c r="P67" s="1218">
        <f t="shared" si="16"/>
        <v>0</v>
      </c>
      <c r="S67" s="1218">
        <f t="shared" si="17"/>
        <v>0</v>
      </c>
      <c r="V67" s="256">
        <f t="shared" si="13"/>
        <v>0</v>
      </c>
      <c r="W67" s="195" t="e">
        <f t="shared" si="14"/>
        <v>#DIV/0!</v>
      </c>
      <c r="X67" s="1219"/>
    </row>
    <row r="68" spans="2:24" s="1218" customFormat="1">
      <c r="B68" s="1217"/>
      <c r="F68" s="256"/>
      <c r="G68" s="195">
        <f t="shared" si="15"/>
        <v>0</v>
      </c>
      <c r="I68" s="256"/>
      <c r="J68" s="195" t="e">
        <f t="shared" si="11"/>
        <v>#DIV/0!</v>
      </c>
      <c r="L68" s="256"/>
      <c r="M68" s="195" t="e">
        <f t="shared" si="12"/>
        <v>#DIV/0!</v>
      </c>
      <c r="P68" s="1218">
        <f t="shared" si="16"/>
        <v>0</v>
      </c>
      <c r="S68" s="1218">
        <f t="shared" si="17"/>
        <v>0</v>
      </c>
      <c r="V68" s="256">
        <f t="shared" si="13"/>
        <v>0</v>
      </c>
      <c r="W68" s="195" t="e">
        <f t="shared" si="14"/>
        <v>#DIV/0!</v>
      </c>
      <c r="X68" s="1219"/>
    </row>
    <row r="69" spans="2:24" s="1218" customFormat="1">
      <c r="B69" s="1217"/>
      <c r="F69" s="256"/>
      <c r="G69" s="195">
        <f t="shared" si="15"/>
        <v>0</v>
      </c>
      <c r="I69" s="256"/>
      <c r="J69" s="195" t="e">
        <f t="shared" si="11"/>
        <v>#DIV/0!</v>
      </c>
      <c r="L69" s="256"/>
      <c r="M69" s="195" t="e">
        <f t="shared" si="12"/>
        <v>#DIV/0!</v>
      </c>
      <c r="P69" s="1218">
        <f t="shared" si="16"/>
        <v>0</v>
      </c>
      <c r="S69" s="1218">
        <f t="shared" si="17"/>
        <v>0</v>
      </c>
      <c r="V69" s="256">
        <f t="shared" si="13"/>
        <v>0</v>
      </c>
      <c r="W69" s="195" t="e">
        <f t="shared" si="14"/>
        <v>#DIV/0!</v>
      </c>
      <c r="X69" s="1219"/>
    </row>
    <row r="70" spans="2:24" s="1218" customFormat="1">
      <c r="B70" s="1217"/>
      <c r="F70" s="256"/>
      <c r="G70" s="195">
        <f t="shared" si="15"/>
        <v>0</v>
      </c>
      <c r="I70" s="256"/>
      <c r="J70" s="195" t="e">
        <f t="shared" si="11"/>
        <v>#DIV/0!</v>
      </c>
      <c r="L70" s="256"/>
      <c r="M70" s="195" t="e">
        <f t="shared" si="12"/>
        <v>#DIV/0!</v>
      </c>
      <c r="P70" s="1218">
        <f t="shared" si="16"/>
        <v>0</v>
      </c>
      <c r="S70" s="1218">
        <f t="shared" si="17"/>
        <v>0</v>
      </c>
      <c r="V70" s="256">
        <f t="shared" si="13"/>
        <v>0</v>
      </c>
      <c r="W70" s="195" t="e">
        <f t="shared" si="14"/>
        <v>#DIV/0!</v>
      </c>
      <c r="X70" s="1219"/>
    </row>
    <row r="71" spans="2:24" s="1218" customFormat="1">
      <c r="B71" s="1217"/>
      <c r="F71" s="256"/>
      <c r="G71" s="195">
        <f t="shared" si="15"/>
        <v>0</v>
      </c>
      <c r="I71" s="256"/>
      <c r="J71" s="195" t="e">
        <f t="shared" si="11"/>
        <v>#DIV/0!</v>
      </c>
      <c r="L71" s="256"/>
      <c r="M71" s="195" t="e">
        <f t="shared" si="12"/>
        <v>#DIV/0!</v>
      </c>
      <c r="P71" s="1218">
        <f t="shared" si="16"/>
        <v>0</v>
      </c>
      <c r="S71" s="1218">
        <f t="shared" si="17"/>
        <v>0</v>
      </c>
      <c r="V71" s="256">
        <f t="shared" si="13"/>
        <v>0</v>
      </c>
      <c r="W71" s="195" t="e">
        <f t="shared" si="14"/>
        <v>#DIV/0!</v>
      </c>
      <c r="X71" s="1219"/>
    </row>
    <row r="72" spans="2:24" s="1218" customFormat="1">
      <c r="B72" s="1217"/>
      <c r="F72" s="256"/>
      <c r="G72" s="195">
        <f t="shared" si="15"/>
        <v>0</v>
      </c>
      <c r="I72" s="256"/>
      <c r="J72" s="195" t="e">
        <f t="shared" si="11"/>
        <v>#DIV/0!</v>
      </c>
      <c r="L72" s="256"/>
      <c r="M72" s="195" t="e">
        <f t="shared" si="12"/>
        <v>#DIV/0!</v>
      </c>
      <c r="P72" s="1218">
        <f t="shared" si="16"/>
        <v>0</v>
      </c>
      <c r="S72" s="1218">
        <f t="shared" si="17"/>
        <v>0</v>
      </c>
      <c r="U72" s="1220"/>
      <c r="V72" s="256">
        <f t="shared" si="13"/>
        <v>0</v>
      </c>
      <c r="W72" s="195" t="e">
        <f t="shared" si="14"/>
        <v>#DIV/0!</v>
      </c>
      <c r="X72" s="1219"/>
    </row>
    <row r="73" spans="2:24" s="1218" customFormat="1">
      <c r="B73" s="1217"/>
      <c r="F73" s="256"/>
      <c r="G73" s="195">
        <f t="shared" si="15"/>
        <v>0</v>
      </c>
      <c r="I73" s="256"/>
      <c r="J73" s="195" t="e">
        <f t="shared" si="11"/>
        <v>#DIV/0!</v>
      </c>
      <c r="L73" s="256"/>
      <c r="M73" s="195" t="e">
        <f t="shared" si="12"/>
        <v>#DIV/0!</v>
      </c>
      <c r="P73" s="1218">
        <f t="shared" si="16"/>
        <v>0</v>
      </c>
      <c r="S73" s="1218">
        <f t="shared" si="17"/>
        <v>0</v>
      </c>
      <c r="U73" s="1220"/>
      <c r="V73" s="256">
        <f t="shared" si="13"/>
        <v>0</v>
      </c>
      <c r="W73" s="195" t="e">
        <f t="shared" si="14"/>
        <v>#DIV/0!</v>
      </c>
      <c r="X73" s="1219"/>
    </row>
    <row r="74" spans="2:24" s="1218" customFormat="1" ht="17" customHeight="1">
      <c r="B74" s="1217"/>
      <c r="F74" s="256"/>
      <c r="G74" s="195">
        <f t="shared" si="15"/>
        <v>0</v>
      </c>
      <c r="I74" s="256"/>
      <c r="J74" s="195" t="e">
        <f t="shared" si="11"/>
        <v>#DIV/0!</v>
      </c>
      <c r="L74" s="256"/>
      <c r="M74" s="195" t="e">
        <f t="shared" si="12"/>
        <v>#DIV/0!</v>
      </c>
      <c r="P74" s="1218">
        <f t="shared" si="16"/>
        <v>0</v>
      </c>
      <c r="S74" s="1218">
        <f t="shared" si="17"/>
        <v>0</v>
      </c>
      <c r="U74" s="1220"/>
      <c r="V74" s="256">
        <f t="shared" si="13"/>
        <v>0</v>
      </c>
      <c r="W74" s="195" t="e">
        <f t="shared" si="14"/>
        <v>#DIV/0!</v>
      </c>
      <c r="X74" s="1219"/>
    </row>
    <row r="75" spans="2:24" s="1218" customFormat="1">
      <c r="B75" s="1221"/>
      <c r="F75" s="256"/>
      <c r="G75" s="195">
        <f t="shared" si="15"/>
        <v>0</v>
      </c>
      <c r="I75" s="256"/>
      <c r="J75" s="195" t="e">
        <f t="shared" si="11"/>
        <v>#DIV/0!</v>
      </c>
      <c r="L75" s="256"/>
      <c r="M75" s="195" t="e">
        <f t="shared" si="12"/>
        <v>#DIV/0!</v>
      </c>
      <c r="P75" s="1218">
        <f t="shared" si="16"/>
        <v>0</v>
      </c>
      <c r="S75" s="1218">
        <f t="shared" si="17"/>
        <v>0</v>
      </c>
      <c r="V75" s="256">
        <f t="shared" si="13"/>
        <v>0</v>
      </c>
      <c r="W75" s="195" t="e">
        <f t="shared" si="14"/>
        <v>#DIV/0!</v>
      </c>
      <c r="X75" s="1219"/>
    </row>
    <row r="76" spans="2:24" s="1218" customFormat="1">
      <c r="B76" s="1221"/>
      <c r="F76" s="256"/>
      <c r="G76" s="195">
        <f t="shared" si="15"/>
        <v>0</v>
      </c>
      <c r="I76" s="256"/>
      <c r="J76" s="195" t="e">
        <f t="shared" si="11"/>
        <v>#DIV/0!</v>
      </c>
      <c r="L76" s="256"/>
      <c r="M76" s="195" t="e">
        <f t="shared" si="12"/>
        <v>#DIV/0!</v>
      </c>
      <c r="P76" s="1218">
        <f t="shared" si="16"/>
        <v>0</v>
      </c>
      <c r="S76" s="1218">
        <f t="shared" si="17"/>
        <v>0</v>
      </c>
      <c r="V76" s="256">
        <f t="shared" si="13"/>
        <v>0</v>
      </c>
      <c r="W76" s="195" t="e">
        <f t="shared" si="14"/>
        <v>#DIV/0!</v>
      </c>
      <c r="X76" s="1219"/>
    </row>
    <row r="77" spans="2:24" s="1218" customFormat="1">
      <c r="B77" s="1221"/>
      <c r="F77" s="256"/>
      <c r="G77" s="195">
        <f t="shared" si="15"/>
        <v>0</v>
      </c>
      <c r="I77" s="256"/>
      <c r="J77" s="195" t="e">
        <f t="shared" si="11"/>
        <v>#DIV/0!</v>
      </c>
      <c r="L77" s="256"/>
      <c r="M77" s="195" t="e">
        <f t="shared" si="12"/>
        <v>#DIV/0!</v>
      </c>
      <c r="P77" s="1218">
        <f t="shared" si="16"/>
        <v>0</v>
      </c>
      <c r="S77" s="1218">
        <f t="shared" si="17"/>
        <v>0</v>
      </c>
      <c r="V77" s="256">
        <f t="shared" si="13"/>
        <v>0</v>
      </c>
      <c r="W77" s="195" t="e">
        <f t="shared" si="14"/>
        <v>#DIV/0!</v>
      </c>
      <c r="X77" s="1219"/>
    </row>
    <row r="78" spans="2:24" s="1218" customFormat="1">
      <c r="B78" s="1221"/>
      <c r="F78" s="256"/>
      <c r="G78" s="195">
        <f t="shared" si="15"/>
        <v>0</v>
      </c>
      <c r="I78" s="256"/>
      <c r="J78" s="195" t="e">
        <f t="shared" si="11"/>
        <v>#DIV/0!</v>
      </c>
      <c r="L78" s="256"/>
      <c r="M78" s="195" t="e">
        <f t="shared" si="12"/>
        <v>#DIV/0!</v>
      </c>
      <c r="P78" s="1218">
        <f t="shared" si="16"/>
        <v>0</v>
      </c>
      <c r="S78" s="1218">
        <f t="shared" si="17"/>
        <v>0</v>
      </c>
      <c r="V78" s="256">
        <f t="shared" si="13"/>
        <v>0</v>
      </c>
      <c r="W78" s="195" t="e">
        <f t="shared" si="14"/>
        <v>#DIV/0!</v>
      </c>
      <c r="X78" s="1219"/>
    </row>
    <row r="79" spans="2:24" s="1218" customFormat="1">
      <c r="B79" s="1221"/>
      <c r="F79" s="256"/>
      <c r="G79" s="195">
        <f t="shared" si="15"/>
        <v>0</v>
      </c>
      <c r="I79" s="256"/>
      <c r="J79" s="195" t="e">
        <f t="shared" si="11"/>
        <v>#DIV/0!</v>
      </c>
      <c r="L79" s="256"/>
      <c r="M79" s="195" t="e">
        <f t="shared" si="12"/>
        <v>#DIV/0!</v>
      </c>
      <c r="P79" s="1218">
        <f t="shared" si="16"/>
        <v>0</v>
      </c>
      <c r="S79" s="1218">
        <f t="shared" si="17"/>
        <v>0</v>
      </c>
      <c r="V79" s="256">
        <f t="shared" si="13"/>
        <v>0</v>
      </c>
      <c r="W79" s="195" t="e">
        <f t="shared" si="14"/>
        <v>#DIV/0!</v>
      </c>
      <c r="X79" s="1219"/>
    </row>
    <row r="80" spans="2:24" s="1218" customFormat="1">
      <c r="B80" s="1221"/>
      <c r="F80" s="256"/>
      <c r="G80" s="195">
        <f t="shared" si="15"/>
        <v>0</v>
      </c>
      <c r="I80" s="256"/>
      <c r="J80" s="195" t="e">
        <f t="shared" si="11"/>
        <v>#DIV/0!</v>
      </c>
      <c r="L80" s="256"/>
      <c r="M80" s="195" t="e">
        <f t="shared" si="12"/>
        <v>#DIV/0!</v>
      </c>
      <c r="P80" s="1218">
        <f t="shared" si="16"/>
        <v>0</v>
      </c>
      <c r="S80" s="1218">
        <f t="shared" si="17"/>
        <v>0</v>
      </c>
      <c r="V80" s="256">
        <f t="shared" si="13"/>
        <v>0</v>
      </c>
      <c r="W80" s="195" t="e">
        <f t="shared" si="14"/>
        <v>#DIV/0!</v>
      </c>
      <c r="X80" s="1219"/>
    </row>
    <row r="81" spans="2:24" s="1218" customFormat="1">
      <c r="B81" s="1221"/>
      <c r="F81" s="256"/>
      <c r="G81" s="195">
        <f t="shared" si="15"/>
        <v>0</v>
      </c>
      <c r="I81" s="256"/>
      <c r="J81" s="195" t="e">
        <f t="shared" si="11"/>
        <v>#DIV/0!</v>
      </c>
      <c r="L81" s="256"/>
      <c r="M81" s="195" t="e">
        <f t="shared" si="12"/>
        <v>#DIV/0!</v>
      </c>
      <c r="P81" s="1218">
        <f t="shared" si="16"/>
        <v>0</v>
      </c>
      <c r="S81" s="1218">
        <f t="shared" si="17"/>
        <v>0</v>
      </c>
      <c r="V81" s="256">
        <f t="shared" si="13"/>
        <v>0</v>
      </c>
      <c r="W81" s="195" t="e">
        <f t="shared" si="14"/>
        <v>#DIV/0!</v>
      </c>
      <c r="X81" s="1219"/>
    </row>
    <row r="82" spans="2:24" s="1218" customFormat="1">
      <c r="B82" s="1221"/>
      <c r="F82" s="256"/>
      <c r="G82" s="195">
        <f t="shared" si="15"/>
        <v>0</v>
      </c>
      <c r="I82" s="256"/>
      <c r="J82" s="195" t="e">
        <f t="shared" si="11"/>
        <v>#DIV/0!</v>
      </c>
      <c r="L82" s="256"/>
      <c r="M82" s="195" t="e">
        <f t="shared" si="12"/>
        <v>#DIV/0!</v>
      </c>
      <c r="P82" s="1218">
        <f t="shared" si="16"/>
        <v>0</v>
      </c>
      <c r="S82" s="1218">
        <f t="shared" si="17"/>
        <v>0</v>
      </c>
      <c r="V82" s="256">
        <f t="shared" si="13"/>
        <v>0</v>
      </c>
      <c r="W82" s="195" t="e">
        <f t="shared" si="14"/>
        <v>#DIV/0!</v>
      </c>
      <c r="X82" s="1219"/>
    </row>
    <row r="83" spans="2:24" s="1218" customFormat="1">
      <c r="B83" s="1221"/>
      <c r="F83" s="256"/>
      <c r="G83" s="195">
        <f t="shared" si="15"/>
        <v>0</v>
      </c>
      <c r="I83" s="256"/>
      <c r="J83" s="195" t="e">
        <f t="shared" si="11"/>
        <v>#DIV/0!</v>
      </c>
      <c r="L83" s="256"/>
      <c r="M83" s="195" t="e">
        <f t="shared" si="12"/>
        <v>#DIV/0!</v>
      </c>
      <c r="P83" s="1218">
        <f t="shared" si="16"/>
        <v>0</v>
      </c>
      <c r="S83" s="1218">
        <f t="shared" si="17"/>
        <v>0</v>
      </c>
      <c r="V83" s="256">
        <f t="shared" si="13"/>
        <v>0</v>
      </c>
      <c r="W83" s="195" t="e">
        <f t="shared" si="14"/>
        <v>#DIV/0!</v>
      </c>
      <c r="X83" s="1219"/>
    </row>
    <row r="84" spans="2:24" s="1218" customFormat="1">
      <c r="B84" s="1221"/>
      <c r="F84" s="256"/>
      <c r="G84" s="195">
        <f t="shared" si="15"/>
        <v>0</v>
      </c>
      <c r="I84" s="256"/>
      <c r="J84" s="195" t="e">
        <f t="shared" si="11"/>
        <v>#DIV/0!</v>
      </c>
      <c r="L84" s="256"/>
      <c r="M84" s="195" t="e">
        <f t="shared" si="12"/>
        <v>#DIV/0!</v>
      </c>
      <c r="P84" s="1218">
        <f t="shared" si="16"/>
        <v>0</v>
      </c>
      <c r="S84" s="1218">
        <f t="shared" si="17"/>
        <v>0</v>
      </c>
      <c r="V84" s="256">
        <f t="shared" si="13"/>
        <v>0</v>
      </c>
      <c r="W84" s="195" t="e">
        <f t="shared" si="14"/>
        <v>#DIV/0!</v>
      </c>
      <c r="X84" s="1219"/>
    </row>
    <row r="85" spans="2:24" s="1218" customFormat="1">
      <c r="B85" s="1221"/>
      <c r="F85" s="256"/>
      <c r="G85" s="195">
        <f t="shared" si="15"/>
        <v>0</v>
      </c>
      <c r="I85" s="256"/>
      <c r="J85" s="195" t="e">
        <f t="shared" si="11"/>
        <v>#DIV/0!</v>
      </c>
      <c r="L85" s="256"/>
      <c r="M85" s="195" t="e">
        <f t="shared" si="12"/>
        <v>#DIV/0!</v>
      </c>
      <c r="P85" s="1218">
        <f t="shared" si="16"/>
        <v>0</v>
      </c>
      <c r="S85" s="1218">
        <f t="shared" si="17"/>
        <v>0</v>
      </c>
      <c r="V85" s="256">
        <f t="shared" si="13"/>
        <v>0</v>
      </c>
      <c r="W85" s="195" t="e">
        <f t="shared" si="14"/>
        <v>#DIV/0!</v>
      </c>
      <c r="X85" s="1219"/>
    </row>
    <row r="86" spans="2:24" s="1218" customFormat="1">
      <c r="B86" s="1221"/>
      <c r="F86" s="256"/>
      <c r="G86" s="195">
        <f t="shared" si="15"/>
        <v>0</v>
      </c>
      <c r="I86" s="256"/>
      <c r="J86" s="195" t="e">
        <f t="shared" si="11"/>
        <v>#DIV/0!</v>
      </c>
      <c r="L86" s="256"/>
      <c r="M86" s="195" t="e">
        <f t="shared" si="12"/>
        <v>#DIV/0!</v>
      </c>
      <c r="P86" s="1218">
        <f t="shared" si="16"/>
        <v>0</v>
      </c>
      <c r="S86" s="1218">
        <f t="shared" si="17"/>
        <v>0</v>
      </c>
      <c r="V86" s="256">
        <f t="shared" si="13"/>
        <v>0</v>
      </c>
      <c r="W86" s="195" t="e">
        <f t="shared" si="14"/>
        <v>#DIV/0!</v>
      </c>
      <c r="X86" s="1219"/>
    </row>
    <row r="87" spans="2:24" s="1218" customFormat="1">
      <c r="B87" s="1221"/>
      <c r="F87" s="256"/>
      <c r="G87" s="195">
        <f t="shared" si="15"/>
        <v>0</v>
      </c>
      <c r="I87" s="256"/>
      <c r="J87" s="195" t="e">
        <f t="shared" si="11"/>
        <v>#DIV/0!</v>
      </c>
      <c r="L87" s="256"/>
      <c r="M87" s="195" t="e">
        <f t="shared" si="12"/>
        <v>#DIV/0!</v>
      </c>
      <c r="P87" s="1218">
        <f t="shared" si="16"/>
        <v>0</v>
      </c>
      <c r="S87" s="1218">
        <f t="shared" si="17"/>
        <v>0</v>
      </c>
      <c r="V87" s="256">
        <f t="shared" si="13"/>
        <v>0</v>
      </c>
      <c r="W87" s="195" t="e">
        <f t="shared" si="14"/>
        <v>#DIV/0!</v>
      </c>
      <c r="X87" s="1219"/>
    </row>
    <row r="88" spans="2:24" s="1218" customFormat="1">
      <c r="B88" s="1221"/>
      <c r="F88" s="256"/>
      <c r="G88" s="195">
        <f t="shared" si="15"/>
        <v>0</v>
      </c>
      <c r="I88" s="256"/>
      <c r="J88" s="195" t="e">
        <f t="shared" si="11"/>
        <v>#DIV/0!</v>
      </c>
      <c r="L88" s="256"/>
      <c r="M88" s="195" t="e">
        <f t="shared" si="12"/>
        <v>#DIV/0!</v>
      </c>
      <c r="P88" s="1218">
        <f t="shared" si="16"/>
        <v>0</v>
      </c>
      <c r="S88" s="1218">
        <f t="shared" si="17"/>
        <v>0</v>
      </c>
      <c r="V88" s="256">
        <f t="shared" si="13"/>
        <v>0</v>
      </c>
      <c r="W88" s="195" t="e">
        <f t="shared" si="14"/>
        <v>#DIV/0!</v>
      </c>
      <c r="X88" s="1219"/>
    </row>
    <row r="89" spans="2:24" s="1218" customFormat="1">
      <c r="B89" s="1221"/>
      <c r="F89" s="256"/>
      <c r="G89" s="195">
        <f t="shared" si="15"/>
        <v>0</v>
      </c>
      <c r="I89" s="256"/>
      <c r="J89" s="195" t="e">
        <f t="shared" si="11"/>
        <v>#DIV/0!</v>
      </c>
      <c r="L89" s="256"/>
      <c r="M89" s="195" t="e">
        <f t="shared" si="12"/>
        <v>#DIV/0!</v>
      </c>
      <c r="P89" s="1218">
        <f t="shared" si="16"/>
        <v>0</v>
      </c>
      <c r="S89" s="1218">
        <f t="shared" si="17"/>
        <v>0</v>
      </c>
      <c r="V89" s="256">
        <f t="shared" si="13"/>
        <v>0</v>
      </c>
      <c r="W89" s="195" t="e">
        <f t="shared" si="14"/>
        <v>#DIV/0!</v>
      </c>
      <c r="X89" s="1219"/>
    </row>
    <row r="90" spans="2:24" s="1218" customFormat="1">
      <c r="B90" s="1221"/>
      <c r="F90" s="256"/>
      <c r="G90" s="195">
        <f t="shared" si="15"/>
        <v>0</v>
      </c>
      <c r="I90" s="256"/>
      <c r="J90" s="195" t="e">
        <f t="shared" si="11"/>
        <v>#DIV/0!</v>
      </c>
      <c r="L90" s="256"/>
      <c r="M90" s="195" t="e">
        <f t="shared" si="12"/>
        <v>#DIV/0!</v>
      </c>
      <c r="P90" s="1218">
        <f t="shared" si="16"/>
        <v>0</v>
      </c>
      <c r="S90" s="1218">
        <f t="shared" si="17"/>
        <v>0</v>
      </c>
      <c r="V90" s="256">
        <f t="shared" si="13"/>
        <v>0</v>
      </c>
      <c r="W90" s="195" t="e">
        <f t="shared" si="14"/>
        <v>#DIV/0!</v>
      </c>
      <c r="X90" s="1219"/>
    </row>
    <row r="91" spans="2:24" s="1218" customFormat="1">
      <c r="B91" s="1221"/>
      <c r="F91" s="256"/>
      <c r="G91" s="195">
        <f t="shared" si="15"/>
        <v>0</v>
      </c>
      <c r="I91" s="256"/>
      <c r="J91" s="195" t="e">
        <f t="shared" si="11"/>
        <v>#DIV/0!</v>
      </c>
      <c r="L91" s="256"/>
      <c r="M91" s="195" t="e">
        <f t="shared" si="12"/>
        <v>#DIV/0!</v>
      </c>
      <c r="P91" s="1218">
        <f t="shared" si="16"/>
        <v>0</v>
      </c>
      <c r="S91" s="1218">
        <f t="shared" si="17"/>
        <v>0</v>
      </c>
      <c r="V91" s="256">
        <f t="shared" si="13"/>
        <v>0</v>
      </c>
      <c r="W91" s="195" t="e">
        <f t="shared" si="14"/>
        <v>#DIV/0!</v>
      </c>
      <c r="X91" s="1219"/>
    </row>
    <row r="92" spans="2:24" s="1218" customFormat="1">
      <c r="B92" s="1221"/>
      <c r="F92" s="256"/>
      <c r="G92" s="195">
        <f t="shared" si="15"/>
        <v>0</v>
      </c>
      <c r="I92" s="256"/>
      <c r="J92" s="195" t="e">
        <f t="shared" si="11"/>
        <v>#DIV/0!</v>
      </c>
      <c r="L92" s="256"/>
      <c r="M92" s="195" t="e">
        <f t="shared" si="12"/>
        <v>#DIV/0!</v>
      </c>
      <c r="P92" s="1218">
        <f t="shared" si="16"/>
        <v>0</v>
      </c>
      <c r="S92" s="1218">
        <f t="shared" si="17"/>
        <v>0</v>
      </c>
      <c r="V92" s="256">
        <f t="shared" si="13"/>
        <v>0</v>
      </c>
      <c r="W92" s="195" t="e">
        <f t="shared" si="14"/>
        <v>#DIV/0!</v>
      </c>
      <c r="X92" s="1219"/>
    </row>
    <row r="93" spans="2:24" s="1218" customFormat="1">
      <c r="B93" s="1221"/>
      <c r="F93" s="256"/>
      <c r="G93" s="195">
        <f t="shared" si="15"/>
        <v>0</v>
      </c>
      <c r="I93" s="256"/>
      <c r="J93" s="195" t="e">
        <f t="shared" si="11"/>
        <v>#DIV/0!</v>
      </c>
      <c r="L93" s="256"/>
      <c r="M93" s="195" t="e">
        <f t="shared" si="12"/>
        <v>#DIV/0!</v>
      </c>
      <c r="P93" s="1218">
        <f t="shared" si="16"/>
        <v>0</v>
      </c>
      <c r="S93" s="1218">
        <f t="shared" si="17"/>
        <v>0</v>
      </c>
      <c r="V93" s="256">
        <f t="shared" si="13"/>
        <v>0</v>
      </c>
      <c r="W93" s="195" t="e">
        <f t="shared" si="14"/>
        <v>#DIV/0!</v>
      </c>
      <c r="X93" s="1219"/>
    </row>
    <row r="94" spans="2:24">
      <c r="B94" s="14"/>
      <c r="F94" s="159"/>
      <c r="G94" s="160">
        <f t="shared" si="15"/>
        <v>0</v>
      </c>
      <c r="I94" s="159"/>
      <c r="J94" s="160" t="e">
        <f t="shared" si="11"/>
        <v>#DIV/0!</v>
      </c>
      <c r="L94" s="159"/>
      <c r="M94" s="160" t="e">
        <f t="shared" si="12"/>
        <v>#DIV/0!</v>
      </c>
      <c r="P94">
        <f t="shared" si="16"/>
        <v>0</v>
      </c>
      <c r="S94">
        <f t="shared" si="17"/>
        <v>0</v>
      </c>
      <c r="V94" s="159">
        <f t="shared" si="13"/>
        <v>0</v>
      </c>
      <c r="W94" s="160" t="e">
        <f t="shared" si="14"/>
        <v>#DIV/0!</v>
      </c>
      <c r="X94" s="15"/>
    </row>
    <row r="95" spans="2:24">
      <c r="B95" s="14"/>
      <c r="F95" s="159"/>
      <c r="G95" s="160">
        <f t="shared" si="15"/>
        <v>0</v>
      </c>
      <c r="I95" s="159"/>
      <c r="J95" s="160" t="e">
        <f t="shared" si="11"/>
        <v>#DIV/0!</v>
      </c>
      <c r="L95" s="159"/>
      <c r="M95" s="160" t="e">
        <f t="shared" si="12"/>
        <v>#DIV/0!</v>
      </c>
      <c r="P95">
        <f t="shared" si="16"/>
        <v>0</v>
      </c>
      <c r="S95">
        <f t="shared" si="17"/>
        <v>0</v>
      </c>
      <c r="V95" s="159">
        <f t="shared" si="13"/>
        <v>0</v>
      </c>
      <c r="W95" s="160" t="e">
        <f t="shared" si="14"/>
        <v>#DIV/0!</v>
      </c>
      <c r="X95" s="15"/>
    </row>
    <row r="96" spans="2:24">
      <c r="B96" s="14"/>
      <c r="F96" s="159"/>
      <c r="G96" s="160">
        <f t="shared" ref="G96:G127" si="18">IFERROR(F96/$F$29,0)</f>
        <v>0</v>
      </c>
      <c r="I96" s="159"/>
      <c r="J96" s="160" t="e">
        <f t="shared" si="11"/>
        <v>#DIV/0!</v>
      </c>
      <c r="L96" s="159"/>
      <c r="M96" s="160" t="e">
        <f t="shared" si="12"/>
        <v>#DIV/0!</v>
      </c>
      <c r="P96">
        <f t="shared" ref="P96:P127" si="19">IFERROR(O96/$O$29,0)</f>
        <v>0</v>
      </c>
      <c r="S96">
        <f t="shared" ref="S96:S127" si="20">IFERROR(R96/$R$29,0)</f>
        <v>0</v>
      </c>
      <c r="V96" s="159">
        <f t="shared" si="13"/>
        <v>0</v>
      </c>
      <c r="W96" s="160" t="e">
        <f t="shared" si="14"/>
        <v>#DIV/0!</v>
      </c>
      <c r="X96" s="15"/>
    </row>
    <row r="97" spans="2:24">
      <c r="B97" s="14"/>
      <c r="F97" s="159"/>
      <c r="G97" s="160">
        <f t="shared" si="18"/>
        <v>0</v>
      </c>
      <c r="I97" s="159"/>
      <c r="J97" s="160" t="e">
        <f t="shared" ref="J97:J160" si="21">I97/$I$29</f>
        <v>#DIV/0!</v>
      </c>
      <c r="L97" s="159"/>
      <c r="M97" s="160" t="e">
        <f t="shared" ref="M97:M160" si="22">L97/$L$29</f>
        <v>#DIV/0!</v>
      </c>
      <c r="P97">
        <f t="shared" si="19"/>
        <v>0</v>
      </c>
      <c r="S97">
        <f t="shared" si="20"/>
        <v>0</v>
      </c>
      <c r="V97" s="159">
        <f t="shared" ref="V97:V160" si="23">U97+L97</f>
        <v>0</v>
      </c>
      <c r="W97" s="160" t="e">
        <f t="shared" ref="W97:W160" si="24">V97/$V$29</f>
        <v>#DIV/0!</v>
      </c>
      <c r="X97" s="15"/>
    </row>
    <row r="98" spans="2:24">
      <c r="B98" s="14"/>
      <c r="F98" s="159"/>
      <c r="G98" s="160">
        <f t="shared" si="18"/>
        <v>0</v>
      </c>
      <c r="I98" s="159"/>
      <c r="J98" s="160" t="e">
        <f t="shared" si="21"/>
        <v>#DIV/0!</v>
      </c>
      <c r="L98" s="159"/>
      <c r="M98" s="160" t="e">
        <f t="shared" si="22"/>
        <v>#DIV/0!</v>
      </c>
      <c r="P98">
        <f t="shared" si="19"/>
        <v>0</v>
      </c>
      <c r="S98">
        <f t="shared" si="20"/>
        <v>0</v>
      </c>
      <c r="V98" s="159">
        <f t="shared" si="23"/>
        <v>0</v>
      </c>
      <c r="W98" s="160" t="e">
        <f t="shared" si="24"/>
        <v>#DIV/0!</v>
      </c>
      <c r="X98" s="15"/>
    </row>
    <row r="99" spans="2:24">
      <c r="B99" s="14"/>
      <c r="F99" s="159"/>
      <c r="G99" s="160">
        <f t="shared" si="18"/>
        <v>0</v>
      </c>
      <c r="I99" s="159"/>
      <c r="J99" s="160" t="e">
        <f t="shared" si="21"/>
        <v>#DIV/0!</v>
      </c>
      <c r="L99" s="159"/>
      <c r="M99" s="160" t="e">
        <f t="shared" si="22"/>
        <v>#DIV/0!</v>
      </c>
      <c r="P99">
        <f t="shared" si="19"/>
        <v>0</v>
      </c>
      <c r="S99">
        <f t="shared" si="20"/>
        <v>0</v>
      </c>
      <c r="V99" s="159">
        <f t="shared" si="23"/>
        <v>0</v>
      </c>
      <c r="W99" s="160" t="e">
        <f t="shared" si="24"/>
        <v>#DIV/0!</v>
      </c>
      <c r="X99" s="15"/>
    </row>
    <row r="100" spans="2:24">
      <c r="B100" s="14"/>
      <c r="F100" s="159"/>
      <c r="G100" s="160">
        <f t="shared" si="18"/>
        <v>0</v>
      </c>
      <c r="I100" s="159"/>
      <c r="J100" s="160" t="e">
        <f t="shared" si="21"/>
        <v>#DIV/0!</v>
      </c>
      <c r="L100" s="159"/>
      <c r="M100" s="160" t="e">
        <f t="shared" si="22"/>
        <v>#DIV/0!</v>
      </c>
      <c r="P100">
        <f t="shared" si="19"/>
        <v>0</v>
      </c>
      <c r="S100">
        <f t="shared" si="20"/>
        <v>0</v>
      </c>
      <c r="V100" s="159">
        <f t="shared" si="23"/>
        <v>0</v>
      </c>
      <c r="W100" s="160" t="e">
        <f t="shared" si="24"/>
        <v>#DIV/0!</v>
      </c>
      <c r="X100" s="15"/>
    </row>
    <row r="101" spans="2:24">
      <c r="B101" s="14"/>
      <c r="F101" s="159"/>
      <c r="G101" s="160">
        <f t="shared" si="18"/>
        <v>0</v>
      </c>
      <c r="I101" s="159"/>
      <c r="J101" s="160" t="e">
        <f t="shared" si="21"/>
        <v>#DIV/0!</v>
      </c>
      <c r="L101" s="159"/>
      <c r="M101" s="160" t="e">
        <f t="shared" si="22"/>
        <v>#DIV/0!</v>
      </c>
      <c r="P101">
        <f t="shared" si="19"/>
        <v>0</v>
      </c>
      <c r="S101">
        <f t="shared" si="20"/>
        <v>0</v>
      </c>
      <c r="V101" s="159">
        <f t="shared" si="23"/>
        <v>0</v>
      </c>
      <c r="W101" s="160" t="e">
        <f t="shared" si="24"/>
        <v>#DIV/0!</v>
      </c>
      <c r="X101" s="15"/>
    </row>
    <row r="102" spans="2:24">
      <c r="B102" s="14"/>
      <c r="F102" s="159"/>
      <c r="G102" s="160">
        <f t="shared" si="18"/>
        <v>0</v>
      </c>
      <c r="I102" s="159"/>
      <c r="J102" s="160" t="e">
        <f t="shared" si="21"/>
        <v>#DIV/0!</v>
      </c>
      <c r="L102" s="159"/>
      <c r="M102" s="160" t="e">
        <f t="shared" si="22"/>
        <v>#DIV/0!</v>
      </c>
      <c r="P102">
        <f t="shared" si="19"/>
        <v>0</v>
      </c>
      <c r="S102">
        <f t="shared" si="20"/>
        <v>0</v>
      </c>
      <c r="V102" s="159">
        <f t="shared" si="23"/>
        <v>0</v>
      </c>
      <c r="W102" s="160" t="e">
        <f t="shared" si="24"/>
        <v>#DIV/0!</v>
      </c>
      <c r="X102" s="15"/>
    </row>
    <row r="103" spans="2:24">
      <c r="B103" s="14"/>
      <c r="F103" s="159"/>
      <c r="G103" s="160">
        <f t="shared" si="18"/>
        <v>0</v>
      </c>
      <c r="I103" s="159"/>
      <c r="J103" s="160" t="e">
        <f t="shared" si="21"/>
        <v>#DIV/0!</v>
      </c>
      <c r="L103" s="159"/>
      <c r="M103" s="160" t="e">
        <f t="shared" si="22"/>
        <v>#DIV/0!</v>
      </c>
      <c r="P103">
        <f t="shared" si="19"/>
        <v>0</v>
      </c>
      <c r="S103">
        <f t="shared" si="20"/>
        <v>0</v>
      </c>
      <c r="V103" s="159">
        <f t="shared" si="23"/>
        <v>0</v>
      </c>
      <c r="W103" s="160" t="e">
        <f t="shared" si="24"/>
        <v>#DIV/0!</v>
      </c>
      <c r="X103" s="15"/>
    </row>
    <row r="104" spans="2:24">
      <c r="B104" s="14"/>
      <c r="F104" s="159"/>
      <c r="G104" s="160">
        <f t="shared" si="18"/>
        <v>0</v>
      </c>
      <c r="I104" s="159"/>
      <c r="J104" s="160" t="e">
        <f t="shared" si="21"/>
        <v>#DIV/0!</v>
      </c>
      <c r="L104" s="159"/>
      <c r="M104" s="160" t="e">
        <f t="shared" si="22"/>
        <v>#DIV/0!</v>
      </c>
      <c r="P104">
        <f t="shared" si="19"/>
        <v>0</v>
      </c>
      <c r="S104">
        <f t="shared" si="20"/>
        <v>0</v>
      </c>
      <c r="V104" s="159">
        <f t="shared" si="23"/>
        <v>0</v>
      </c>
      <c r="W104" s="160" t="e">
        <f t="shared" si="24"/>
        <v>#DIV/0!</v>
      </c>
      <c r="X104" s="15"/>
    </row>
    <row r="105" spans="2:24">
      <c r="B105" s="14"/>
      <c r="F105" s="159"/>
      <c r="G105" s="160">
        <f t="shared" si="18"/>
        <v>0</v>
      </c>
      <c r="I105" s="159"/>
      <c r="J105" s="160" t="e">
        <f t="shared" si="21"/>
        <v>#DIV/0!</v>
      </c>
      <c r="L105" s="159"/>
      <c r="M105" s="160" t="e">
        <f t="shared" si="22"/>
        <v>#DIV/0!</v>
      </c>
      <c r="P105">
        <f t="shared" si="19"/>
        <v>0</v>
      </c>
      <c r="S105">
        <f t="shared" si="20"/>
        <v>0</v>
      </c>
      <c r="V105" s="159">
        <f t="shared" si="23"/>
        <v>0</v>
      </c>
      <c r="W105" s="160" t="e">
        <f t="shared" si="24"/>
        <v>#DIV/0!</v>
      </c>
      <c r="X105" s="15"/>
    </row>
    <row r="106" spans="2:24">
      <c r="B106" s="14"/>
      <c r="F106" s="159"/>
      <c r="G106" s="160">
        <f t="shared" si="18"/>
        <v>0</v>
      </c>
      <c r="I106" s="159"/>
      <c r="J106" s="160" t="e">
        <f t="shared" si="21"/>
        <v>#DIV/0!</v>
      </c>
      <c r="L106" s="159"/>
      <c r="M106" s="160" t="e">
        <f t="shared" si="22"/>
        <v>#DIV/0!</v>
      </c>
      <c r="P106">
        <f t="shared" si="19"/>
        <v>0</v>
      </c>
      <c r="S106">
        <f t="shared" si="20"/>
        <v>0</v>
      </c>
      <c r="V106" s="159">
        <f t="shared" si="23"/>
        <v>0</v>
      </c>
      <c r="W106" s="160" t="e">
        <f t="shared" si="24"/>
        <v>#DIV/0!</v>
      </c>
      <c r="X106" s="15"/>
    </row>
    <row r="107" spans="2:24">
      <c r="B107" s="14"/>
      <c r="F107" s="159"/>
      <c r="G107" s="160">
        <f t="shared" si="18"/>
        <v>0</v>
      </c>
      <c r="I107" s="159"/>
      <c r="J107" s="160" t="e">
        <f t="shared" si="21"/>
        <v>#DIV/0!</v>
      </c>
      <c r="L107" s="159"/>
      <c r="M107" s="160" t="e">
        <f t="shared" si="22"/>
        <v>#DIV/0!</v>
      </c>
      <c r="P107">
        <f t="shared" si="19"/>
        <v>0</v>
      </c>
      <c r="S107">
        <f t="shared" si="20"/>
        <v>0</v>
      </c>
      <c r="V107" s="159">
        <f t="shared" si="23"/>
        <v>0</v>
      </c>
      <c r="W107" s="160" t="e">
        <f t="shared" si="24"/>
        <v>#DIV/0!</v>
      </c>
      <c r="X107" s="15"/>
    </row>
    <row r="108" spans="2:24">
      <c r="B108" s="14"/>
      <c r="F108" s="159"/>
      <c r="G108" s="160">
        <f t="shared" si="18"/>
        <v>0</v>
      </c>
      <c r="I108" s="159"/>
      <c r="J108" s="160" t="e">
        <f t="shared" si="21"/>
        <v>#DIV/0!</v>
      </c>
      <c r="L108" s="159"/>
      <c r="M108" s="160" t="e">
        <f t="shared" si="22"/>
        <v>#DIV/0!</v>
      </c>
      <c r="P108">
        <f t="shared" si="19"/>
        <v>0</v>
      </c>
      <c r="S108">
        <f t="shared" si="20"/>
        <v>0</v>
      </c>
      <c r="V108" s="159">
        <f t="shared" si="23"/>
        <v>0</v>
      </c>
      <c r="W108" s="160" t="e">
        <f t="shared" si="24"/>
        <v>#DIV/0!</v>
      </c>
      <c r="X108" s="15"/>
    </row>
    <row r="109" spans="2:24">
      <c r="B109" s="14"/>
      <c r="F109" s="159"/>
      <c r="G109" s="160">
        <f t="shared" si="18"/>
        <v>0</v>
      </c>
      <c r="I109" s="159"/>
      <c r="J109" s="160" t="e">
        <f t="shared" si="21"/>
        <v>#DIV/0!</v>
      </c>
      <c r="L109" s="159"/>
      <c r="M109" s="160" t="e">
        <f t="shared" si="22"/>
        <v>#DIV/0!</v>
      </c>
      <c r="P109">
        <f t="shared" si="19"/>
        <v>0</v>
      </c>
      <c r="S109">
        <f t="shared" si="20"/>
        <v>0</v>
      </c>
      <c r="V109" s="159">
        <f t="shared" si="23"/>
        <v>0</v>
      </c>
      <c r="W109" s="160" t="e">
        <f t="shared" si="24"/>
        <v>#DIV/0!</v>
      </c>
      <c r="X109" s="15"/>
    </row>
    <row r="110" spans="2:24">
      <c r="B110" s="14"/>
      <c r="F110" s="159"/>
      <c r="G110" s="160">
        <f t="shared" si="18"/>
        <v>0</v>
      </c>
      <c r="I110" s="159"/>
      <c r="J110" s="160" t="e">
        <f t="shared" si="21"/>
        <v>#DIV/0!</v>
      </c>
      <c r="L110" s="159"/>
      <c r="M110" s="160" t="e">
        <f t="shared" si="22"/>
        <v>#DIV/0!</v>
      </c>
      <c r="P110">
        <f t="shared" si="19"/>
        <v>0</v>
      </c>
      <c r="S110">
        <f t="shared" si="20"/>
        <v>0</v>
      </c>
      <c r="V110" s="159">
        <f t="shared" si="23"/>
        <v>0</v>
      </c>
      <c r="W110" s="160" t="e">
        <f t="shared" si="24"/>
        <v>#DIV/0!</v>
      </c>
      <c r="X110" s="15"/>
    </row>
    <row r="111" spans="2:24">
      <c r="B111" s="14"/>
      <c r="F111" s="159"/>
      <c r="G111" s="160">
        <f t="shared" si="18"/>
        <v>0</v>
      </c>
      <c r="I111" s="159"/>
      <c r="J111" s="160" t="e">
        <f t="shared" si="21"/>
        <v>#DIV/0!</v>
      </c>
      <c r="L111" s="159"/>
      <c r="M111" s="160" t="e">
        <f t="shared" si="22"/>
        <v>#DIV/0!</v>
      </c>
      <c r="P111">
        <f t="shared" si="19"/>
        <v>0</v>
      </c>
      <c r="S111">
        <f t="shared" si="20"/>
        <v>0</v>
      </c>
      <c r="V111" s="159">
        <f t="shared" si="23"/>
        <v>0</v>
      </c>
      <c r="W111" s="160" t="e">
        <f t="shared" si="24"/>
        <v>#DIV/0!</v>
      </c>
      <c r="X111" s="15"/>
    </row>
    <row r="112" spans="2:24">
      <c r="B112" s="14"/>
      <c r="F112" s="159"/>
      <c r="G112" s="160">
        <f t="shared" si="18"/>
        <v>0</v>
      </c>
      <c r="I112" s="159"/>
      <c r="J112" s="160" t="e">
        <f t="shared" si="21"/>
        <v>#DIV/0!</v>
      </c>
      <c r="L112" s="159"/>
      <c r="M112" s="160" t="e">
        <f t="shared" si="22"/>
        <v>#DIV/0!</v>
      </c>
      <c r="P112">
        <f t="shared" si="19"/>
        <v>0</v>
      </c>
      <c r="S112">
        <f t="shared" si="20"/>
        <v>0</v>
      </c>
      <c r="V112" s="159">
        <f t="shared" si="23"/>
        <v>0</v>
      </c>
      <c r="W112" s="160" t="e">
        <f t="shared" si="24"/>
        <v>#DIV/0!</v>
      </c>
      <c r="X112" s="15"/>
    </row>
    <row r="113" spans="2:24">
      <c r="B113" s="14"/>
      <c r="F113" s="159"/>
      <c r="G113" s="160">
        <f t="shared" si="18"/>
        <v>0</v>
      </c>
      <c r="I113" s="159"/>
      <c r="J113" s="160" t="e">
        <f t="shared" si="21"/>
        <v>#DIV/0!</v>
      </c>
      <c r="L113" s="159"/>
      <c r="M113" s="160" t="e">
        <f t="shared" si="22"/>
        <v>#DIV/0!</v>
      </c>
      <c r="P113">
        <f t="shared" si="19"/>
        <v>0</v>
      </c>
      <c r="S113">
        <f t="shared" si="20"/>
        <v>0</v>
      </c>
      <c r="V113" s="159">
        <f t="shared" si="23"/>
        <v>0</v>
      </c>
      <c r="W113" s="160" t="e">
        <f t="shared" si="24"/>
        <v>#DIV/0!</v>
      </c>
      <c r="X113" s="15"/>
    </row>
    <row r="114" spans="2:24">
      <c r="B114" s="14"/>
      <c r="F114" s="159"/>
      <c r="G114" s="160">
        <f t="shared" si="18"/>
        <v>0</v>
      </c>
      <c r="I114" s="159"/>
      <c r="J114" s="160" t="e">
        <f t="shared" si="21"/>
        <v>#DIV/0!</v>
      </c>
      <c r="L114" s="159"/>
      <c r="M114" s="160" t="e">
        <f t="shared" si="22"/>
        <v>#DIV/0!</v>
      </c>
      <c r="P114">
        <f t="shared" si="19"/>
        <v>0</v>
      </c>
      <c r="S114">
        <f t="shared" si="20"/>
        <v>0</v>
      </c>
      <c r="V114" s="159">
        <f t="shared" si="23"/>
        <v>0</v>
      </c>
      <c r="W114" s="160" t="e">
        <f t="shared" si="24"/>
        <v>#DIV/0!</v>
      </c>
      <c r="X114" s="15"/>
    </row>
    <row r="115" spans="2:24">
      <c r="B115" s="14"/>
      <c r="F115" s="159"/>
      <c r="G115" s="160">
        <f t="shared" si="18"/>
        <v>0</v>
      </c>
      <c r="I115" s="159"/>
      <c r="J115" s="160" t="e">
        <f t="shared" si="21"/>
        <v>#DIV/0!</v>
      </c>
      <c r="L115" s="159"/>
      <c r="M115" s="160" t="e">
        <f t="shared" si="22"/>
        <v>#DIV/0!</v>
      </c>
      <c r="P115">
        <f t="shared" si="19"/>
        <v>0</v>
      </c>
      <c r="S115">
        <f t="shared" si="20"/>
        <v>0</v>
      </c>
      <c r="V115" s="159">
        <f t="shared" si="23"/>
        <v>0</v>
      </c>
      <c r="W115" s="160" t="e">
        <f t="shared" si="24"/>
        <v>#DIV/0!</v>
      </c>
      <c r="X115" s="15"/>
    </row>
    <row r="116" spans="2:24">
      <c r="B116" s="14"/>
      <c r="F116" s="159"/>
      <c r="G116" s="160">
        <f t="shared" si="18"/>
        <v>0</v>
      </c>
      <c r="I116" s="159"/>
      <c r="J116" s="160" t="e">
        <f t="shared" si="21"/>
        <v>#DIV/0!</v>
      </c>
      <c r="L116" s="159"/>
      <c r="M116" s="160" t="e">
        <f t="shared" si="22"/>
        <v>#DIV/0!</v>
      </c>
      <c r="P116">
        <f t="shared" si="19"/>
        <v>0</v>
      </c>
      <c r="S116">
        <f t="shared" si="20"/>
        <v>0</v>
      </c>
      <c r="V116" s="159">
        <f t="shared" si="23"/>
        <v>0</v>
      </c>
      <c r="W116" s="160" t="e">
        <f t="shared" si="24"/>
        <v>#DIV/0!</v>
      </c>
      <c r="X116" s="15"/>
    </row>
    <row r="117" spans="2:24">
      <c r="B117" s="14"/>
      <c r="F117" s="159"/>
      <c r="G117" s="160">
        <f t="shared" si="18"/>
        <v>0</v>
      </c>
      <c r="I117" s="159"/>
      <c r="J117" s="160" t="e">
        <f t="shared" si="21"/>
        <v>#DIV/0!</v>
      </c>
      <c r="L117" s="159"/>
      <c r="M117" s="160" t="e">
        <f t="shared" si="22"/>
        <v>#DIV/0!</v>
      </c>
      <c r="P117">
        <f t="shared" si="19"/>
        <v>0</v>
      </c>
      <c r="S117">
        <f t="shared" si="20"/>
        <v>0</v>
      </c>
      <c r="V117" s="159">
        <f t="shared" si="23"/>
        <v>0</v>
      </c>
      <c r="W117" s="160" t="e">
        <f t="shared" si="24"/>
        <v>#DIV/0!</v>
      </c>
      <c r="X117" s="15"/>
    </row>
    <row r="118" spans="2:24">
      <c r="B118" s="14"/>
      <c r="F118" s="159"/>
      <c r="G118" s="160">
        <f t="shared" si="18"/>
        <v>0</v>
      </c>
      <c r="I118" s="159"/>
      <c r="J118" s="160" t="e">
        <f t="shared" si="21"/>
        <v>#DIV/0!</v>
      </c>
      <c r="L118" s="159"/>
      <c r="M118" s="160" t="e">
        <f t="shared" si="22"/>
        <v>#DIV/0!</v>
      </c>
      <c r="P118">
        <f t="shared" si="19"/>
        <v>0</v>
      </c>
      <c r="S118">
        <f t="shared" si="20"/>
        <v>0</v>
      </c>
      <c r="V118" s="159">
        <f t="shared" si="23"/>
        <v>0</v>
      </c>
      <c r="W118" s="160" t="e">
        <f t="shared" si="24"/>
        <v>#DIV/0!</v>
      </c>
      <c r="X118" s="15"/>
    </row>
    <row r="119" spans="2:24">
      <c r="B119" s="14"/>
      <c r="F119" s="159"/>
      <c r="G119" s="160">
        <f t="shared" si="18"/>
        <v>0</v>
      </c>
      <c r="I119" s="159"/>
      <c r="J119" s="160" t="e">
        <f t="shared" si="21"/>
        <v>#DIV/0!</v>
      </c>
      <c r="L119" s="159"/>
      <c r="M119" s="160" t="e">
        <f t="shared" si="22"/>
        <v>#DIV/0!</v>
      </c>
      <c r="P119">
        <f t="shared" si="19"/>
        <v>0</v>
      </c>
      <c r="S119">
        <f t="shared" si="20"/>
        <v>0</v>
      </c>
      <c r="V119" s="159">
        <f t="shared" si="23"/>
        <v>0</v>
      </c>
      <c r="W119" s="160" t="e">
        <f t="shared" si="24"/>
        <v>#DIV/0!</v>
      </c>
      <c r="X119" s="15"/>
    </row>
    <row r="120" spans="2:24">
      <c r="B120" s="14"/>
      <c r="F120" s="159"/>
      <c r="G120" s="160">
        <f t="shared" si="18"/>
        <v>0</v>
      </c>
      <c r="I120" s="159"/>
      <c r="J120" s="160" t="e">
        <f t="shared" si="21"/>
        <v>#DIV/0!</v>
      </c>
      <c r="L120" s="159"/>
      <c r="M120" s="160" t="e">
        <f t="shared" si="22"/>
        <v>#DIV/0!</v>
      </c>
      <c r="P120">
        <f t="shared" si="19"/>
        <v>0</v>
      </c>
      <c r="S120">
        <f t="shared" si="20"/>
        <v>0</v>
      </c>
      <c r="V120" s="159">
        <f t="shared" si="23"/>
        <v>0</v>
      </c>
      <c r="W120" s="160" t="e">
        <f t="shared" si="24"/>
        <v>#DIV/0!</v>
      </c>
      <c r="X120" s="15"/>
    </row>
    <row r="121" spans="2:24">
      <c r="B121" s="14"/>
      <c r="F121" s="159"/>
      <c r="G121" s="160">
        <f t="shared" si="18"/>
        <v>0</v>
      </c>
      <c r="I121" s="159"/>
      <c r="J121" s="160" t="e">
        <f t="shared" si="21"/>
        <v>#DIV/0!</v>
      </c>
      <c r="L121" s="159"/>
      <c r="M121" s="160" t="e">
        <f t="shared" si="22"/>
        <v>#DIV/0!</v>
      </c>
      <c r="P121">
        <f t="shared" si="19"/>
        <v>0</v>
      </c>
      <c r="S121">
        <f t="shared" si="20"/>
        <v>0</v>
      </c>
      <c r="V121" s="159">
        <f t="shared" si="23"/>
        <v>0</v>
      </c>
      <c r="W121" s="160" t="e">
        <f t="shared" si="24"/>
        <v>#DIV/0!</v>
      </c>
      <c r="X121" s="15"/>
    </row>
    <row r="122" spans="2:24">
      <c r="B122" s="14"/>
      <c r="F122" s="159"/>
      <c r="G122" s="160">
        <f t="shared" si="18"/>
        <v>0</v>
      </c>
      <c r="I122" s="159"/>
      <c r="J122" s="160" t="e">
        <f t="shared" si="21"/>
        <v>#DIV/0!</v>
      </c>
      <c r="L122" s="159"/>
      <c r="M122" s="160" t="e">
        <f t="shared" si="22"/>
        <v>#DIV/0!</v>
      </c>
      <c r="P122">
        <f t="shared" si="19"/>
        <v>0</v>
      </c>
      <c r="S122">
        <f t="shared" si="20"/>
        <v>0</v>
      </c>
      <c r="V122" s="159">
        <f t="shared" si="23"/>
        <v>0</v>
      </c>
      <c r="W122" s="160" t="e">
        <f t="shared" si="24"/>
        <v>#DIV/0!</v>
      </c>
      <c r="X122" s="15"/>
    </row>
    <row r="123" spans="2:24">
      <c r="B123" s="14"/>
      <c r="F123" s="159"/>
      <c r="G123" s="160">
        <f t="shared" si="18"/>
        <v>0</v>
      </c>
      <c r="I123" s="159"/>
      <c r="J123" s="160" t="e">
        <f t="shared" si="21"/>
        <v>#DIV/0!</v>
      </c>
      <c r="L123" s="159"/>
      <c r="M123" s="160" t="e">
        <f t="shared" si="22"/>
        <v>#DIV/0!</v>
      </c>
      <c r="P123">
        <f t="shared" si="19"/>
        <v>0</v>
      </c>
      <c r="S123">
        <f t="shared" si="20"/>
        <v>0</v>
      </c>
      <c r="V123" s="159">
        <f t="shared" si="23"/>
        <v>0</v>
      </c>
      <c r="W123" s="160" t="e">
        <f t="shared" si="24"/>
        <v>#DIV/0!</v>
      </c>
      <c r="X123" s="15"/>
    </row>
    <row r="124" spans="2:24">
      <c r="B124" s="14"/>
      <c r="F124" s="159"/>
      <c r="G124" s="160">
        <f t="shared" si="18"/>
        <v>0</v>
      </c>
      <c r="I124" s="159"/>
      <c r="J124" s="160" t="e">
        <f t="shared" si="21"/>
        <v>#DIV/0!</v>
      </c>
      <c r="L124" s="159"/>
      <c r="M124" s="160" t="e">
        <f t="shared" si="22"/>
        <v>#DIV/0!</v>
      </c>
      <c r="P124">
        <f t="shared" si="19"/>
        <v>0</v>
      </c>
      <c r="S124">
        <f t="shared" si="20"/>
        <v>0</v>
      </c>
      <c r="V124" s="159">
        <f t="shared" si="23"/>
        <v>0</v>
      </c>
      <c r="W124" s="160" t="e">
        <f t="shared" si="24"/>
        <v>#DIV/0!</v>
      </c>
      <c r="X124" s="15"/>
    </row>
    <row r="125" spans="2:24">
      <c r="B125" s="14"/>
      <c r="F125" s="159"/>
      <c r="G125" s="160">
        <f t="shared" si="18"/>
        <v>0</v>
      </c>
      <c r="I125" s="159"/>
      <c r="J125" s="160" t="e">
        <f t="shared" si="21"/>
        <v>#DIV/0!</v>
      </c>
      <c r="L125" s="159"/>
      <c r="M125" s="160" t="e">
        <f t="shared" si="22"/>
        <v>#DIV/0!</v>
      </c>
      <c r="P125">
        <f t="shared" si="19"/>
        <v>0</v>
      </c>
      <c r="S125">
        <f t="shared" si="20"/>
        <v>0</v>
      </c>
      <c r="V125" s="159">
        <f t="shared" si="23"/>
        <v>0</v>
      </c>
      <c r="W125" s="160" t="e">
        <f t="shared" si="24"/>
        <v>#DIV/0!</v>
      </c>
      <c r="X125" s="15"/>
    </row>
    <row r="126" spans="2:24">
      <c r="B126" s="14"/>
      <c r="F126" s="159"/>
      <c r="G126" s="160">
        <f t="shared" si="18"/>
        <v>0</v>
      </c>
      <c r="I126" s="159"/>
      <c r="J126" s="160" t="e">
        <f t="shared" si="21"/>
        <v>#DIV/0!</v>
      </c>
      <c r="L126" s="159"/>
      <c r="M126" s="160" t="e">
        <f t="shared" si="22"/>
        <v>#DIV/0!</v>
      </c>
      <c r="P126">
        <f t="shared" si="19"/>
        <v>0</v>
      </c>
      <c r="S126">
        <f t="shared" si="20"/>
        <v>0</v>
      </c>
      <c r="V126" s="159">
        <f t="shared" si="23"/>
        <v>0</v>
      </c>
      <c r="W126" s="160" t="e">
        <f t="shared" si="24"/>
        <v>#DIV/0!</v>
      </c>
      <c r="X126" s="15"/>
    </row>
    <row r="127" spans="2:24">
      <c r="B127" s="14"/>
      <c r="F127" s="159"/>
      <c r="G127" s="160">
        <f t="shared" si="18"/>
        <v>0</v>
      </c>
      <c r="I127" s="159"/>
      <c r="J127" s="160" t="e">
        <f t="shared" si="21"/>
        <v>#DIV/0!</v>
      </c>
      <c r="L127" s="159"/>
      <c r="M127" s="160" t="e">
        <f t="shared" si="22"/>
        <v>#DIV/0!</v>
      </c>
      <c r="P127">
        <f t="shared" si="19"/>
        <v>0</v>
      </c>
      <c r="S127">
        <f t="shared" si="20"/>
        <v>0</v>
      </c>
      <c r="V127" s="159">
        <f t="shared" si="23"/>
        <v>0</v>
      </c>
      <c r="W127" s="160" t="e">
        <f t="shared" si="24"/>
        <v>#DIV/0!</v>
      </c>
      <c r="X127" s="15"/>
    </row>
    <row r="128" spans="2:24">
      <c r="B128" s="14"/>
      <c r="F128" s="159"/>
      <c r="G128" s="160">
        <f t="shared" ref="G128:G159" si="25">IFERROR(F128/$F$29,0)</f>
        <v>0</v>
      </c>
      <c r="I128" s="159"/>
      <c r="J128" s="160" t="e">
        <f t="shared" si="21"/>
        <v>#DIV/0!</v>
      </c>
      <c r="L128" s="159"/>
      <c r="M128" s="160" t="e">
        <f t="shared" si="22"/>
        <v>#DIV/0!</v>
      </c>
      <c r="P128">
        <f t="shared" ref="P128:P159" si="26">IFERROR(O128/$O$29,0)</f>
        <v>0</v>
      </c>
      <c r="S128">
        <f t="shared" ref="S128:S159" si="27">IFERROR(R128/$R$29,0)</f>
        <v>0</v>
      </c>
      <c r="V128" s="159">
        <f t="shared" si="23"/>
        <v>0</v>
      </c>
      <c r="W128" s="160" t="e">
        <f t="shared" si="24"/>
        <v>#DIV/0!</v>
      </c>
      <c r="X128" s="15"/>
    </row>
    <row r="129" spans="2:24">
      <c r="B129" s="14"/>
      <c r="F129" s="159"/>
      <c r="G129" s="160">
        <f t="shared" si="25"/>
        <v>0</v>
      </c>
      <c r="I129" s="159"/>
      <c r="J129" s="160" t="e">
        <f t="shared" si="21"/>
        <v>#DIV/0!</v>
      </c>
      <c r="L129" s="159"/>
      <c r="M129" s="160" t="e">
        <f t="shared" si="22"/>
        <v>#DIV/0!</v>
      </c>
      <c r="P129">
        <f t="shared" si="26"/>
        <v>0</v>
      </c>
      <c r="S129">
        <f t="shared" si="27"/>
        <v>0</v>
      </c>
      <c r="V129" s="159">
        <f t="shared" si="23"/>
        <v>0</v>
      </c>
      <c r="W129" s="160" t="e">
        <f t="shared" si="24"/>
        <v>#DIV/0!</v>
      </c>
      <c r="X129" s="15"/>
    </row>
    <row r="130" spans="2:24">
      <c r="B130" s="14"/>
      <c r="F130" s="159"/>
      <c r="G130" s="160">
        <f t="shared" si="25"/>
        <v>0</v>
      </c>
      <c r="I130" s="159"/>
      <c r="J130" s="160" t="e">
        <f t="shared" si="21"/>
        <v>#DIV/0!</v>
      </c>
      <c r="L130" s="159"/>
      <c r="M130" s="160" t="e">
        <f t="shared" si="22"/>
        <v>#DIV/0!</v>
      </c>
      <c r="P130">
        <f t="shared" si="26"/>
        <v>0</v>
      </c>
      <c r="S130">
        <f t="shared" si="27"/>
        <v>0</v>
      </c>
      <c r="V130" s="159">
        <f t="shared" si="23"/>
        <v>0</v>
      </c>
      <c r="W130" s="160" t="e">
        <f t="shared" si="24"/>
        <v>#DIV/0!</v>
      </c>
      <c r="X130" s="15"/>
    </row>
    <row r="131" spans="2:24">
      <c r="B131" s="14"/>
      <c r="F131" s="159"/>
      <c r="G131" s="160">
        <f t="shared" si="25"/>
        <v>0</v>
      </c>
      <c r="I131" s="159"/>
      <c r="J131" s="160" t="e">
        <f t="shared" si="21"/>
        <v>#DIV/0!</v>
      </c>
      <c r="L131" s="159"/>
      <c r="M131" s="160" t="e">
        <f t="shared" si="22"/>
        <v>#DIV/0!</v>
      </c>
      <c r="P131">
        <f t="shared" si="26"/>
        <v>0</v>
      </c>
      <c r="S131">
        <f t="shared" si="27"/>
        <v>0</v>
      </c>
      <c r="V131" s="159">
        <f t="shared" si="23"/>
        <v>0</v>
      </c>
      <c r="W131" s="160" t="e">
        <f t="shared" si="24"/>
        <v>#DIV/0!</v>
      </c>
      <c r="X131" s="15"/>
    </row>
    <row r="132" spans="2:24">
      <c r="B132" s="14"/>
      <c r="F132" s="159"/>
      <c r="G132" s="160">
        <f t="shared" si="25"/>
        <v>0</v>
      </c>
      <c r="I132" s="159"/>
      <c r="J132" s="160" t="e">
        <f t="shared" si="21"/>
        <v>#DIV/0!</v>
      </c>
      <c r="L132" s="159"/>
      <c r="M132" s="160" t="e">
        <f t="shared" si="22"/>
        <v>#DIV/0!</v>
      </c>
      <c r="P132">
        <f t="shared" si="26"/>
        <v>0</v>
      </c>
      <c r="S132">
        <f t="shared" si="27"/>
        <v>0</v>
      </c>
      <c r="V132" s="159">
        <f t="shared" si="23"/>
        <v>0</v>
      </c>
      <c r="W132" s="160" t="e">
        <f t="shared" si="24"/>
        <v>#DIV/0!</v>
      </c>
      <c r="X132" s="15"/>
    </row>
    <row r="133" spans="2:24">
      <c r="B133" s="14"/>
      <c r="F133" s="159"/>
      <c r="G133" s="160">
        <f t="shared" si="25"/>
        <v>0</v>
      </c>
      <c r="I133" s="159"/>
      <c r="J133" s="160" t="e">
        <f t="shared" si="21"/>
        <v>#DIV/0!</v>
      </c>
      <c r="L133" s="159"/>
      <c r="M133" s="160" t="e">
        <f t="shared" si="22"/>
        <v>#DIV/0!</v>
      </c>
      <c r="P133">
        <f t="shared" si="26"/>
        <v>0</v>
      </c>
      <c r="S133">
        <f t="shared" si="27"/>
        <v>0</v>
      </c>
      <c r="V133" s="159">
        <f t="shared" si="23"/>
        <v>0</v>
      </c>
      <c r="W133" s="160" t="e">
        <f t="shared" si="24"/>
        <v>#DIV/0!</v>
      </c>
      <c r="X133" s="15"/>
    </row>
    <row r="134" spans="2:24">
      <c r="B134" s="14"/>
      <c r="F134" s="159"/>
      <c r="G134" s="160">
        <f t="shared" si="25"/>
        <v>0</v>
      </c>
      <c r="I134" s="159"/>
      <c r="J134" s="160" t="e">
        <f t="shared" si="21"/>
        <v>#DIV/0!</v>
      </c>
      <c r="L134" s="159"/>
      <c r="M134" s="160" t="e">
        <f t="shared" si="22"/>
        <v>#DIV/0!</v>
      </c>
      <c r="P134">
        <f t="shared" si="26"/>
        <v>0</v>
      </c>
      <c r="S134">
        <f t="shared" si="27"/>
        <v>0</v>
      </c>
      <c r="V134" s="159">
        <f t="shared" si="23"/>
        <v>0</v>
      </c>
      <c r="W134" s="160" t="e">
        <f t="shared" si="24"/>
        <v>#DIV/0!</v>
      </c>
      <c r="X134" s="15"/>
    </row>
    <row r="135" spans="2:24">
      <c r="B135" s="14"/>
      <c r="F135" s="159"/>
      <c r="G135" s="160">
        <f t="shared" si="25"/>
        <v>0</v>
      </c>
      <c r="I135" s="159"/>
      <c r="J135" s="160" t="e">
        <f t="shared" si="21"/>
        <v>#DIV/0!</v>
      </c>
      <c r="L135" s="159"/>
      <c r="M135" s="160" t="e">
        <f t="shared" si="22"/>
        <v>#DIV/0!</v>
      </c>
      <c r="P135">
        <f t="shared" si="26"/>
        <v>0</v>
      </c>
      <c r="S135">
        <f t="shared" si="27"/>
        <v>0</v>
      </c>
      <c r="V135" s="159">
        <f t="shared" si="23"/>
        <v>0</v>
      </c>
      <c r="W135" s="160" t="e">
        <f t="shared" si="24"/>
        <v>#DIV/0!</v>
      </c>
      <c r="X135" s="15"/>
    </row>
    <row r="136" spans="2:24">
      <c r="B136" s="14"/>
      <c r="F136" s="159"/>
      <c r="G136" s="160">
        <f t="shared" si="25"/>
        <v>0</v>
      </c>
      <c r="I136" s="159"/>
      <c r="J136" s="160" t="e">
        <f t="shared" si="21"/>
        <v>#DIV/0!</v>
      </c>
      <c r="L136" s="159"/>
      <c r="M136" s="160" t="e">
        <f t="shared" si="22"/>
        <v>#DIV/0!</v>
      </c>
      <c r="P136">
        <f t="shared" si="26"/>
        <v>0</v>
      </c>
      <c r="S136">
        <f t="shared" si="27"/>
        <v>0</v>
      </c>
      <c r="V136" s="159">
        <f t="shared" si="23"/>
        <v>0</v>
      </c>
      <c r="W136" s="160" t="e">
        <f t="shared" si="24"/>
        <v>#DIV/0!</v>
      </c>
      <c r="X136" s="15"/>
    </row>
    <row r="137" spans="2:24">
      <c r="B137" s="14"/>
      <c r="F137" s="159"/>
      <c r="G137" s="160">
        <f t="shared" si="25"/>
        <v>0</v>
      </c>
      <c r="I137" s="159"/>
      <c r="J137" s="160" t="e">
        <f t="shared" si="21"/>
        <v>#DIV/0!</v>
      </c>
      <c r="L137" s="159"/>
      <c r="M137" s="160" t="e">
        <f t="shared" si="22"/>
        <v>#DIV/0!</v>
      </c>
      <c r="P137">
        <f t="shared" si="26"/>
        <v>0</v>
      </c>
      <c r="S137">
        <f t="shared" si="27"/>
        <v>0</v>
      </c>
      <c r="V137" s="159">
        <f t="shared" si="23"/>
        <v>0</v>
      </c>
      <c r="W137" s="160" t="e">
        <f t="shared" si="24"/>
        <v>#DIV/0!</v>
      </c>
      <c r="X137" s="15"/>
    </row>
    <row r="138" spans="2:24">
      <c r="B138" s="14"/>
      <c r="F138" s="159"/>
      <c r="G138" s="160">
        <f t="shared" si="25"/>
        <v>0</v>
      </c>
      <c r="I138" s="159"/>
      <c r="J138" s="160" t="e">
        <f t="shared" si="21"/>
        <v>#DIV/0!</v>
      </c>
      <c r="L138" s="159"/>
      <c r="M138" s="160" t="e">
        <f t="shared" si="22"/>
        <v>#DIV/0!</v>
      </c>
      <c r="P138">
        <f t="shared" si="26"/>
        <v>0</v>
      </c>
      <c r="S138">
        <f t="shared" si="27"/>
        <v>0</v>
      </c>
      <c r="V138" s="159">
        <f t="shared" si="23"/>
        <v>0</v>
      </c>
      <c r="W138" s="160" t="e">
        <f t="shared" si="24"/>
        <v>#DIV/0!</v>
      </c>
      <c r="X138" s="15"/>
    </row>
    <row r="139" spans="2:24">
      <c r="B139" s="14"/>
      <c r="F139" s="159"/>
      <c r="G139" s="160">
        <f t="shared" si="25"/>
        <v>0</v>
      </c>
      <c r="I139" s="159"/>
      <c r="J139" s="160" t="e">
        <f t="shared" si="21"/>
        <v>#DIV/0!</v>
      </c>
      <c r="L139" s="159"/>
      <c r="M139" s="160" t="e">
        <f t="shared" si="22"/>
        <v>#DIV/0!</v>
      </c>
      <c r="P139">
        <f t="shared" si="26"/>
        <v>0</v>
      </c>
      <c r="S139">
        <f t="shared" si="27"/>
        <v>0</v>
      </c>
      <c r="V139" s="159">
        <f t="shared" si="23"/>
        <v>0</v>
      </c>
      <c r="W139" s="160" t="e">
        <f t="shared" si="24"/>
        <v>#DIV/0!</v>
      </c>
      <c r="X139" s="15"/>
    </row>
    <row r="140" spans="2:24">
      <c r="B140" s="14"/>
      <c r="F140" s="159"/>
      <c r="G140" s="160">
        <f t="shared" si="25"/>
        <v>0</v>
      </c>
      <c r="I140" s="159"/>
      <c r="J140" s="160" t="e">
        <f t="shared" si="21"/>
        <v>#DIV/0!</v>
      </c>
      <c r="L140" s="159"/>
      <c r="M140" s="160" t="e">
        <f t="shared" si="22"/>
        <v>#DIV/0!</v>
      </c>
      <c r="P140">
        <f t="shared" si="26"/>
        <v>0</v>
      </c>
      <c r="S140">
        <f t="shared" si="27"/>
        <v>0</v>
      </c>
      <c r="V140" s="159">
        <f t="shared" si="23"/>
        <v>0</v>
      </c>
      <c r="W140" s="160" t="e">
        <f t="shared" si="24"/>
        <v>#DIV/0!</v>
      </c>
      <c r="X140" s="15"/>
    </row>
    <row r="141" spans="2:24">
      <c r="B141" s="14"/>
      <c r="F141" s="159"/>
      <c r="G141" s="160">
        <f t="shared" si="25"/>
        <v>0</v>
      </c>
      <c r="I141" s="159"/>
      <c r="J141" s="160" t="e">
        <f t="shared" si="21"/>
        <v>#DIV/0!</v>
      </c>
      <c r="L141" s="159"/>
      <c r="M141" s="160" t="e">
        <f t="shared" si="22"/>
        <v>#DIV/0!</v>
      </c>
      <c r="P141">
        <f t="shared" si="26"/>
        <v>0</v>
      </c>
      <c r="S141">
        <f t="shared" si="27"/>
        <v>0</v>
      </c>
      <c r="V141" s="159">
        <f t="shared" si="23"/>
        <v>0</v>
      </c>
      <c r="W141" s="160" t="e">
        <f t="shared" si="24"/>
        <v>#DIV/0!</v>
      </c>
      <c r="X141" s="15"/>
    </row>
    <row r="142" spans="2:24">
      <c r="B142" s="14"/>
      <c r="F142" s="159"/>
      <c r="G142" s="160">
        <f t="shared" si="25"/>
        <v>0</v>
      </c>
      <c r="I142" s="159"/>
      <c r="J142" s="160" t="e">
        <f t="shared" si="21"/>
        <v>#DIV/0!</v>
      </c>
      <c r="L142" s="159"/>
      <c r="M142" s="160" t="e">
        <f t="shared" si="22"/>
        <v>#DIV/0!</v>
      </c>
      <c r="P142">
        <f t="shared" si="26"/>
        <v>0</v>
      </c>
      <c r="S142">
        <f t="shared" si="27"/>
        <v>0</v>
      </c>
      <c r="V142" s="159">
        <f t="shared" si="23"/>
        <v>0</v>
      </c>
      <c r="W142" s="160" t="e">
        <f t="shared" si="24"/>
        <v>#DIV/0!</v>
      </c>
      <c r="X142" s="15"/>
    </row>
    <row r="143" spans="2:24">
      <c r="B143" s="14"/>
      <c r="F143" s="159"/>
      <c r="G143" s="160">
        <f t="shared" si="25"/>
        <v>0</v>
      </c>
      <c r="I143" s="159"/>
      <c r="J143" s="160" t="e">
        <f t="shared" si="21"/>
        <v>#DIV/0!</v>
      </c>
      <c r="L143" s="159"/>
      <c r="M143" s="160" t="e">
        <f t="shared" si="22"/>
        <v>#DIV/0!</v>
      </c>
      <c r="P143">
        <f t="shared" si="26"/>
        <v>0</v>
      </c>
      <c r="S143">
        <f t="shared" si="27"/>
        <v>0</v>
      </c>
      <c r="V143" s="159">
        <f t="shared" si="23"/>
        <v>0</v>
      </c>
      <c r="W143" s="160" t="e">
        <f t="shared" si="24"/>
        <v>#DIV/0!</v>
      </c>
      <c r="X143" s="15"/>
    </row>
    <row r="144" spans="2:24">
      <c r="B144" s="14"/>
      <c r="F144" s="159"/>
      <c r="G144" s="160">
        <f t="shared" si="25"/>
        <v>0</v>
      </c>
      <c r="I144" s="159"/>
      <c r="J144" s="160" t="e">
        <f t="shared" si="21"/>
        <v>#DIV/0!</v>
      </c>
      <c r="L144" s="159"/>
      <c r="M144" s="160" t="e">
        <f t="shared" si="22"/>
        <v>#DIV/0!</v>
      </c>
      <c r="P144">
        <f t="shared" si="26"/>
        <v>0</v>
      </c>
      <c r="S144">
        <f t="shared" si="27"/>
        <v>0</v>
      </c>
      <c r="V144" s="159">
        <f t="shared" si="23"/>
        <v>0</v>
      </c>
      <c r="W144" s="160" t="e">
        <f t="shared" si="24"/>
        <v>#DIV/0!</v>
      </c>
      <c r="X144" s="15"/>
    </row>
    <row r="145" spans="2:24">
      <c r="B145" s="14"/>
      <c r="F145" s="159"/>
      <c r="G145" s="160">
        <f t="shared" si="25"/>
        <v>0</v>
      </c>
      <c r="I145" s="159"/>
      <c r="J145" s="160" t="e">
        <f t="shared" si="21"/>
        <v>#DIV/0!</v>
      </c>
      <c r="L145" s="159"/>
      <c r="M145" s="160" t="e">
        <f t="shared" si="22"/>
        <v>#DIV/0!</v>
      </c>
      <c r="P145">
        <f t="shared" si="26"/>
        <v>0</v>
      </c>
      <c r="S145">
        <f t="shared" si="27"/>
        <v>0</v>
      </c>
      <c r="V145" s="159">
        <f t="shared" si="23"/>
        <v>0</v>
      </c>
      <c r="W145" s="160" t="e">
        <f t="shared" si="24"/>
        <v>#DIV/0!</v>
      </c>
      <c r="X145" s="15"/>
    </row>
    <row r="146" spans="2:24">
      <c r="B146" s="14"/>
      <c r="F146" s="159"/>
      <c r="G146" s="160">
        <f t="shared" si="25"/>
        <v>0</v>
      </c>
      <c r="I146" s="159"/>
      <c r="J146" s="160" t="e">
        <f t="shared" si="21"/>
        <v>#DIV/0!</v>
      </c>
      <c r="L146" s="159"/>
      <c r="M146" s="160" t="e">
        <f t="shared" si="22"/>
        <v>#DIV/0!</v>
      </c>
      <c r="P146">
        <f t="shared" si="26"/>
        <v>0</v>
      </c>
      <c r="S146">
        <f t="shared" si="27"/>
        <v>0</v>
      </c>
      <c r="V146" s="159">
        <f t="shared" si="23"/>
        <v>0</v>
      </c>
      <c r="W146" s="160" t="e">
        <f t="shared" si="24"/>
        <v>#DIV/0!</v>
      </c>
      <c r="X146" s="15"/>
    </row>
    <row r="147" spans="2:24">
      <c r="B147" s="14"/>
      <c r="F147" s="159"/>
      <c r="G147" s="160">
        <f t="shared" si="25"/>
        <v>0</v>
      </c>
      <c r="I147" s="159"/>
      <c r="J147" s="160" t="e">
        <f t="shared" si="21"/>
        <v>#DIV/0!</v>
      </c>
      <c r="L147" s="159"/>
      <c r="M147" s="160" t="e">
        <f t="shared" si="22"/>
        <v>#DIV/0!</v>
      </c>
      <c r="P147">
        <f t="shared" si="26"/>
        <v>0</v>
      </c>
      <c r="S147">
        <f t="shared" si="27"/>
        <v>0</v>
      </c>
      <c r="V147" s="159">
        <f t="shared" si="23"/>
        <v>0</v>
      </c>
      <c r="W147" s="160" t="e">
        <f t="shared" si="24"/>
        <v>#DIV/0!</v>
      </c>
      <c r="X147" s="15"/>
    </row>
    <row r="148" spans="2:24">
      <c r="B148" s="14"/>
      <c r="F148" s="159"/>
      <c r="G148" s="160">
        <f t="shared" si="25"/>
        <v>0</v>
      </c>
      <c r="I148" s="159"/>
      <c r="J148" s="160" t="e">
        <f t="shared" si="21"/>
        <v>#DIV/0!</v>
      </c>
      <c r="L148" s="159"/>
      <c r="M148" s="160" t="e">
        <f t="shared" si="22"/>
        <v>#DIV/0!</v>
      </c>
      <c r="P148">
        <f t="shared" si="26"/>
        <v>0</v>
      </c>
      <c r="S148">
        <f t="shared" si="27"/>
        <v>0</v>
      </c>
      <c r="V148" s="159">
        <f t="shared" si="23"/>
        <v>0</v>
      </c>
      <c r="W148" s="160" t="e">
        <f t="shared" si="24"/>
        <v>#DIV/0!</v>
      </c>
      <c r="X148" s="15"/>
    </row>
    <row r="149" spans="2:24">
      <c r="B149" s="14"/>
      <c r="F149" s="159"/>
      <c r="G149" s="160">
        <f t="shared" si="25"/>
        <v>0</v>
      </c>
      <c r="I149" s="159"/>
      <c r="J149" s="160" t="e">
        <f t="shared" si="21"/>
        <v>#DIV/0!</v>
      </c>
      <c r="L149" s="159"/>
      <c r="M149" s="160" t="e">
        <f t="shared" si="22"/>
        <v>#DIV/0!</v>
      </c>
      <c r="P149">
        <f t="shared" si="26"/>
        <v>0</v>
      </c>
      <c r="S149">
        <f t="shared" si="27"/>
        <v>0</v>
      </c>
      <c r="V149" s="159">
        <f t="shared" si="23"/>
        <v>0</v>
      </c>
      <c r="W149" s="160" t="e">
        <f t="shared" si="24"/>
        <v>#DIV/0!</v>
      </c>
      <c r="X149" s="15"/>
    </row>
    <row r="150" spans="2:24">
      <c r="B150" s="14"/>
      <c r="F150" s="159"/>
      <c r="G150" s="160">
        <f t="shared" si="25"/>
        <v>0</v>
      </c>
      <c r="I150" s="159"/>
      <c r="J150" s="160" t="e">
        <f t="shared" si="21"/>
        <v>#DIV/0!</v>
      </c>
      <c r="L150" s="159"/>
      <c r="M150" s="160" t="e">
        <f t="shared" si="22"/>
        <v>#DIV/0!</v>
      </c>
      <c r="P150">
        <f t="shared" si="26"/>
        <v>0</v>
      </c>
      <c r="S150">
        <f t="shared" si="27"/>
        <v>0</v>
      </c>
      <c r="V150" s="159">
        <f t="shared" si="23"/>
        <v>0</v>
      </c>
      <c r="W150" s="160" t="e">
        <f t="shared" si="24"/>
        <v>#DIV/0!</v>
      </c>
      <c r="X150" s="15"/>
    </row>
    <row r="151" spans="2:24">
      <c r="B151" s="14"/>
      <c r="F151" s="159"/>
      <c r="G151" s="160">
        <f t="shared" si="25"/>
        <v>0</v>
      </c>
      <c r="I151" s="159"/>
      <c r="J151" s="160" t="e">
        <f t="shared" si="21"/>
        <v>#DIV/0!</v>
      </c>
      <c r="L151" s="159"/>
      <c r="M151" s="160" t="e">
        <f t="shared" si="22"/>
        <v>#DIV/0!</v>
      </c>
      <c r="P151">
        <f t="shared" si="26"/>
        <v>0</v>
      </c>
      <c r="S151">
        <f t="shared" si="27"/>
        <v>0</v>
      </c>
      <c r="V151" s="159">
        <f t="shared" si="23"/>
        <v>0</v>
      </c>
      <c r="W151" s="160" t="e">
        <f t="shared" si="24"/>
        <v>#DIV/0!</v>
      </c>
      <c r="X151" s="15"/>
    </row>
    <row r="152" spans="2:24">
      <c r="B152" s="14"/>
      <c r="F152" s="159"/>
      <c r="G152" s="160">
        <f t="shared" si="25"/>
        <v>0</v>
      </c>
      <c r="I152" s="159"/>
      <c r="J152" s="160" t="e">
        <f t="shared" si="21"/>
        <v>#DIV/0!</v>
      </c>
      <c r="L152" s="159"/>
      <c r="M152" s="160" t="e">
        <f t="shared" si="22"/>
        <v>#DIV/0!</v>
      </c>
      <c r="P152">
        <f t="shared" si="26"/>
        <v>0</v>
      </c>
      <c r="S152">
        <f t="shared" si="27"/>
        <v>0</v>
      </c>
      <c r="V152" s="159">
        <f t="shared" si="23"/>
        <v>0</v>
      </c>
      <c r="W152" s="160" t="e">
        <f t="shared" si="24"/>
        <v>#DIV/0!</v>
      </c>
      <c r="X152" s="15"/>
    </row>
    <row r="153" spans="2:24">
      <c r="B153" s="14"/>
      <c r="F153" s="159"/>
      <c r="G153" s="160">
        <f t="shared" si="25"/>
        <v>0</v>
      </c>
      <c r="I153" s="159"/>
      <c r="J153" s="160" t="e">
        <f t="shared" si="21"/>
        <v>#DIV/0!</v>
      </c>
      <c r="L153" s="159"/>
      <c r="M153" s="160" t="e">
        <f t="shared" si="22"/>
        <v>#DIV/0!</v>
      </c>
      <c r="P153">
        <f t="shared" si="26"/>
        <v>0</v>
      </c>
      <c r="S153">
        <f t="shared" si="27"/>
        <v>0</v>
      </c>
      <c r="V153" s="159">
        <f t="shared" si="23"/>
        <v>0</v>
      </c>
      <c r="W153" s="160" t="e">
        <f t="shared" si="24"/>
        <v>#DIV/0!</v>
      </c>
      <c r="X153" s="15"/>
    </row>
    <row r="154" spans="2:24">
      <c r="B154" s="14"/>
      <c r="F154" s="159"/>
      <c r="G154" s="160">
        <f t="shared" si="25"/>
        <v>0</v>
      </c>
      <c r="I154" s="159"/>
      <c r="J154" s="160" t="e">
        <f t="shared" si="21"/>
        <v>#DIV/0!</v>
      </c>
      <c r="L154" s="159"/>
      <c r="M154" s="160" t="e">
        <f t="shared" si="22"/>
        <v>#DIV/0!</v>
      </c>
      <c r="P154">
        <f t="shared" si="26"/>
        <v>0</v>
      </c>
      <c r="S154">
        <f t="shared" si="27"/>
        <v>0</v>
      </c>
      <c r="V154" s="159">
        <f t="shared" si="23"/>
        <v>0</v>
      </c>
      <c r="W154" s="160" t="e">
        <f t="shared" si="24"/>
        <v>#DIV/0!</v>
      </c>
      <c r="X154" s="15"/>
    </row>
    <row r="155" spans="2:24">
      <c r="B155" s="14"/>
      <c r="F155" s="159"/>
      <c r="G155" s="160">
        <f t="shared" si="25"/>
        <v>0</v>
      </c>
      <c r="I155" s="159"/>
      <c r="J155" s="160" t="e">
        <f t="shared" si="21"/>
        <v>#DIV/0!</v>
      </c>
      <c r="L155" s="159"/>
      <c r="M155" s="160" t="e">
        <f t="shared" si="22"/>
        <v>#DIV/0!</v>
      </c>
      <c r="P155">
        <f t="shared" si="26"/>
        <v>0</v>
      </c>
      <c r="S155">
        <f t="shared" si="27"/>
        <v>0</v>
      </c>
      <c r="V155" s="159">
        <f t="shared" si="23"/>
        <v>0</v>
      </c>
      <c r="W155" s="160" t="e">
        <f t="shared" si="24"/>
        <v>#DIV/0!</v>
      </c>
      <c r="X155" s="15"/>
    </row>
    <row r="156" spans="2:24">
      <c r="B156" s="14"/>
      <c r="F156" s="159"/>
      <c r="G156" s="160">
        <f t="shared" si="25"/>
        <v>0</v>
      </c>
      <c r="I156" s="159"/>
      <c r="J156" s="160" t="e">
        <f t="shared" si="21"/>
        <v>#DIV/0!</v>
      </c>
      <c r="L156" s="159"/>
      <c r="M156" s="160" t="e">
        <f t="shared" si="22"/>
        <v>#DIV/0!</v>
      </c>
      <c r="P156">
        <f t="shared" si="26"/>
        <v>0</v>
      </c>
      <c r="S156">
        <f t="shared" si="27"/>
        <v>0</v>
      </c>
      <c r="V156" s="159">
        <f t="shared" si="23"/>
        <v>0</v>
      </c>
      <c r="W156" s="160" t="e">
        <f t="shared" si="24"/>
        <v>#DIV/0!</v>
      </c>
      <c r="X156" s="15"/>
    </row>
    <row r="157" spans="2:24">
      <c r="B157" s="14"/>
      <c r="F157" s="159"/>
      <c r="G157" s="160">
        <f t="shared" si="25"/>
        <v>0</v>
      </c>
      <c r="I157" s="159"/>
      <c r="J157" s="160" t="e">
        <f t="shared" si="21"/>
        <v>#DIV/0!</v>
      </c>
      <c r="L157" s="159"/>
      <c r="M157" s="160" t="e">
        <f t="shared" si="22"/>
        <v>#DIV/0!</v>
      </c>
      <c r="P157">
        <f t="shared" si="26"/>
        <v>0</v>
      </c>
      <c r="S157">
        <f t="shared" si="27"/>
        <v>0</v>
      </c>
      <c r="V157" s="159">
        <f t="shared" si="23"/>
        <v>0</v>
      </c>
      <c r="W157" s="160" t="e">
        <f t="shared" si="24"/>
        <v>#DIV/0!</v>
      </c>
      <c r="X157" s="15"/>
    </row>
    <row r="158" spans="2:24">
      <c r="B158" s="14"/>
      <c r="F158" s="159"/>
      <c r="G158" s="160">
        <f t="shared" si="25"/>
        <v>0</v>
      </c>
      <c r="I158" s="159"/>
      <c r="J158" s="160" t="e">
        <f t="shared" si="21"/>
        <v>#DIV/0!</v>
      </c>
      <c r="L158" s="159"/>
      <c r="M158" s="160" t="e">
        <f t="shared" si="22"/>
        <v>#DIV/0!</v>
      </c>
      <c r="P158">
        <f t="shared" si="26"/>
        <v>0</v>
      </c>
      <c r="S158">
        <f t="shared" si="27"/>
        <v>0</v>
      </c>
      <c r="V158" s="159">
        <f t="shared" si="23"/>
        <v>0</v>
      </c>
      <c r="W158" s="160" t="e">
        <f t="shared" si="24"/>
        <v>#DIV/0!</v>
      </c>
      <c r="X158" s="15"/>
    </row>
    <row r="159" spans="2:24">
      <c r="B159" s="14"/>
      <c r="F159" s="159"/>
      <c r="G159" s="160">
        <f t="shared" si="25"/>
        <v>0</v>
      </c>
      <c r="I159" s="159"/>
      <c r="J159" s="160" t="e">
        <f t="shared" si="21"/>
        <v>#DIV/0!</v>
      </c>
      <c r="L159" s="159"/>
      <c r="M159" s="160" t="e">
        <f t="shared" si="22"/>
        <v>#DIV/0!</v>
      </c>
      <c r="P159">
        <f t="shared" si="26"/>
        <v>0</v>
      </c>
      <c r="S159">
        <f t="shared" si="27"/>
        <v>0</v>
      </c>
      <c r="V159" s="159">
        <f t="shared" si="23"/>
        <v>0</v>
      </c>
      <c r="W159" s="160" t="e">
        <f t="shared" si="24"/>
        <v>#DIV/0!</v>
      </c>
      <c r="X159" s="15"/>
    </row>
    <row r="160" spans="2:24">
      <c r="B160" s="14"/>
      <c r="F160" s="159"/>
      <c r="G160" s="160">
        <f t="shared" ref="G160:G173" si="28">IFERROR(F160/$F$29,0)</f>
        <v>0</v>
      </c>
      <c r="I160" s="159"/>
      <c r="J160" s="160" t="e">
        <f t="shared" si="21"/>
        <v>#DIV/0!</v>
      </c>
      <c r="L160" s="159"/>
      <c r="M160" s="160" t="e">
        <f t="shared" si="22"/>
        <v>#DIV/0!</v>
      </c>
      <c r="P160">
        <f t="shared" ref="P160:P173" si="29">IFERROR(O160/$O$29,0)</f>
        <v>0</v>
      </c>
      <c r="S160">
        <f t="shared" ref="S160:S173" si="30">IFERROR(R160/$R$29,0)</f>
        <v>0</v>
      </c>
      <c r="V160" s="159">
        <f t="shared" si="23"/>
        <v>0</v>
      </c>
      <c r="W160" s="160" t="e">
        <f t="shared" si="24"/>
        <v>#DIV/0!</v>
      </c>
      <c r="X160" s="15"/>
    </row>
    <row r="161" spans="2:24">
      <c r="B161" s="14"/>
      <c r="F161" s="159"/>
      <c r="G161" s="160">
        <f t="shared" si="28"/>
        <v>0</v>
      </c>
      <c r="I161" s="159"/>
      <c r="J161" s="160" t="e">
        <f t="shared" ref="J161:J173" si="31">I161/$I$29</f>
        <v>#DIV/0!</v>
      </c>
      <c r="L161" s="159"/>
      <c r="M161" s="160" t="e">
        <f t="shared" ref="M161:M173" si="32">L161/$L$29</f>
        <v>#DIV/0!</v>
      </c>
      <c r="P161">
        <f t="shared" si="29"/>
        <v>0</v>
      </c>
      <c r="S161">
        <f t="shared" si="30"/>
        <v>0</v>
      </c>
      <c r="V161" s="159">
        <f t="shared" ref="V161:V173" si="33">U161+L161</f>
        <v>0</v>
      </c>
      <c r="W161" s="160" t="e">
        <f t="shared" ref="W161:W173" si="34">V161/$V$29</f>
        <v>#DIV/0!</v>
      </c>
      <c r="X161" s="15"/>
    </row>
    <row r="162" spans="2:24">
      <c r="B162" s="14"/>
      <c r="F162" s="159"/>
      <c r="G162" s="160">
        <f t="shared" si="28"/>
        <v>0</v>
      </c>
      <c r="I162" s="159"/>
      <c r="J162" s="160" t="e">
        <f t="shared" si="31"/>
        <v>#DIV/0!</v>
      </c>
      <c r="L162" s="159"/>
      <c r="M162" s="160" t="e">
        <f t="shared" si="32"/>
        <v>#DIV/0!</v>
      </c>
      <c r="P162">
        <f t="shared" si="29"/>
        <v>0</v>
      </c>
      <c r="S162">
        <f t="shared" si="30"/>
        <v>0</v>
      </c>
      <c r="V162" s="159">
        <f t="shared" si="33"/>
        <v>0</v>
      </c>
      <c r="W162" s="160" t="e">
        <f t="shared" si="34"/>
        <v>#DIV/0!</v>
      </c>
      <c r="X162" s="15"/>
    </row>
    <row r="163" spans="2:24">
      <c r="B163" s="14"/>
      <c r="F163" s="159"/>
      <c r="G163" s="160">
        <f t="shared" si="28"/>
        <v>0</v>
      </c>
      <c r="I163" s="159"/>
      <c r="J163" s="160" t="e">
        <f t="shared" si="31"/>
        <v>#DIV/0!</v>
      </c>
      <c r="L163" s="159"/>
      <c r="M163" s="160" t="e">
        <f t="shared" si="32"/>
        <v>#DIV/0!</v>
      </c>
      <c r="P163">
        <f t="shared" si="29"/>
        <v>0</v>
      </c>
      <c r="S163">
        <f t="shared" si="30"/>
        <v>0</v>
      </c>
      <c r="V163" s="159">
        <f t="shared" si="33"/>
        <v>0</v>
      </c>
      <c r="W163" s="160" t="e">
        <f t="shared" si="34"/>
        <v>#DIV/0!</v>
      </c>
      <c r="X163" s="15"/>
    </row>
    <row r="164" spans="2:24">
      <c r="B164" s="14"/>
      <c r="F164" s="159"/>
      <c r="G164" s="160">
        <f t="shared" si="28"/>
        <v>0</v>
      </c>
      <c r="I164" s="159"/>
      <c r="J164" s="160" t="e">
        <f t="shared" si="31"/>
        <v>#DIV/0!</v>
      </c>
      <c r="L164" s="159"/>
      <c r="M164" s="160" t="e">
        <f t="shared" si="32"/>
        <v>#DIV/0!</v>
      </c>
      <c r="P164">
        <f t="shared" si="29"/>
        <v>0</v>
      </c>
      <c r="S164">
        <f t="shared" si="30"/>
        <v>0</v>
      </c>
      <c r="V164" s="159">
        <f t="shared" si="33"/>
        <v>0</v>
      </c>
      <c r="W164" s="160" t="e">
        <f t="shared" si="34"/>
        <v>#DIV/0!</v>
      </c>
      <c r="X164" s="15"/>
    </row>
    <row r="165" spans="2:24">
      <c r="B165" s="14"/>
      <c r="F165" s="159"/>
      <c r="G165" s="160">
        <f t="shared" si="28"/>
        <v>0</v>
      </c>
      <c r="I165" s="159"/>
      <c r="J165" s="160" t="e">
        <f t="shared" si="31"/>
        <v>#DIV/0!</v>
      </c>
      <c r="L165" s="159"/>
      <c r="M165" s="160" t="e">
        <f t="shared" si="32"/>
        <v>#DIV/0!</v>
      </c>
      <c r="P165">
        <f t="shared" si="29"/>
        <v>0</v>
      </c>
      <c r="S165">
        <f t="shared" si="30"/>
        <v>0</v>
      </c>
      <c r="V165" s="159">
        <f t="shared" si="33"/>
        <v>0</v>
      </c>
      <c r="W165" s="160" t="e">
        <f t="shared" si="34"/>
        <v>#DIV/0!</v>
      </c>
      <c r="X165" s="15"/>
    </row>
    <row r="166" spans="2:24">
      <c r="B166" s="14"/>
      <c r="F166" s="159"/>
      <c r="G166" s="160">
        <f t="shared" si="28"/>
        <v>0</v>
      </c>
      <c r="I166" s="159"/>
      <c r="J166" s="160" t="e">
        <f t="shared" si="31"/>
        <v>#DIV/0!</v>
      </c>
      <c r="L166" s="159"/>
      <c r="M166" s="160" t="e">
        <f t="shared" si="32"/>
        <v>#DIV/0!</v>
      </c>
      <c r="P166">
        <f t="shared" si="29"/>
        <v>0</v>
      </c>
      <c r="S166">
        <f t="shared" si="30"/>
        <v>0</v>
      </c>
      <c r="V166" s="159">
        <f t="shared" si="33"/>
        <v>0</v>
      </c>
      <c r="W166" s="160" t="e">
        <f t="shared" si="34"/>
        <v>#DIV/0!</v>
      </c>
      <c r="X166" s="15"/>
    </row>
    <row r="167" spans="2:24">
      <c r="B167" s="14"/>
      <c r="F167" s="159"/>
      <c r="G167" s="160">
        <f t="shared" si="28"/>
        <v>0</v>
      </c>
      <c r="I167" s="159"/>
      <c r="J167" s="160" t="e">
        <f t="shared" si="31"/>
        <v>#DIV/0!</v>
      </c>
      <c r="L167" s="159"/>
      <c r="M167" s="160" t="e">
        <f t="shared" si="32"/>
        <v>#DIV/0!</v>
      </c>
      <c r="P167">
        <f t="shared" si="29"/>
        <v>0</v>
      </c>
      <c r="S167">
        <f t="shared" si="30"/>
        <v>0</v>
      </c>
      <c r="V167" s="159">
        <f t="shared" si="33"/>
        <v>0</v>
      </c>
      <c r="W167" s="160" t="e">
        <f t="shared" si="34"/>
        <v>#DIV/0!</v>
      </c>
      <c r="X167" s="15"/>
    </row>
    <row r="168" spans="2:24">
      <c r="B168" s="14"/>
      <c r="F168" s="159"/>
      <c r="G168" s="160">
        <f t="shared" si="28"/>
        <v>0</v>
      </c>
      <c r="I168" s="159"/>
      <c r="J168" s="160" t="e">
        <f t="shared" si="31"/>
        <v>#DIV/0!</v>
      </c>
      <c r="L168" s="159"/>
      <c r="M168" s="160" t="e">
        <f t="shared" si="32"/>
        <v>#DIV/0!</v>
      </c>
      <c r="P168">
        <f t="shared" si="29"/>
        <v>0</v>
      </c>
      <c r="S168">
        <f t="shared" si="30"/>
        <v>0</v>
      </c>
      <c r="V168" s="159">
        <f t="shared" si="33"/>
        <v>0</v>
      </c>
      <c r="W168" s="160" t="e">
        <f t="shared" si="34"/>
        <v>#DIV/0!</v>
      </c>
      <c r="X168" s="15"/>
    </row>
    <row r="169" spans="2:24">
      <c r="B169" s="14"/>
      <c r="F169" s="159"/>
      <c r="G169" s="160">
        <f t="shared" si="28"/>
        <v>0</v>
      </c>
      <c r="I169" s="159"/>
      <c r="J169" s="160" t="e">
        <f t="shared" si="31"/>
        <v>#DIV/0!</v>
      </c>
      <c r="L169" s="159"/>
      <c r="M169" s="160" t="e">
        <f t="shared" si="32"/>
        <v>#DIV/0!</v>
      </c>
      <c r="P169">
        <f t="shared" si="29"/>
        <v>0</v>
      </c>
      <c r="S169">
        <f t="shared" si="30"/>
        <v>0</v>
      </c>
      <c r="V169" s="159">
        <f t="shared" si="33"/>
        <v>0</v>
      </c>
      <c r="W169" s="160" t="e">
        <f t="shared" si="34"/>
        <v>#DIV/0!</v>
      </c>
      <c r="X169" s="15"/>
    </row>
    <row r="170" spans="2:24">
      <c r="B170" s="14"/>
      <c r="F170" s="159"/>
      <c r="G170" s="160">
        <f t="shared" si="28"/>
        <v>0</v>
      </c>
      <c r="I170" s="159"/>
      <c r="J170" s="160" t="e">
        <f t="shared" si="31"/>
        <v>#DIV/0!</v>
      </c>
      <c r="L170" s="159"/>
      <c r="M170" s="160" t="e">
        <f t="shared" si="32"/>
        <v>#DIV/0!</v>
      </c>
      <c r="P170">
        <f t="shared" si="29"/>
        <v>0</v>
      </c>
      <c r="S170">
        <f t="shared" si="30"/>
        <v>0</v>
      </c>
      <c r="V170" s="159">
        <f t="shared" si="33"/>
        <v>0</v>
      </c>
      <c r="W170" s="160" t="e">
        <f t="shared" si="34"/>
        <v>#DIV/0!</v>
      </c>
      <c r="X170" s="15"/>
    </row>
    <row r="171" spans="2:24">
      <c r="B171" s="14"/>
      <c r="F171" s="159"/>
      <c r="G171" s="160">
        <f t="shared" si="28"/>
        <v>0</v>
      </c>
      <c r="I171" s="159"/>
      <c r="J171" s="160" t="e">
        <f t="shared" si="31"/>
        <v>#DIV/0!</v>
      </c>
      <c r="L171" s="159"/>
      <c r="M171" s="160" t="e">
        <f t="shared" si="32"/>
        <v>#DIV/0!</v>
      </c>
      <c r="P171">
        <f t="shared" si="29"/>
        <v>0</v>
      </c>
      <c r="S171">
        <f t="shared" si="30"/>
        <v>0</v>
      </c>
      <c r="V171" s="159">
        <f t="shared" si="33"/>
        <v>0</v>
      </c>
      <c r="W171" s="160" t="e">
        <f t="shared" si="34"/>
        <v>#DIV/0!</v>
      </c>
      <c r="X171" s="15"/>
    </row>
    <row r="172" spans="2:24">
      <c r="B172" s="14"/>
      <c r="F172" s="159"/>
      <c r="G172" s="160">
        <f t="shared" si="28"/>
        <v>0</v>
      </c>
      <c r="I172" s="159"/>
      <c r="J172" s="160" t="e">
        <f t="shared" si="31"/>
        <v>#DIV/0!</v>
      </c>
      <c r="L172" s="159"/>
      <c r="M172" s="160" t="e">
        <f t="shared" si="32"/>
        <v>#DIV/0!</v>
      </c>
      <c r="P172">
        <f t="shared" si="29"/>
        <v>0</v>
      </c>
      <c r="S172">
        <f t="shared" si="30"/>
        <v>0</v>
      </c>
      <c r="V172" s="159">
        <f t="shared" si="33"/>
        <v>0</v>
      </c>
      <c r="W172" s="160" t="e">
        <f t="shared" si="34"/>
        <v>#DIV/0!</v>
      </c>
      <c r="X172" s="15"/>
    </row>
    <row r="173" spans="2:24">
      <c r="B173" s="14"/>
      <c r="F173" s="159"/>
      <c r="G173" s="160">
        <f t="shared" si="28"/>
        <v>0</v>
      </c>
      <c r="I173" s="159"/>
      <c r="J173" s="160" t="e">
        <f t="shared" si="31"/>
        <v>#DIV/0!</v>
      </c>
      <c r="L173" s="159"/>
      <c r="M173" s="160" t="e">
        <f t="shared" si="32"/>
        <v>#DIV/0!</v>
      </c>
      <c r="P173">
        <f t="shared" si="29"/>
        <v>0</v>
      </c>
      <c r="S173">
        <f t="shared" si="30"/>
        <v>0</v>
      </c>
      <c r="V173" s="159">
        <f t="shared" si="33"/>
        <v>0</v>
      </c>
      <c r="W173" s="160" t="e">
        <f t="shared" si="34"/>
        <v>#DIV/0!</v>
      </c>
      <c r="X173" s="15"/>
    </row>
    <row r="174" spans="2:24">
      <c r="B174" s="121" t="s">
        <v>38</v>
      </c>
      <c r="F174" s="24">
        <f>SUM(F32:F173)</f>
        <v>0</v>
      </c>
      <c r="G174">
        <f>IFERROR(F174/F171,0)</f>
        <v>0</v>
      </c>
      <c r="I174" s="24">
        <f>SUM(I32:I173)</f>
        <v>0</v>
      </c>
      <c r="J174">
        <f>IFERROR(I174/I171,0)</f>
        <v>0</v>
      </c>
      <c r="L174" s="24">
        <f>SUM(L32:L173)</f>
        <v>0</v>
      </c>
      <c r="M174">
        <f>IFERROR(L174/L171,0)</f>
        <v>0</v>
      </c>
      <c r="O174" s="4">
        <f>SUM(O32:O173)</f>
        <v>0</v>
      </c>
      <c r="P174">
        <f>IFERROR(O174/O171,0)</f>
        <v>0</v>
      </c>
      <c r="R174" s="4">
        <f>SUM(R32:R173)</f>
        <v>0</v>
      </c>
      <c r="S174">
        <f>IFERROR(R174/R171,0)</f>
        <v>0</v>
      </c>
      <c r="U174" s="180">
        <f>SUM(U32:U173)</f>
        <v>0</v>
      </c>
      <c r="V174" s="24">
        <f>SUM(V32:V173)</f>
        <v>0</v>
      </c>
      <c r="W174">
        <f>IFERROR(V174/V171,0)</f>
        <v>0</v>
      </c>
      <c r="X174" s="15"/>
    </row>
    <row r="175" spans="2:24">
      <c r="B175" s="14"/>
      <c r="X175" s="15"/>
    </row>
    <row r="176" spans="2:24" ht="17" thickBot="1">
      <c r="B176" s="164" t="s">
        <v>39</v>
      </c>
      <c r="C176" s="8"/>
      <c r="D176" s="8"/>
      <c r="E176" s="8"/>
      <c r="F176" s="66">
        <f>F29-F174</f>
        <v>0</v>
      </c>
      <c r="G176" s="194">
        <f>IFERROR(F176/F29,0)</f>
        <v>0</v>
      </c>
      <c r="H176" s="66"/>
      <c r="I176" s="67">
        <f>I29-I174</f>
        <v>0</v>
      </c>
      <c r="J176" s="194" t="e">
        <f>I176/I29</f>
        <v>#DIV/0!</v>
      </c>
      <c r="K176" s="66"/>
      <c r="L176" s="67">
        <f>L29-L174</f>
        <v>0</v>
      </c>
      <c r="M176" s="194" t="e">
        <f>L176/L29</f>
        <v>#DIV/0!</v>
      </c>
      <c r="N176" s="66"/>
      <c r="O176" s="66">
        <f>O29-O174</f>
        <v>0</v>
      </c>
      <c r="P176" s="66">
        <f>IFERROR(O176/O29,0)</f>
        <v>0</v>
      </c>
      <c r="Q176" s="66"/>
      <c r="R176" s="66">
        <f>R29-R174</f>
        <v>0</v>
      </c>
      <c r="S176" s="66">
        <f>IFERROR(R176/R29,0)</f>
        <v>0</v>
      </c>
      <c r="T176" s="66"/>
      <c r="U176" s="66"/>
      <c r="V176" s="67">
        <f>V29-V174</f>
        <v>0</v>
      </c>
      <c r="W176" s="194" t="e">
        <f>V176/V29</f>
        <v>#DIV/0!</v>
      </c>
      <c r="X176" s="15"/>
    </row>
    <row r="177" spans="1:24">
      <c r="B177" s="14"/>
      <c r="X177" s="15"/>
    </row>
    <row r="178" spans="1:24">
      <c r="A178" s="10"/>
      <c r="B178" s="165" t="s">
        <v>40</v>
      </c>
      <c r="C178" s="10"/>
      <c r="D178" s="10"/>
      <c r="E178" s="10"/>
      <c r="F178" s="190">
        <f>G178*F29</f>
        <v>0</v>
      </c>
      <c r="G178" s="163">
        <f>IFERROR($W$178,0)</f>
        <v>0</v>
      </c>
      <c r="H178" s="10"/>
      <c r="I178" s="190">
        <f>J178*I29</f>
        <v>0</v>
      </c>
      <c r="J178" s="163">
        <f>$W$178</f>
        <v>0</v>
      </c>
      <c r="K178" s="10"/>
      <c r="L178" s="190">
        <f>M178*L29</f>
        <v>0</v>
      </c>
      <c r="M178" s="163">
        <f>$W$178</f>
        <v>0</v>
      </c>
      <c r="N178" s="10"/>
      <c r="O178" s="10"/>
      <c r="P178" s="10">
        <f>IFERROR($W$178,0)</f>
        <v>0</v>
      </c>
      <c r="Q178" s="10"/>
      <c r="R178" s="10"/>
      <c r="S178" s="10">
        <f>IFERROR($W$178,0)</f>
        <v>0</v>
      </c>
      <c r="T178" s="10"/>
      <c r="U178" s="10"/>
      <c r="V178" s="190">
        <f>W178*V29</f>
        <v>0</v>
      </c>
      <c r="W178" s="1222">
        <v>0</v>
      </c>
      <c r="X178" s="15"/>
    </row>
    <row r="179" spans="1:24">
      <c r="A179" s="10"/>
      <c r="B179" s="165" t="s">
        <v>422</v>
      </c>
      <c r="C179" s="10"/>
      <c r="D179" s="10"/>
      <c r="E179" s="10"/>
      <c r="F179" s="190">
        <f>G179*F29</f>
        <v>0</v>
      </c>
      <c r="G179" s="163">
        <f>IFERROR($W$179,0)</f>
        <v>0</v>
      </c>
      <c r="H179" s="10"/>
      <c r="I179" s="190">
        <f>J179*I29</f>
        <v>0</v>
      </c>
      <c r="J179" s="163">
        <f>$W$179</f>
        <v>0</v>
      </c>
      <c r="K179" s="10"/>
      <c r="L179" s="190">
        <f>M179*L29</f>
        <v>0</v>
      </c>
      <c r="M179" s="163">
        <f>$W$179</f>
        <v>0</v>
      </c>
      <c r="N179" s="10"/>
      <c r="O179" s="10"/>
      <c r="P179" s="10">
        <f>IFERROR($W$179,0)</f>
        <v>0</v>
      </c>
      <c r="Q179" s="10"/>
      <c r="R179" s="10"/>
      <c r="S179" s="10">
        <f>IFERROR($W$179,0)</f>
        <v>0</v>
      </c>
      <c r="T179" s="10"/>
      <c r="U179" s="10"/>
      <c r="V179" s="190">
        <f>W179*V29</f>
        <v>0</v>
      </c>
      <c r="W179" s="163">
        <f>INPUTS!F14</f>
        <v>0</v>
      </c>
      <c r="X179" s="15"/>
    </row>
    <row r="180" spans="1:24">
      <c r="B180" s="14"/>
      <c r="X180" s="15"/>
    </row>
    <row r="181" spans="1:24">
      <c r="B181" s="11" t="s">
        <v>41</v>
      </c>
      <c r="C181" s="12"/>
      <c r="D181" s="12"/>
      <c r="E181" s="12"/>
      <c r="F181" s="191">
        <f>F176-(F178+F179)</f>
        <v>0</v>
      </c>
      <c r="G181" s="192">
        <f>IFERROR(F181/F29,0)</f>
        <v>0</v>
      </c>
      <c r="H181" s="12"/>
      <c r="I181" s="191">
        <f>I176-(I178+I179)</f>
        <v>0</v>
      </c>
      <c r="J181" s="192" t="e">
        <f>I181/I29</f>
        <v>#DIV/0!</v>
      </c>
      <c r="K181" s="12"/>
      <c r="L181" s="191">
        <f>L176-(L178+L179)</f>
        <v>0</v>
      </c>
      <c r="M181" s="192" t="e">
        <f>L181/L29</f>
        <v>#DIV/0!</v>
      </c>
      <c r="N181" s="12"/>
      <c r="O181" s="12"/>
      <c r="P181" s="12"/>
      <c r="Q181" s="12"/>
      <c r="R181" s="12"/>
      <c r="S181" s="12"/>
      <c r="T181" s="12"/>
      <c r="U181" s="12"/>
      <c r="V181" s="191">
        <f>V176-(V178+V179)</f>
        <v>0</v>
      </c>
      <c r="W181" s="193" t="e">
        <f>V181/V29</f>
        <v>#DIV/0!</v>
      </c>
      <c r="X181" s="17"/>
    </row>
  </sheetData>
  <pageMargins left="0.25" right="0.25" top="0.25" bottom="0.25" header="0" footer="0"/>
  <pageSetup paperSize="0" scale="51" orientation="landscape"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06F3-30FA-1343-AA5A-35891E940625}">
  <sheetPr>
    <tabColor theme="7" tint="0.59999389629810485"/>
    <pageSetUpPr fitToPage="1"/>
  </sheetPr>
  <dimension ref="B2:W209"/>
  <sheetViews>
    <sheetView showGridLines="0" topLeftCell="D1" workbookViewId="0">
      <selection activeCell="I19" sqref="I19"/>
    </sheetView>
  </sheetViews>
  <sheetFormatPr baseColWidth="10" defaultRowHeight="16"/>
  <cols>
    <col min="1" max="1" width="2.5" customWidth="1"/>
    <col min="2" max="2" width="27.83203125" customWidth="1"/>
    <col min="3" max="3" width="16.33203125" customWidth="1"/>
    <col min="4" max="4" width="16" customWidth="1"/>
    <col min="5" max="5" width="16.5" customWidth="1"/>
    <col min="6" max="6" width="13.6640625" customWidth="1"/>
    <col min="7" max="7" width="18.6640625" customWidth="1"/>
    <col min="8" max="8" width="6.83203125" customWidth="1"/>
    <col min="11" max="11" width="32" customWidth="1"/>
    <col min="15" max="15" width="14" bestFit="1" customWidth="1"/>
    <col min="17" max="17" width="13.33203125" customWidth="1"/>
    <col min="20" max="20" width="13.5" customWidth="1"/>
    <col min="21" max="21" width="16.5" customWidth="1"/>
    <col min="23" max="23" width="14.5" customWidth="1"/>
  </cols>
  <sheetData>
    <row r="2" spans="2:17" s="415" customFormat="1" ht="28" customHeight="1" thickBot="1">
      <c r="B2" s="415" t="s">
        <v>42</v>
      </c>
    </row>
    <row r="3" spans="2:17">
      <c r="F3" t="s">
        <v>346</v>
      </c>
    </row>
    <row r="4" spans="2:17" ht="20" thickBot="1">
      <c r="B4" s="150" t="s">
        <v>32</v>
      </c>
      <c r="C4" s="152">
        <f>'DIRTY P&amp;L'!F4</f>
        <v>2023</v>
      </c>
      <c r="D4" s="152">
        <f>'DIRTY P&amp;L'!I4</f>
        <v>2024</v>
      </c>
      <c r="E4" s="152">
        <f>'DIRTY P&amp;L'!L4</f>
        <v>2025</v>
      </c>
      <c r="F4" s="152" t="str">
        <f>'DIRTY P&amp;L'!U4</f>
        <v>Adjustments</v>
      </c>
      <c r="G4" s="153">
        <f>'DIRTY P&amp;L'!V4</f>
        <v>2025</v>
      </c>
      <c r="H4" s="152"/>
      <c r="I4" s="154" t="s">
        <v>43</v>
      </c>
      <c r="K4" s="168" t="s">
        <v>44</v>
      </c>
      <c r="L4" s="152"/>
      <c r="M4" s="152"/>
      <c r="N4" s="152"/>
      <c r="O4" s="152"/>
      <c r="P4" s="152"/>
      <c r="Q4" s="154"/>
    </row>
    <row r="5" spans="2:17">
      <c r="B5" s="157" t="s">
        <v>26</v>
      </c>
      <c r="I5" s="15"/>
      <c r="K5" s="157" t="s">
        <v>26</v>
      </c>
      <c r="L5" t="s">
        <v>43</v>
      </c>
      <c r="M5" s="169">
        <f>C4</f>
        <v>2023</v>
      </c>
      <c r="O5" s="169">
        <f>D4</f>
        <v>2024</v>
      </c>
      <c r="Q5" s="170">
        <f>G4</f>
        <v>2025</v>
      </c>
    </row>
    <row r="6" spans="2:17" ht="17" customHeight="1">
      <c r="B6" s="166">
        <f>'DIRTY P&amp;L'!B8</f>
        <v>0</v>
      </c>
      <c r="C6" s="25">
        <f>'DIRTY P&amp;L'!F8</f>
        <v>0</v>
      </c>
      <c r="D6" s="25">
        <f>'DIRTY P&amp;L'!I8</f>
        <v>0</v>
      </c>
      <c r="E6" s="25">
        <f>'DIRTY P&amp;L'!L8</f>
        <v>0</v>
      </c>
      <c r="F6" s="25">
        <f>'DIRTY P&amp;L'!U8</f>
        <v>0</v>
      </c>
      <c r="G6" s="25">
        <f>'DIRTY P&amp;L'!V8</f>
        <v>0</v>
      </c>
      <c r="H6" s="25"/>
      <c r="I6" s="167"/>
      <c r="K6" s="14" t="s">
        <v>27</v>
      </c>
      <c r="L6" t="s">
        <v>47</v>
      </c>
      <c r="M6" s="26">
        <f>SUMIF(I$6:I$26,L6,C$6:C$26)</f>
        <v>0</v>
      </c>
      <c r="O6" s="26">
        <f>SUMIF(I$6:I$26,L6,D$6:D$26)</f>
        <v>0</v>
      </c>
      <c r="Q6" s="125">
        <f>SUMIF(I$6:I$26,L6,G$6:G$26)</f>
        <v>0</v>
      </c>
    </row>
    <row r="7" spans="2:17">
      <c r="B7" s="345">
        <f>'DIRTY P&amp;L'!B9</f>
        <v>0</v>
      </c>
      <c r="C7" s="346">
        <f>'DIRTY P&amp;L'!F9</f>
        <v>0</v>
      </c>
      <c r="D7" s="346">
        <f>'DIRTY P&amp;L'!I9</f>
        <v>0</v>
      </c>
      <c r="E7" s="346">
        <f>'DIRTY P&amp;L'!L9</f>
        <v>0</v>
      </c>
      <c r="F7" s="346">
        <f>'DIRTY P&amp;L'!U9</f>
        <v>0</v>
      </c>
      <c r="G7" s="346">
        <f>'DIRTY P&amp;L'!V9</f>
        <v>0</v>
      </c>
      <c r="H7" s="346"/>
      <c r="I7" s="347"/>
      <c r="K7" s="14" t="s">
        <v>45</v>
      </c>
      <c r="L7" t="s">
        <v>302</v>
      </c>
      <c r="M7" s="26">
        <f>SUMIF(I$6:I$26,L7,C$6:C$26)</f>
        <v>0</v>
      </c>
      <c r="O7" s="26">
        <f>SUMIF(I$6:I$26,L7,D$6:D$26)</f>
        <v>0</v>
      </c>
      <c r="Q7" s="125">
        <f>SUMIF(I$6:I$26,L7,G$6:G$26)</f>
        <v>0</v>
      </c>
    </row>
    <row r="8" spans="2:17">
      <c r="B8" s="166">
        <f>'DIRTY P&amp;L'!B10</f>
        <v>0</v>
      </c>
      <c r="C8" s="25">
        <f>'DIRTY P&amp;L'!F10</f>
        <v>0</v>
      </c>
      <c r="D8" s="25">
        <f>'DIRTY P&amp;L'!I10</f>
        <v>0</v>
      </c>
      <c r="E8" s="25">
        <f>'DIRTY P&amp;L'!L10</f>
        <v>0</v>
      </c>
      <c r="F8" s="25">
        <f>'DIRTY P&amp;L'!U10</f>
        <v>0</v>
      </c>
      <c r="G8" s="25">
        <f>'DIRTY P&amp;L'!V10</f>
        <v>0</v>
      </c>
      <c r="H8" s="25"/>
      <c r="I8" s="167"/>
      <c r="K8" s="14" t="s">
        <v>46</v>
      </c>
      <c r="L8" t="s">
        <v>48</v>
      </c>
      <c r="M8" s="26">
        <f>SUMIF(I$6:I$26,L8,C$6:C$26)</f>
        <v>0</v>
      </c>
      <c r="O8" s="26">
        <f>SUMIF(I$6:I$26,L8,D$6:D$26)</f>
        <v>0</v>
      </c>
      <c r="Q8" s="125">
        <f>SUMIF(I$6:I$26,L8,G$6:G$26)</f>
        <v>0</v>
      </c>
    </row>
    <row r="9" spans="2:17">
      <c r="B9" s="345">
        <f>'DIRTY P&amp;L'!B11</f>
        <v>0</v>
      </c>
      <c r="C9" s="346">
        <f>'DIRTY P&amp;L'!F11</f>
        <v>0</v>
      </c>
      <c r="D9" s="346">
        <f>'DIRTY P&amp;L'!I11</f>
        <v>0</v>
      </c>
      <c r="E9" s="346">
        <f>'DIRTY P&amp;L'!L11</f>
        <v>0</v>
      </c>
      <c r="F9" s="346">
        <f>'DIRTY P&amp;L'!U11</f>
        <v>0</v>
      </c>
      <c r="G9" s="346">
        <f>'DIRTY P&amp;L'!V11</f>
        <v>0</v>
      </c>
      <c r="H9" s="346"/>
      <c r="I9" s="347"/>
      <c r="K9" s="14" t="s">
        <v>298</v>
      </c>
      <c r="L9" t="s">
        <v>299</v>
      </c>
      <c r="M9" s="26">
        <f>SUMIF(I$6:I$26,L9,C$6:C$26)</f>
        <v>0</v>
      </c>
      <c r="O9" s="26">
        <f>SUMIF(I$6:I$26,L9,D$6:D$26)</f>
        <v>0</v>
      </c>
      <c r="Q9" s="125">
        <f>SUMIF(I$6:I$26,L9,G$6:G$26)</f>
        <v>0</v>
      </c>
    </row>
    <row r="10" spans="2:17">
      <c r="B10" s="166"/>
      <c r="C10" s="25"/>
      <c r="D10" s="25"/>
      <c r="E10" s="25"/>
      <c r="F10" s="25"/>
      <c r="G10" s="25"/>
      <c r="H10" s="25"/>
      <c r="I10" s="167"/>
      <c r="K10" s="171" t="s">
        <v>49</v>
      </c>
      <c r="L10" s="172" t="s">
        <v>50</v>
      </c>
      <c r="M10" s="26">
        <f>SUMIF(I$6:I$26,L10,C$6:C$26)</f>
        <v>0</v>
      </c>
      <c r="O10" s="26">
        <f>SUMIF(I$6:I$26,L10,D$6:D$26)</f>
        <v>0</v>
      </c>
      <c r="Q10" s="125">
        <f>SUMIF(I$6:I$26,L10,G$6:G$26)</f>
        <v>0</v>
      </c>
    </row>
    <row r="11" spans="2:17">
      <c r="B11" s="345"/>
      <c r="C11" s="346"/>
      <c r="D11" s="346"/>
      <c r="E11" s="346"/>
      <c r="F11" s="346"/>
      <c r="G11" s="346"/>
      <c r="H11" s="346"/>
      <c r="I11" s="347"/>
      <c r="K11" s="14"/>
      <c r="M11" s="26"/>
      <c r="O11" s="26"/>
      <c r="Q11" s="125"/>
    </row>
    <row r="12" spans="2:17">
      <c r="B12" s="166"/>
      <c r="C12" s="25"/>
      <c r="D12" s="25"/>
      <c r="E12" s="25"/>
      <c r="F12" s="25"/>
      <c r="G12" s="25"/>
      <c r="H12" s="25"/>
      <c r="I12" s="167"/>
      <c r="K12" s="14"/>
      <c r="M12" s="26"/>
      <c r="O12" s="26"/>
      <c r="Q12" s="125"/>
    </row>
    <row r="13" spans="2:17">
      <c r="B13" s="345"/>
      <c r="C13" s="346"/>
      <c r="D13" s="346"/>
      <c r="E13" s="346"/>
      <c r="F13" s="346"/>
      <c r="G13" s="346"/>
      <c r="H13" s="346"/>
      <c r="I13" s="347"/>
      <c r="K13" s="14"/>
      <c r="M13" s="26"/>
      <c r="O13" s="26"/>
      <c r="Q13" s="125"/>
    </row>
    <row r="14" spans="2:17">
      <c r="B14" s="166"/>
      <c r="C14" s="25"/>
      <c r="D14" s="25"/>
      <c r="E14" s="25"/>
      <c r="F14" s="25"/>
      <c r="G14" s="25"/>
      <c r="H14" s="25"/>
      <c r="I14" s="167"/>
      <c r="K14" s="14"/>
      <c r="M14" s="26"/>
      <c r="O14" s="26"/>
      <c r="Q14" s="125"/>
    </row>
    <row r="15" spans="2:17">
      <c r="B15" s="345"/>
      <c r="C15" s="346"/>
      <c r="D15" s="346"/>
      <c r="E15" s="346"/>
      <c r="F15" s="346"/>
      <c r="G15" s="346"/>
      <c r="H15" s="346"/>
      <c r="I15" s="347"/>
      <c r="K15" s="14"/>
      <c r="M15" s="26"/>
      <c r="O15" s="26"/>
      <c r="Q15" s="125"/>
    </row>
    <row r="16" spans="2:17">
      <c r="B16" s="166"/>
      <c r="C16" s="25"/>
      <c r="D16" s="25"/>
      <c r="E16" s="25"/>
      <c r="F16" s="25"/>
      <c r="G16" s="25"/>
      <c r="H16" s="25"/>
      <c r="I16" s="167"/>
      <c r="K16" s="14"/>
      <c r="M16" s="26"/>
      <c r="O16" s="26"/>
      <c r="Q16" s="125"/>
    </row>
    <row r="17" spans="2:17">
      <c r="B17" s="345"/>
      <c r="C17" s="346"/>
      <c r="D17" s="346"/>
      <c r="E17" s="346"/>
      <c r="F17" s="346"/>
      <c r="G17" s="346"/>
      <c r="H17" s="346"/>
      <c r="I17" s="347"/>
      <c r="K17" s="14"/>
      <c r="M17" s="26"/>
      <c r="O17" s="26"/>
      <c r="Q17" s="125"/>
    </row>
    <row r="18" spans="2:17">
      <c r="B18" s="166"/>
      <c r="C18" s="25"/>
      <c r="D18" s="25"/>
      <c r="E18" s="25"/>
      <c r="F18" s="25"/>
      <c r="G18" s="25"/>
      <c r="H18" s="25"/>
      <c r="I18" s="167"/>
      <c r="K18" s="14"/>
      <c r="M18" s="26"/>
      <c r="O18" s="26"/>
      <c r="Q18" s="125"/>
    </row>
    <row r="19" spans="2:17">
      <c r="B19" s="345"/>
      <c r="C19" s="346"/>
      <c r="D19" s="346"/>
      <c r="E19" s="346"/>
      <c r="F19" s="346"/>
      <c r="G19" s="346"/>
      <c r="H19" s="346"/>
      <c r="I19" s="347"/>
      <c r="K19" s="14"/>
      <c r="M19" s="26"/>
      <c r="O19" s="26"/>
      <c r="Q19" s="125"/>
    </row>
    <row r="20" spans="2:17">
      <c r="B20" s="166"/>
      <c r="C20" s="25"/>
      <c r="D20" s="25"/>
      <c r="E20" s="25"/>
      <c r="F20" s="25"/>
      <c r="G20" s="25"/>
      <c r="H20" s="25"/>
      <c r="I20" s="167"/>
      <c r="K20" s="14"/>
      <c r="M20" s="26"/>
      <c r="O20" s="26"/>
      <c r="Q20" s="125"/>
    </row>
    <row r="21" spans="2:17">
      <c r="B21" s="345"/>
      <c r="C21" s="346"/>
      <c r="D21" s="346"/>
      <c r="E21" s="346"/>
      <c r="F21" s="346"/>
      <c r="G21" s="346"/>
      <c r="H21" s="346"/>
      <c r="I21" s="347"/>
      <c r="K21" s="14"/>
      <c r="M21" s="26"/>
      <c r="O21" s="26"/>
      <c r="Q21" s="125"/>
    </row>
    <row r="22" spans="2:17">
      <c r="B22" s="166"/>
      <c r="C22" s="25"/>
      <c r="D22" s="25"/>
      <c r="E22" s="25"/>
      <c r="F22" s="25"/>
      <c r="G22" s="25"/>
      <c r="H22" s="25"/>
      <c r="I22" s="167"/>
      <c r="K22" s="14"/>
      <c r="M22" s="26"/>
      <c r="O22" s="26"/>
      <c r="Q22" s="125"/>
    </row>
    <row r="23" spans="2:17">
      <c r="B23" s="345"/>
      <c r="C23" s="346"/>
      <c r="D23" s="346"/>
      <c r="E23" s="346"/>
      <c r="F23" s="346"/>
      <c r="G23" s="346"/>
      <c r="H23" s="346"/>
      <c r="I23" s="347"/>
      <c r="K23" s="14"/>
      <c r="M23" s="26"/>
      <c r="O23" s="26"/>
      <c r="Q23" s="125"/>
    </row>
    <row r="24" spans="2:17">
      <c r="B24" s="166"/>
      <c r="C24" s="25"/>
      <c r="D24" s="25"/>
      <c r="E24" s="25"/>
      <c r="F24" s="25"/>
      <c r="G24" s="25"/>
      <c r="H24" s="25"/>
      <c r="I24" s="167"/>
      <c r="K24" s="14"/>
      <c r="M24" s="26"/>
      <c r="O24" s="26"/>
      <c r="Q24" s="125"/>
    </row>
    <row r="25" spans="2:17">
      <c r="B25" s="345"/>
      <c r="C25" s="346"/>
      <c r="D25" s="346"/>
      <c r="E25" s="346"/>
      <c r="F25" s="346"/>
      <c r="G25" s="346"/>
      <c r="H25" s="346"/>
      <c r="I25" s="347"/>
      <c r="K25" s="14"/>
      <c r="M25" s="26"/>
      <c r="O25" s="26"/>
      <c r="Q25" s="125"/>
    </row>
    <row r="26" spans="2:17">
      <c r="B26" s="166"/>
      <c r="C26" s="25"/>
      <c r="D26" s="25"/>
      <c r="E26" s="25"/>
      <c r="F26" s="25"/>
      <c r="G26" s="25"/>
      <c r="H26" s="25"/>
      <c r="I26" s="167"/>
      <c r="K26" s="14"/>
      <c r="M26" s="26"/>
      <c r="O26" s="26"/>
      <c r="Q26" s="125"/>
    </row>
    <row r="27" spans="2:17">
      <c r="B27" s="403" t="s">
        <v>31</v>
      </c>
      <c r="C27" s="404"/>
      <c r="D27" s="404"/>
      <c r="E27" s="404"/>
      <c r="F27" s="404"/>
      <c r="G27" s="404"/>
      <c r="H27" s="404"/>
      <c r="I27" s="405"/>
      <c r="K27" s="173" t="s">
        <v>31</v>
      </c>
      <c r="L27" s="4"/>
      <c r="M27" s="24"/>
      <c r="N27" s="4"/>
      <c r="O27" s="24"/>
      <c r="P27" s="4"/>
      <c r="Q27" s="78"/>
    </row>
    <row r="28" spans="2:17">
      <c r="B28" s="166">
        <f>'DIRTY P&amp;L'!B32</f>
        <v>0</v>
      </c>
      <c r="C28" s="25">
        <f>'DIRTY P&amp;L'!F32</f>
        <v>0</v>
      </c>
      <c r="D28" s="25">
        <f>'DIRTY P&amp;L'!I32</f>
        <v>0</v>
      </c>
      <c r="E28" s="25">
        <f>'DIRTY P&amp;L'!L32</f>
        <v>0</v>
      </c>
      <c r="F28" s="25">
        <f>'DIRTY P&amp;L'!U32</f>
        <v>0</v>
      </c>
      <c r="G28" s="25">
        <f>'DIRTY P&amp;L'!V32</f>
        <v>0</v>
      </c>
      <c r="H28" s="25"/>
      <c r="I28" s="167"/>
      <c r="K28" s="14" t="s">
        <v>52</v>
      </c>
      <c r="L28" t="s">
        <v>301</v>
      </c>
      <c r="M28" s="26">
        <f t="shared" ref="M28:M32" si="0">SUMIF(I$28:I$169,L28,C$28:C$169)</f>
        <v>0</v>
      </c>
      <c r="O28" s="26">
        <f t="shared" ref="O28:O31" si="1">SUMIF(I$28:I$169,L28,D$28:D$169)</f>
        <v>0</v>
      </c>
      <c r="Q28" s="125">
        <f t="shared" ref="Q28:Q32" si="2">SUMIF(I$28:I$169,L28,G$28:G$169)</f>
        <v>0</v>
      </c>
    </row>
    <row r="29" spans="2:17">
      <c r="B29" s="345">
        <f>'DIRTY P&amp;L'!B33</f>
        <v>0</v>
      </c>
      <c r="C29" s="346">
        <f>'DIRTY P&amp;L'!F33</f>
        <v>0</v>
      </c>
      <c r="D29" s="346">
        <f>'DIRTY P&amp;L'!I33</f>
        <v>0</v>
      </c>
      <c r="E29" s="346">
        <f>'DIRTY P&amp;L'!L33</f>
        <v>0</v>
      </c>
      <c r="F29" s="346">
        <f>'DIRTY P&amp;L'!U33</f>
        <v>0</v>
      </c>
      <c r="G29" s="346">
        <f>'DIRTY P&amp;L'!V33</f>
        <v>0</v>
      </c>
      <c r="H29" s="346"/>
      <c r="I29" s="347"/>
      <c r="K29" s="14" t="s">
        <v>45</v>
      </c>
      <c r="L29" t="s">
        <v>303</v>
      </c>
      <c r="M29" s="26">
        <f t="shared" si="0"/>
        <v>0</v>
      </c>
      <c r="O29" s="26">
        <f t="shared" si="1"/>
        <v>0</v>
      </c>
      <c r="Q29" s="125">
        <f t="shared" si="2"/>
        <v>0</v>
      </c>
    </row>
    <row r="30" spans="2:17">
      <c r="B30" s="166">
        <f>'DIRTY P&amp;L'!B34</f>
        <v>0</v>
      </c>
      <c r="C30" s="25">
        <f>'DIRTY P&amp;L'!F34</f>
        <v>0</v>
      </c>
      <c r="D30" s="25">
        <f>'DIRTY P&amp;L'!I34</f>
        <v>0</v>
      </c>
      <c r="E30" s="25">
        <f>'DIRTY P&amp;L'!L34</f>
        <v>0</v>
      </c>
      <c r="F30" s="25">
        <f>'DIRTY P&amp;L'!U34</f>
        <v>0</v>
      </c>
      <c r="G30" s="25">
        <f>'DIRTY P&amp;L'!V34</f>
        <v>0</v>
      </c>
      <c r="H30" s="25"/>
      <c r="I30" s="167"/>
      <c r="K30" s="171" t="s">
        <v>49</v>
      </c>
      <c r="L30" s="172" t="s">
        <v>50</v>
      </c>
      <c r="M30" s="26">
        <f t="shared" si="0"/>
        <v>0</v>
      </c>
      <c r="O30" s="26">
        <f t="shared" si="1"/>
        <v>0</v>
      </c>
      <c r="Q30" s="125">
        <f t="shared" si="2"/>
        <v>0</v>
      </c>
    </row>
    <row r="31" spans="2:17">
      <c r="B31" s="345">
        <f>'DIRTY P&amp;L'!B35</f>
        <v>0</v>
      </c>
      <c r="C31" s="346">
        <f>'DIRTY P&amp;L'!F35</f>
        <v>0</v>
      </c>
      <c r="D31" s="346">
        <f>'DIRTY P&amp;L'!I35</f>
        <v>0</v>
      </c>
      <c r="E31" s="346">
        <f>'DIRTY P&amp;L'!L35</f>
        <v>0</v>
      </c>
      <c r="F31" s="346">
        <f>'DIRTY P&amp;L'!U35</f>
        <v>0</v>
      </c>
      <c r="G31" s="346">
        <f>'DIRTY P&amp;L'!V35</f>
        <v>0</v>
      </c>
      <c r="H31" s="346"/>
      <c r="I31" s="347"/>
      <c r="K31" s="14" t="s">
        <v>221</v>
      </c>
      <c r="L31" t="s">
        <v>63</v>
      </c>
      <c r="M31" s="26">
        <f t="shared" si="0"/>
        <v>0</v>
      </c>
      <c r="O31" s="26">
        <f t="shared" si="1"/>
        <v>0</v>
      </c>
      <c r="Q31" s="125">
        <f t="shared" si="2"/>
        <v>0</v>
      </c>
    </row>
    <row r="32" spans="2:17">
      <c r="B32" s="166">
        <f>'DIRTY P&amp;L'!B36</f>
        <v>0</v>
      </c>
      <c r="C32" s="25">
        <f>'DIRTY P&amp;L'!F36</f>
        <v>0</v>
      </c>
      <c r="D32" s="25">
        <f>'DIRTY P&amp;L'!I36</f>
        <v>0</v>
      </c>
      <c r="E32" s="25">
        <f>'DIRTY P&amp;L'!L36</f>
        <v>0</v>
      </c>
      <c r="F32" s="25">
        <f>'DIRTY P&amp;L'!U36</f>
        <v>0</v>
      </c>
      <c r="G32" s="25">
        <f>'DIRTY P&amp;L'!V36</f>
        <v>0</v>
      </c>
      <c r="H32" s="25"/>
      <c r="I32" s="167"/>
      <c r="K32" s="14" t="s">
        <v>54</v>
      </c>
      <c r="L32" t="s">
        <v>300</v>
      </c>
      <c r="M32" s="26">
        <f t="shared" si="0"/>
        <v>0</v>
      </c>
      <c r="O32" s="26">
        <f>SUMIF(I$28:I$169,L32,D$28:D$169)</f>
        <v>0</v>
      </c>
      <c r="Q32" s="125">
        <f t="shared" si="2"/>
        <v>0</v>
      </c>
    </row>
    <row r="33" spans="2:23">
      <c r="B33" s="345">
        <f>'DIRTY P&amp;L'!B37</f>
        <v>0</v>
      </c>
      <c r="C33" s="346">
        <f>'DIRTY P&amp;L'!F37</f>
        <v>0</v>
      </c>
      <c r="D33" s="346">
        <f>'DIRTY P&amp;L'!I37</f>
        <v>0</v>
      </c>
      <c r="E33" s="346">
        <f>'DIRTY P&amp;L'!L37</f>
        <v>0</v>
      </c>
      <c r="F33" s="346">
        <f>'DIRTY P&amp;L'!U37</f>
        <v>0</v>
      </c>
      <c r="G33" s="346">
        <f>'DIRTY P&amp;L'!V37</f>
        <v>0</v>
      </c>
      <c r="H33" s="346"/>
      <c r="I33" s="347"/>
      <c r="K33" s="14" t="s">
        <v>304</v>
      </c>
      <c r="L33" t="s">
        <v>305</v>
      </c>
      <c r="M33" s="26">
        <f t="shared" ref="M33:M36" si="3">SUMIF(I$28:I$169,L33,C$28:C$169)</f>
        <v>0</v>
      </c>
      <c r="O33" s="26">
        <f>SUMIF(I$28:I$169,L33,D$28:D$169)</f>
        <v>0</v>
      </c>
      <c r="Q33" s="125">
        <f t="shared" ref="Q33:Q36" si="4">SUMIF(I$28:I$169,L33,G$28:G$169)</f>
        <v>0</v>
      </c>
    </row>
    <row r="34" spans="2:23">
      <c r="B34" s="166">
        <f>'DIRTY P&amp;L'!B38</f>
        <v>0</v>
      </c>
      <c r="C34" s="25">
        <f>'DIRTY P&amp;L'!F38</f>
        <v>0</v>
      </c>
      <c r="D34" s="25">
        <f>'DIRTY P&amp;L'!I38</f>
        <v>0</v>
      </c>
      <c r="E34" s="25">
        <f>'DIRTY P&amp;L'!L38</f>
        <v>0</v>
      </c>
      <c r="F34" s="25">
        <f>'DIRTY P&amp;L'!U38</f>
        <v>0</v>
      </c>
      <c r="G34" s="25">
        <f>'DIRTY P&amp;L'!V38</f>
        <v>0</v>
      </c>
      <c r="H34" s="25"/>
      <c r="I34" s="167"/>
      <c r="K34" s="14" t="s">
        <v>398</v>
      </c>
      <c r="L34" t="s">
        <v>409</v>
      </c>
      <c r="M34" s="26">
        <f t="shared" si="3"/>
        <v>0</v>
      </c>
      <c r="O34" s="26">
        <f>SUMIF(I$28:I$169,L34,D$28:D$169)</f>
        <v>0</v>
      </c>
      <c r="Q34" s="125">
        <f t="shared" si="4"/>
        <v>0</v>
      </c>
    </row>
    <row r="35" spans="2:23">
      <c r="B35" s="345">
        <f>'DIRTY P&amp;L'!B39</f>
        <v>0</v>
      </c>
      <c r="C35" s="346">
        <f>'DIRTY P&amp;L'!F39</f>
        <v>0</v>
      </c>
      <c r="D35" s="346">
        <f>'DIRTY P&amp;L'!I39</f>
        <v>0</v>
      </c>
      <c r="E35" s="346">
        <f>'DIRTY P&amp;L'!L39</f>
        <v>0</v>
      </c>
      <c r="F35" s="346">
        <f>'DIRTY P&amp;L'!U39</f>
        <v>0</v>
      </c>
      <c r="G35" s="346">
        <f>'DIRTY P&amp;L'!V39</f>
        <v>0</v>
      </c>
      <c r="H35" s="346"/>
      <c r="I35" s="347"/>
      <c r="K35" s="14" t="s">
        <v>55</v>
      </c>
      <c r="L35" t="s">
        <v>60</v>
      </c>
      <c r="M35" s="26">
        <f t="shared" si="3"/>
        <v>0</v>
      </c>
      <c r="O35" s="26">
        <f t="shared" ref="O35:O36" si="5">SUMIF(I$28:I$169,L35,D$28:D$169)</f>
        <v>0</v>
      </c>
      <c r="Q35" s="125">
        <f t="shared" si="4"/>
        <v>0</v>
      </c>
    </row>
    <row r="36" spans="2:23">
      <c r="B36" s="166">
        <f>'DIRTY P&amp;L'!B40</f>
        <v>0</v>
      </c>
      <c r="C36" s="25">
        <f>'DIRTY P&amp;L'!F40</f>
        <v>0</v>
      </c>
      <c r="D36" s="25">
        <f>'DIRTY P&amp;L'!I40</f>
        <v>0</v>
      </c>
      <c r="E36" s="25">
        <f>'DIRTY P&amp;L'!L40</f>
        <v>0</v>
      </c>
      <c r="F36" s="25">
        <f>'DIRTY P&amp;L'!U40</f>
        <v>0</v>
      </c>
      <c r="G36" s="25">
        <f>'DIRTY P&amp;L'!V40</f>
        <v>0</v>
      </c>
      <c r="H36" s="25"/>
      <c r="I36" s="167"/>
      <c r="K36" s="14" t="s">
        <v>56</v>
      </c>
      <c r="L36" t="s">
        <v>61</v>
      </c>
      <c r="M36" s="26">
        <f t="shared" si="3"/>
        <v>0</v>
      </c>
      <c r="O36" s="26">
        <f t="shared" si="5"/>
        <v>0</v>
      </c>
      <c r="Q36" s="125">
        <f t="shared" si="4"/>
        <v>0</v>
      </c>
    </row>
    <row r="37" spans="2:23">
      <c r="B37" s="345">
        <f>'DIRTY P&amp;L'!B41</f>
        <v>0</v>
      </c>
      <c r="C37" s="346">
        <f>'DIRTY P&amp;L'!F41</f>
        <v>0</v>
      </c>
      <c r="D37" s="346">
        <f>'DIRTY P&amp;L'!I41</f>
        <v>0</v>
      </c>
      <c r="E37" s="346">
        <f>'DIRTY P&amp;L'!L41</f>
        <v>0</v>
      </c>
      <c r="F37" s="346">
        <f>'DIRTY P&amp;L'!U41</f>
        <v>0</v>
      </c>
      <c r="G37" s="346">
        <f>'DIRTY P&amp;L'!V41</f>
        <v>0</v>
      </c>
      <c r="H37" s="346"/>
      <c r="I37" s="347"/>
      <c r="K37" s="14" t="s">
        <v>57</v>
      </c>
      <c r="L37" t="s">
        <v>62</v>
      </c>
      <c r="M37" s="26">
        <f t="shared" ref="M37:M43" si="6">SUMIF(I$28:I$169,L37,C$28:C$169)</f>
        <v>0</v>
      </c>
      <c r="O37" s="26">
        <f t="shared" ref="O37:O43" si="7">SUMIF(I$28:I$169,L37,D$28:D$169)</f>
        <v>0</v>
      </c>
      <c r="Q37" s="125">
        <f t="shared" ref="Q37:Q43" si="8">SUMIF(I$28:I$169,L37,G$28:G$169)</f>
        <v>0</v>
      </c>
    </row>
    <row r="38" spans="2:23">
      <c r="B38" s="166">
        <f>'DIRTY P&amp;L'!B42</f>
        <v>0</v>
      </c>
      <c r="C38" s="25">
        <f>'DIRTY P&amp;L'!F42</f>
        <v>0</v>
      </c>
      <c r="D38" s="25">
        <f>'DIRTY P&amp;L'!I42</f>
        <v>0</v>
      </c>
      <c r="E38" s="25">
        <f>'DIRTY P&amp;L'!L42</f>
        <v>0</v>
      </c>
      <c r="F38" s="25">
        <f>'DIRTY P&amp;L'!U42</f>
        <v>0</v>
      </c>
      <c r="G38" s="25">
        <f>'DIRTY P&amp;L'!V42</f>
        <v>0</v>
      </c>
      <c r="H38" s="25"/>
      <c r="I38" s="167"/>
      <c r="K38" s="14" t="s">
        <v>309</v>
      </c>
      <c r="L38" t="s">
        <v>310</v>
      </c>
      <c r="M38" s="26">
        <f t="shared" si="6"/>
        <v>0</v>
      </c>
      <c r="O38" s="26">
        <f t="shared" si="7"/>
        <v>0</v>
      </c>
      <c r="Q38" s="125">
        <f t="shared" si="8"/>
        <v>0</v>
      </c>
    </row>
    <row r="39" spans="2:23">
      <c r="B39" s="345">
        <f>'DIRTY P&amp;L'!B43</f>
        <v>0</v>
      </c>
      <c r="C39" s="346">
        <f>'DIRTY P&amp;L'!F43</f>
        <v>0</v>
      </c>
      <c r="D39" s="346">
        <f>'DIRTY P&amp;L'!I43</f>
        <v>0</v>
      </c>
      <c r="E39" s="346">
        <f>'DIRTY P&amp;L'!L43</f>
        <v>0</v>
      </c>
      <c r="F39" s="346">
        <f>'DIRTY P&amp;L'!U43</f>
        <v>0</v>
      </c>
      <c r="G39" s="346">
        <f>'DIRTY P&amp;L'!V43</f>
        <v>0</v>
      </c>
      <c r="H39" s="346"/>
      <c r="I39" s="347"/>
      <c r="K39" s="14" t="s">
        <v>58</v>
      </c>
      <c r="L39" t="s">
        <v>64</v>
      </c>
      <c r="M39" s="26">
        <f t="shared" si="6"/>
        <v>0</v>
      </c>
      <c r="O39" s="26">
        <f t="shared" si="7"/>
        <v>0</v>
      </c>
      <c r="Q39" s="125">
        <f t="shared" si="8"/>
        <v>0</v>
      </c>
    </row>
    <row r="40" spans="2:23">
      <c r="B40" s="166">
        <f>'DIRTY P&amp;L'!B44</f>
        <v>0</v>
      </c>
      <c r="C40" s="25">
        <f>'DIRTY P&amp;L'!F44</f>
        <v>0</v>
      </c>
      <c r="D40" s="25">
        <f>'DIRTY P&amp;L'!I44</f>
        <v>0</v>
      </c>
      <c r="E40" s="25">
        <f>'DIRTY P&amp;L'!L44</f>
        <v>0</v>
      </c>
      <c r="F40" s="25">
        <f>'DIRTY P&amp;L'!U44</f>
        <v>0</v>
      </c>
      <c r="G40" s="25">
        <f>'DIRTY P&amp;L'!V44</f>
        <v>0</v>
      </c>
      <c r="H40" s="25"/>
      <c r="I40" s="167"/>
      <c r="K40" s="14" t="s">
        <v>59</v>
      </c>
      <c r="L40" t="s">
        <v>65</v>
      </c>
      <c r="M40" s="26">
        <f t="shared" si="6"/>
        <v>0</v>
      </c>
      <c r="O40" s="26">
        <f t="shared" si="7"/>
        <v>0</v>
      </c>
      <c r="Q40" s="125">
        <f t="shared" si="8"/>
        <v>0</v>
      </c>
    </row>
    <row r="41" spans="2:23">
      <c r="B41" s="345">
        <f>'DIRTY P&amp;L'!B45</f>
        <v>0</v>
      </c>
      <c r="C41" s="346">
        <f>'DIRTY P&amp;L'!F45</f>
        <v>0</v>
      </c>
      <c r="D41" s="346">
        <f>'DIRTY P&amp;L'!I45</f>
        <v>0</v>
      </c>
      <c r="E41" s="346">
        <f>'DIRTY P&amp;L'!L45</f>
        <v>0</v>
      </c>
      <c r="F41" s="346">
        <f>'DIRTY P&amp;L'!U45</f>
        <v>0</v>
      </c>
      <c r="G41" s="346">
        <f>'DIRTY P&amp;L'!V45</f>
        <v>0</v>
      </c>
      <c r="H41" s="346"/>
      <c r="I41" s="347"/>
      <c r="K41" s="264" t="s">
        <v>307</v>
      </c>
      <c r="L41" s="265" t="s">
        <v>308</v>
      </c>
      <c r="M41" s="26">
        <f t="shared" si="6"/>
        <v>0</v>
      </c>
      <c r="O41" s="26">
        <f t="shared" si="7"/>
        <v>0</v>
      </c>
      <c r="Q41" s="125">
        <f t="shared" si="8"/>
        <v>0</v>
      </c>
      <c r="T41" s="26"/>
    </row>
    <row r="42" spans="2:23">
      <c r="B42" s="166">
        <f>'DIRTY P&amp;L'!B46</f>
        <v>0</v>
      </c>
      <c r="C42" s="25">
        <f>'DIRTY P&amp;L'!F46</f>
        <v>0</v>
      </c>
      <c r="D42" s="25">
        <f>'DIRTY P&amp;L'!I46</f>
        <v>0</v>
      </c>
      <c r="E42" s="25">
        <f>'DIRTY P&amp;L'!L46</f>
        <v>0</v>
      </c>
      <c r="F42" s="25">
        <f>'DIRTY P&amp;L'!U46</f>
        <v>0</v>
      </c>
      <c r="G42" s="25">
        <f>'DIRTY P&amp;L'!V46</f>
        <v>0</v>
      </c>
      <c r="H42" s="25"/>
      <c r="I42" s="167"/>
      <c r="K42" s="264" t="s">
        <v>53</v>
      </c>
      <c r="L42" s="265" t="s">
        <v>306</v>
      </c>
      <c r="M42" s="26">
        <f t="shared" si="6"/>
        <v>0</v>
      </c>
      <c r="O42" s="26">
        <f t="shared" si="7"/>
        <v>0</v>
      </c>
      <c r="Q42" s="125">
        <f t="shared" si="8"/>
        <v>0</v>
      </c>
      <c r="T42" s="26"/>
    </row>
    <row r="43" spans="2:23">
      <c r="B43" s="345">
        <f>'DIRTY P&amp;L'!B47</f>
        <v>0</v>
      </c>
      <c r="C43" s="346">
        <f>'DIRTY P&amp;L'!F47</f>
        <v>0</v>
      </c>
      <c r="D43" s="346">
        <f>'DIRTY P&amp;L'!I47</f>
        <v>0</v>
      </c>
      <c r="E43" s="346">
        <f>'DIRTY P&amp;L'!L47</f>
        <v>0</v>
      </c>
      <c r="F43" s="346">
        <f>'DIRTY P&amp;L'!U47</f>
        <v>0</v>
      </c>
      <c r="G43" s="346">
        <f>'DIRTY P&amp;L'!V47</f>
        <v>0</v>
      </c>
      <c r="H43" s="346"/>
      <c r="I43" s="347"/>
      <c r="K43" s="174" t="s">
        <v>49</v>
      </c>
      <c r="L43" s="175" t="s">
        <v>50</v>
      </c>
      <c r="M43" s="176">
        <f t="shared" si="6"/>
        <v>0</v>
      </c>
      <c r="N43" s="139"/>
      <c r="O43" s="176">
        <f t="shared" si="7"/>
        <v>0</v>
      </c>
      <c r="P43" s="139"/>
      <c r="Q43" s="127">
        <f t="shared" si="8"/>
        <v>0</v>
      </c>
      <c r="S43" s="26"/>
      <c r="T43" s="26"/>
      <c r="U43" s="26"/>
      <c r="W43" s="26"/>
    </row>
    <row r="44" spans="2:23">
      <c r="B44" s="166">
        <f>'DIRTY P&amp;L'!B48</f>
        <v>0</v>
      </c>
      <c r="C44" s="25">
        <f>'DIRTY P&amp;L'!F48</f>
        <v>0</v>
      </c>
      <c r="D44" s="25">
        <f>'DIRTY P&amp;L'!I48</f>
        <v>0</v>
      </c>
      <c r="E44" s="25">
        <f>'DIRTY P&amp;L'!L48</f>
        <v>0</v>
      </c>
      <c r="F44" s="25">
        <f>'DIRTY P&amp;L'!U48</f>
        <v>0</v>
      </c>
      <c r="G44" s="25">
        <f>'DIRTY P&amp;L'!V48</f>
        <v>0</v>
      </c>
      <c r="H44" s="25"/>
      <c r="I44" s="167"/>
      <c r="K44" s="254" t="s">
        <v>312</v>
      </c>
      <c r="L44" s="255"/>
      <c r="M44" s="176">
        <f>SUM(M6:M26)-SUM(M28:M43)</f>
        <v>0</v>
      </c>
      <c r="N44" s="139"/>
      <c r="O44" s="176">
        <f>SUM(O6:O26)-SUM(O28:O43)</f>
        <v>0</v>
      </c>
      <c r="P44" s="139"/>
      <c r="Q44" s="260">
        <f>SUM(Q6:Q26)-SUM(Q28:Q43)</f>
        <v>0</v>
      </c>
    </row>
    <row r="45" spans="2:23">
      <c r="B45" s="345">
        <f>'DIRTY P&amp;L'!B49</f>
        <v>0</v>
      </c>
      <c r="C45" s="346">
        <f>'DIRTY P&amp;L'!F49</f>
        <v>0</v>
      </c>
      <c r="D45" s="346">
        <f>'DIRTY P&amp;L'!I49</f>
        <v>0</v>
      </c>
      <c r="E45" s="346">
        <f>'DIRTY P&amp;L'!L49</f>
        <v>0</v>
      </c>
      <c r="F45" s="346">
        <f>'DIRTY P&amp;L'!U49</f>
        <v>0</v>
      </c>
      <c r="G45" s="346">
        <f>'DIRTY P&amp;L'!V49</f>
        <v>0</v>
      </c>
      <c r="H45" s="346"/>
      <c r="I45" s="347"/>
      <c r="K45" t="s">
        <v>163</v>
      </c>
      <c r="M45" s="26">
        <f>SUM(M6:M26)*$R$45</f>
        <v>0</v>
      </c>
      <c r="N45" s="26"/>
      <c r="O45" s="26">
        <f t="shared" ref="O45:Q45" si="9">SUM(O6:O26)*$R$45</f>
        <v>0</v>
      </c>
      <c r="P45" s="26"/>
      <c r="Q45" s="26">
        <f t="shared" si="9"/>
        <v>0</v>
      </c>
      <c r="R45" s="436">
        <f>'DIRTY P&amp;L'!W178</f>
        <v>0</v>
      </c>
    </row>
    <row r="46" spans="2:23">
      <c r="B46" s="166">
        <f>'DIRTY P&amp;L'!B50</f>
        <v>0</v>
      </c>
      <c r="C46" s="25">
        <f>'DIRTY P&amp;L'!F50</f>
        <v>0</v>
      </c>
      <c r="D46" s="25">
        <f>'DIRTY P&amp;L'!I50</f>
        <v>0</v>
      </c>
      <c r="E46" s="25">
        <f>'DIRTY P&amp;L'!L50</f>
        <v>0</v>
      </c>
      <c r="F46" s="25">
        <f>'DIRTY P&amp;L'!U50</f>
        <v>0</v>
      </c>
      <c r="G46" s="25">
        <f>'DIRTY P&amp;L'!V50</f>
        <v>0</v>
      </c>
      <c r="H46" s="25"/>
      <c r="I46" s="167"/>
      <c r="K46" t="s">
        <v>311</v>
      </c>
      <c r="M46" s="26">
        <f>SUM(M6:M26)*$R$46</f>
        <v>0</v>
      </c>
      <c r="N46" s="26"/>
      <c r="O46" s="26">
        <f t="shared" ref="O46:Q46" si="10">SUM(O6:O26)*$R$46</f>
        <v>0</v>
      </c>
      <c r="P46" s="26"/>
      <c r="Q46" s="26">
        <f t="shared" si="10"/>
        <v>0</v>
      </c>
      <c r="R46" s="436">
        <f>'DIRTY P&amp;L'!W179</f>
        <v>0</v>
      </c>
    </row>
    <row r="47" spans="2:23">
      <c r="B47" s="345">
        <f>'DIRTY P&amp;L'!B51</f>
        <v>0</v>
      </c>
      <c r="C47" s="346">
        <f>'DIRTY P&amp;L'!F51</f>
        <v>0</v>
      </c>
      <c r="D47" s="346">
        <f>'DIRTY P&amp;L'!I51</f>
        <v>0</v>
      </c>
      <c r="E47" s="346">
        <f>'DIRTY P&amp;L'!L51</f>
        <v>0</v>
      </c>
      <c r="F47" s="346">
        <f>'DIRTY P&amp;L'!U51</f>
        <v>0</v>
      </c>
      <c r="G47" s="346">
        <f>'DIRTY P&amp;L'!V51</f>
        <v>0</v>
      </c>
      <c r="H47" s="346"/>
      <c r="I47" s="347"/>
      <c r="K47" s="245" t="s">
        <v>41</v>
      </c>
      <c r="L47" s="205"/>
      <c r="M47" s="262">
        <f>M44-SUM(M45:M46)</f>
        <v>0</v>
      </c>
      <c r="N47" s="262"/>
      <c r="O47" s="262">
        <f t="shared" ref="O47:Q47" si="11">O44-SUM(O45:O46)</f>
        <v>0</v>
      </c>
      <c r="P47" s="262"/>
      <c r="Q47" s="263">
        <f t="shared" si="11"/>
        <v>0</v>
      </c>
    </row>
    <row r="48" spans="2:23">
      <c r="B48" s="166">
        <f>'DIRTY P&amp;L'!B52</f>
        <v>0</v>
      </c>
      <c r="C48" s="25">
        <f>'DIRTY P&amp;L'!F52</f>
        <v>0</v>
      </c>
      <c r="D48" s="25">
        <f>'DIRTY P&amp;L'!I52</f>
        <v>0</v>
      </c>
      <c r="E48" s="25">
        <f>'DIRTY P&amp;L'!L52</f>
        <v>0</v>
      </c>
      <c r="F48" s="25">
        <f>'DIRTY P&amp;L'!U52</f>
        <v>0</v>
      </c>
      <c r="G48" s="25">
        <f>'DIRTY P&amp;L'!V52</f>
        <v>0</v>
      </c>
      <c r="H48" s="25"/>
      <c r="I48" s="167"/>
    </row>
    <row r="49" spans="2:9">
      <c r="B49" s="345">
        <f>'DIRTY P&amp;L'!B53</f>
        <v>0</v>
      </c>
      <c r="C49" s="346">
        <f>'DIRTY P&amp;L'!F53</f>
        <v>0</v>
      </c>
      <c r="D49" s="346">
        <f>'DIRTY P&amp;L'!I53</f>
        <v>0</v>
      </c>
      <c r="E49" s="346">
        <f>'DIRTY P&amp;L'!L53</f>
        <v>0</v>
      </c>
      <c r="F49" s="346">
        <f>'DIRTY P&amp;L'!U53</f>
        <v>0</v>
      </c>
      <c r="G49" s="346">
        <f>'DIRTY P&amp;L'!V53</f>
        <v>0</v>
      </c>
      <c r="H49" s="346"/>
      <c r="I49" s="347"/>
    </row>
    <row r="50" spans="2:9">
      <c r="B50" s="166">
        <f>'DIRTY P&amp;L'!B54</f>
        <v>0</v>
      </c>
      <c r="C50" s="25">
        <f>'DIRTY P&amp;L'!F54</f>
        <v>0</v>
      </c>
      <c r="D50" s="25">
        <f>'DIRTY P&amp;L'!I54</f>
        <v>0</v>
      </c>
      <c r="E50" s="25">
        <f>'DIRTY P&amp;L'!L54</f>
        <v>0</v>
      </c>
      <c r="F50" s="25">
        <f>'DIRTY P&amp;L'!U54</f>
        <v>0</v>
      </c>
      <c r="G50" s="25">
        <f>'DIRTY P&amp;L'!V54</f>
        <v>0</v>
      </c>
      <c r="H50" s="25"/>
      <c r="I50" s="167"/>
    </row>
    <row r="51" spans="2:9">
      <c r="B51" s="345">
        <f>'DIRTY P&amp;L'!B55</f>
        <v>0</v>
      </c>
      <c r="C51" s="346">
        <f>'DIRTY P&amp;L'!F55</f>
        <v>0</v>
      </c>
      <c r="D51" s="346">
        <f>'DIRTY P&amp;L'!I55</f>
        <v>0</v>
      </c>
      <c r="E51" s="346">
        <f>'DIRTY P&amp;L'!L55</f>
        <v>0</v>
      </c>
      <c r="F51" s="346">
        <f>'DIRTY P&amp;L'!U55</f>
        <v>0</v>
      </c>
      <c r="G51" s="346">
        <f>'DIRTY P&amp;L'!V55</f>
        <v>0</v>
      </c>
      <c r="H51" s="346"/>
      <c r="I51" s="347"/>
    </row>
    <row r="52" spans="2:9">
      <c r="B52" s="166">
        <f>'DIRTY P&amp;L'!B56</f>
        <v>0</v>
      </c>
      <c r="C52" s="25">
        <f>'DIRTY P&amp;L'!F56</f>
        <v>0</v>
      </c>
      <c r="D52" s="25">
        <f>'DIRTY P&amp;L'!I56</f>
        <v>0</v>
      </c>
      <c r="E52" s="25">
        <f>'DIRTY P&amp;L'!L56</f>
        <v>0</v>
      </c>
      <c r="F52" s="25">
        <f>'DIRTY P&amp;L'!U56</f>
        <v>0</v>
      </c>
      <c r="G52" s="25">
        <f>'DIRTY P&amp;L'!V56</f>
        <v>0</v>
      </c>
      <c r="H52" s="25"/>
      <c r="I52" s="167"/>
    </row>
    <row r="53" spans="2:9">
      <c r="B53" s="345">
        <f>'DIRTY P&amp;L'!B57</f>
        <v>0</v>
      </c>
      <c r="C53" s="346">
        <f>'DIRTY P&amp;L'!F57</f>
        <v>0</v>
      </c>
      <c r="D53" s="346">
        <f>'DIRTY P&amp;L'!I57</f>
        <v>0</v>
      </c>
      <c r="E53" s="346">
        <f>'DIRTY P&amp;L'!L57</f>
        <v>0</v>
      </c>
      <c r="F53" s="346">
        <f>'DIRTY P&amp;L'!U57</f>
        <v>0</v>
      </c>
      <c r="G53" s="346">
        <f>'DIRTY P&amp;L'!V57</f>
        <v>0</v>
      </c>
      <c r="H53" s="346"/>
      <c r="I53" s="347"/>
    </row>
    <row r="54" spans="2:9">
      <c r="B54" s="166">
        <f>'DIRTY P&amp;L'!B58</f>
        <v>0</v>
      </c>
      <c r="C54" s="25">
        <f>'DIRTY P&amp;L'!F58</f>
        <v>0</v>
      </c>
      <c r="D54" s="25">
        <f>'DIRTY P&amp;L'!I58</f>
        <v>0</v>
      </c>
      <c r="E54" s="25">
        <f>'DIRTY P&amp;L'!L58</f>
        <v>0</v>
      </c>
      <c r="F54" s="25">
        <f>'DIRTY P&amp;L'!U58</f>
        <v>0</v>
      </c>
      <c r="G54" s="25">
        <f>'DIRTY P&amp;L'!V58</f>
        <v>0</v>
      </c>
      <c r="H54" s="25"/>
      <c r="I54" s="167"/>
    </row>
    <row r="55" spans="2:9">
      <c r="B55" s="345">
        <f>'DIRTY P&amp;L'!B59</f>
        <v>0</v>
      </c>
      <c r="C55" s="346">
        <f>'DIRTY P&amp;L'!F59</f>
        <v>0</v>
      </c>
      <c r="D55" s="346">
        <f>'DIRTY P&amp;L'!I59</f>
        <v>0</v>
      </c>
      <c r="E55" s="346">
        <f>'DIRTY P&amp;L'!L59</f>
        <v>0</v>
      </c>
      <c r="F55" s="346">
        <f>'DIRTY P&amp;L'!U59</f>
        <v>0</v>
      </c>
      <c r="G55" s="346">
        <f>'DIRTY P&amp;L'!V59</f>
        <v>0</v>
      </c>
      <c r="H55" s="346"/>
      <c r="I55" s="347"/>
    </row>
    <row r="56" spans="2:9">
      <c r="B56" s="166">
        <f>'DIRTY P&amp;L'!B60</f>
        <v>0</v>
      </c>
      <c r="C56" s="25">
        <f>'DIRTY P&amp;L'!F60</f>
        <v>0</v>
      </c>
      <c r="D56" s="25">
        <f>'DIRTY P&amp;L'!I60</f>
        <v>0</v>
      </c>
      <c r="E56" s="25">
        <f>'DIRTY P&amp;L'!L60</f>
        <v>0</v>
      </c>
      <c r="F56" s="25">
        <f>'DIRTY P&amp;L'!U60</f>
        <v>0</v>
      </c>
      <c r="G56" s="25">
        <f>'DIRTY P&amp;L'!V60</f>
        <v>0</v>
      </c>
      <c r="H56" s="25"/>
      <c r="I56" s="167"/>
    </row>
    <row r="57" spans="2:9">
      <c r="B57" s="345">
        <f>'DIRTY P&amp;L'!B61</f>
        <v>0</v>
      </c>
      <c r="C57" s="346">
        <f>'DIRTY P&amp;L'!F61</f>
        <v>0</v>
      </c>
      <c r="D57" s="346">
        <f>'DIRTY P&amp;L'!I61</f>
        <v>0</v>
      </c>
      <c r="E57" s="346">
        <f>'DIRTY P&amp;L'!L61</f>
        <v>0</v>
      </c>
      <c r="F57" s="346">
        <f>'DIRTY P&amp;L'!U61</f>
        <v>0</v>
      </c>
      <c r="G57" s="346">
        <f>'DIRTY P&amp;L'!V61</f>
        <v>0</v>
      </c>
      <c r="H57" s="346"/>
      <c r="I57" s="347"/>
    </row>
    <row r="58" spans="2:9">
      <c r="B58" s="166">
        <f>'DIRTY P&amp;L'!B62</f>
        <v>0</v>
      </c>
      <c r="C58" s="25">
        <f>'DIRTY P&amp;L'!F62</f>
        <v>0</v>
      </c>
      <c r="D58" s="25">
        <f>'DIRTY P&amp;L'!I62</f>
        <v>0</v>
      </c>
      <c r="E58" s="25">
        <f>'DIRTY P&amp;L'!L62</f>
        <v>0</v>
      </c>
      <c r="F58" s="25">
        <f>'DIRTY P&amp;L'!U62</f>
        <v>0</v>
      </c>
      <c r="G58" s="25">
        <f>'DIRTY P&amp;L'!V62</f>
        <v>0</v>
      </c>
      <c r="H58" s="25"/>
      <c r="I58" s="167"/>
    </row>
    <row r="59" spans="2:9">
      <c r="B59" s="345">
        <f>'DIRTY P&amp;L'!B63</f>
        <v>0</v>
      </c>
      <c r="C59" s="346">
        <f>'DIRTY P&amp;L'!F63</f>
        <v>0</v>
      </c>
      <c r="D59" s="346">
        <f>'DIRTY P&amp;L'!I63</f>
        <v>0</v>
      </c>
      <c r="E59" s="346">
        <f>'DIRTY P&amp;L'!L63</f>
        <v>0</v>
      </c>
      <c r="F59" s="346">
        <f>'DIRTY P&amp;L'!U63</f>
        <v>0</v>
      </c>
      <c r="G59" s="346">
        <f>'DIRTY P&amp;L'!V63</f>
        <v>0</v>
      </c>
      <c r="H59" s="346"/>
      <c r="I59" s="347"/>
    </row>
    <row r="60" spans="2:9">
      <c r="B60" s="166">
        <f>'DIRTY P&amp;L'!B64</f>
        <v>0</v>
      </c>
      <c r="C60" s="25">
        <f>'DIRTY P&amp;L'!F64</f>
        <v>0</v>
      </c>
      <c r="D60" s="25">
        <f>'DIRTY P&amp;L'!I64</f>
        <v>0</v>
      </c>
      <c r="E60" s="25">
        <f>'DIRTY P&amp;L'!L64</f>
        <v>0</v>
      </c>
      <c r="F60" s="25">
        <f>'DIRTY P&amp;L'!U64</f>
        <v>0</v>
      </c>
      <c r="G60" s="25">
        <f>'DIRTY P&amp;L'!V64</f>
        <v>0</v>
      </c>
      <c r="H60" s="25"/>
      <c r="I60" s="167"/>
    </row>
    <row r="61" spans="2:9">
      <c r="B61" s="345">
        <f>'DIRTY P&amp;L'!B65</f>
        <v>0</v>
      </c>
      <c r="C61" s="346">
        <f>'DIRTY P&amp;L'!F65</f>
        <v>0</v>
      </c>
      <c r="D61" s="346">
        <f>'DIRTY P&amp;L'!I65</f>
        <v>0</v>
      </c>
      <c r="E61" s="346">
        <f>'DIRTY P&amp;L'!L65</f>
        <v>0</v>
      </c>
      <c r="F61" s="346">
        <f>'DIRTY P&amp;L'!U65</f>
        <v>0</v>
      </c>
      <c r="G61" s="346">
        <f>'DIRTY P&amp;L'!V65</f>
        <v>0</v>
      </c>
      <c r="H61" s="346"/>
      <c r="I61" s="347"/>
    </row>
    <row r="62" spans="2:9">
      <c r="B62" s="166">
        <f>'DIRTY P&amp;L'!B66</f>
        <v>0</v>
      </c>
      <c r="C62" s="25">
        <f>'DIRTY P&amp;L'!F66</f>
        <v>0</v>
      </c>
      <c r="D62" s="25">
        <f>'DIRTY P&amp;L'!I66</f>
        <v>0</v>
      </c>
      <c r="E62" s="25">
        <f>'DIRTY P&amp;L'!L66</f>
        <v>0</v>
      </c>
      <c r="F62" s="25">
        <f>'DIRTY P&amp;L'!U66</f>
        <v>0</v>
      </c>
      <c r="G62" s="25">
        <f>'DIRTY P&amp;L'!V66</f>
        <v>0</v>
      </c>
      <c r="H62" s="25"/>
      <c r="I62" s="167"/>
    </row>
    <row r="63" spans="2:9">
      <c r="B63" s="345">
        <f>'DIRTY P&amp;L'!B67</f>
        <v>0</v>
      </c>
      <c r="C63" s="346">
        <f>'DIRTY P&amp;L'!F67</f>
        <v>0</v>
      </c>
      <c r="D63" s="346">
        <f>'DIRTY P&amp;L'!I67</f>
        <v>0</v>
      </c>
      <c r="E63" s="346">
        <f>'DIRTY P&amp;L'!L67</f>
        <v>0</v>
      </c>
      <c r="F63" s="346">
        <f>'DIRTY P&amp;L'!U67</f>
        <v>0</v>
      </c>
      <c r="G63" s="346">
        <f>'DIRTY P&amp;L'!V67</f>
        <v>0</v>
      </c>
      <c r="H63" s="346"/>
      <c r="I63" s="347"/>
    </row>
    <row r="64" spans="2:9">
      <c r="B64" s="166">
        <f>'DIRTY P&amp;L'!B68</f>
        <v>0</v>
      </c>
      <c r="C64" s="25">
        <f>'DIRTY P&amp;L'!F68</f>
        <v>0</v>
      </c>
      <c r="D64" s="25">
        <f>'DIRTY P&amp;L'!I68</f>
        <v>0</v>
      </c>
      <c r="E64" s="25">
        <f>'DIRTY P&amp;L'!L68</f>
        <v>0</v>
      </c>
      <c r="F64" s="25">
        <f>'DIRTY P&amp;L'!U68</f>
        <v>0</v>
      </c>
      <c r="G64" s="25">
        <f>'DIRTY P&amp;L'!V68</f>
        <v>0</v>
      </c>
      <c r="H64" s="25"/>
      <c r="I64" s="167"/>
    </row>
    <row r="65" spans="2:9">
      <c r="B65" s="345">
        <f>'DIRTY P&amp;L'!B69</f>
        <v>0</v>
      </c>
      <c r="C65" s="346">
        <f>'DIRTY P&amp;L'!F69</f>
        <v>0</v>
      </c>
      <c r="D65" s="346">
        <f>'DIRTY P&amp;L'!I69</f>
        <v>0</v>
      </c>
      <c r="E65" s="346">
        <f>'DIRTY P&amp;L'!L69</f>
        <v>0</v>
      </c>
      <c r="F65" s="346">
        <f>'DIRTY P&amp;L'!U69</f>
        <v>0</v>
      </c>
      <c r="G65" s="346">
        <f>'DIRTY P&amp;L'!V69</f>
        <v>0</v>
      </c>
      <c r="H65" s="346"/>
      <c r="I65" s="347"/>
    </row>
    <row r="66" spans="2:9">
      <c r="B66" s="166">
        <f>'DIRTY P&amp;L'!B70</f>
        <v>0</v>
      </c>
      <c r="C66" s="25">
        <f>'DIRTY P&amp;L'!F70</f>
        <v>0</v>
      </c>
      <c r="D66" s="25">
        <f>'DIRTY P&amp;L'!I70</f>
        <v>0</v>
      </c>
      <c r="E66" s="25">
        <f>'DIRTY P&amp;L'!L70</f>
        <v>0</v>
      </c>
      <c r="F66" s="25">
        <f>'DIRTY P&amp;L'!U70</f>
        <v>0</v>
      </c>
      <c r="G66" s="25">
        <f>'DIRTY P&amp;L'!V70</f>
        <v>0</v>
      </c>
      <c r="H66" s="25"/>
      <c r="I66" s="167"/>
    </row>
    <row r="67" spans="2:9">
      <c r="B67" s="345">
        <f>'DIRTY P&amp;L'!B71</f>
        <v>0</v>
      </c>
      <c r="C67" s="346">
        <f>'DIRTY P&amp;L'!F71</f>
        <v>0</v>
      </c>
      <c r="D67" s="346">
        <f>'DIRTY P&amp;L'!I71</f>
        <v>0</v>
      </c>
      <c r="E67" s="346">
        <f>'DIRTY P&amp;L'!L71</f>
        <v>0</v>
      </c>
      <c r="F67" s="346">
        <f>'DIRTY P&amp;L'!U71</f>
        <v>0</v>
      </c>
      <c r="G67" s="346">
        <f>'DIRTY P&amp;L'!V71</f>
        <v>0</v>
      </c>
      <c r="H67" s="346"/>
      <c r="I67" s="347"/>
    </row>
    <row r="68" spans="2:9">
      <c r="B68" s="166"/>
      <c r="C68" s="25"/>
      <c r="D68" s="25"/>
      <c r="E68" s="25"/>
      <c r="F68" s="25"/>
      <c r="G68" s="25"/>
      <c r="H68" s="25"/>
      <c r="I68" s="167"/>
    </row>
    <row r="69" spans="2:9">
      <c r="B69" s="345"/>
      <c r="C69" s="346"/>
      <c r="D69" s="346"/>
      <c r="E69" s="346"/>
      <c r="F69" s="346"/>
      <c r="G69" s="346"/>
      <c r="H69" s="346"/>
      <c r="I69" s="347"/>
    </row>
    <row r="70" spans="2:9">
      <c r="B70" s="166"/>
      <c r="C70" s="25"/>
      <c r="D70" s="25"/>
      <c r="E70" s="25"/>
      <c r="F70" s="25"/>
      <c r="G70" s="25"/>
      <c r="H70" s="25"/>
      <c r="I70" s="167"/>
    </row>
    <row r="71" spans="2:9">
      <c r="B71" s="345"/>
      <c r="C71" s="346"/>
      <c r="D71" s="346"/>
      <c r="E71" s="346"/>
      <c r="F71" s="346"/>
      <c r="G71" s="346"/>
      <c r="H71" s="346"/>
      <c r="I71" s="347"/>
    </row>
    <row r="72" spans="2:9">
      <c r="B72" s="166"/>
      <c r="C72" s="25"/>
      <c r="D72" s="25"/>
      <c r="E72" s="25"/>
      <c r="F72" s="25"/>
      <c r="G72" s="25"/>
      <c r="H72" s="25"/>
      <c r="I72" s="167"/>
    </row>
    <row r="73" spans="2:9">
      <c r="B73" s="345"/>
      <c r="C73" s="346"/>
      <c r="D73" s="346"/>
      <c r="E73" s="346"/>
      <c r="F73" s="346"/>
      <c r="G73" s="346"/>
      <c r="H73" s="346"/>
      <c r="I73" s="347"/>
    </row>
    <row r="74" spans="2:9">
      <c r="B74" s="166"/>
      <c r="C74" s="25"/>
      <c r="D74" s="25"/>
      <c r="E74" s="25"/>
      <c r="F74" s="25"/>
      <c r="G74" s="25"/>
      <c r="H74" s="25"/>
      <c r="I74" s="167"/>
    </row>
    <row r="75" spans="2:9">
      <c r="B75" s="345"/>
      <c r="C75" s="346"/>
      <c r="D75" s="346"/>
      <c r="E75" s="346"/>
      <c r="F75" s="346"/>
      <c r="G75" s="346"/>
      <c r="H75" s="346"/>
      <c r="I75" s="347"/>
    </row>
    <row r="76" spans="2:9">
      <c r="B76" s="166"/>
      <c r="C76" s="25"/>
      <c r="D76" s="25"/>
      <c r="E76" s="25"/>
      <c r="F76" s="25"/>
      <c r="G76" s="25"/>
      <c r="H76" s="25"/>
      <c r="I76" s="167"/>
    </row>
    <row r="77" spans="2:9">
      <c r="B77" s="345"/>
      <c r="C77" s="346"/>
      <c r="D77" s="346"/>
      <c r="E77" s="346"/>
      <c r="F77" s="346"/>
      <c r="G77" s="346"/>
      <c r="H77" s="346"/>
      <c r="I77" s="347"/>
    </row>
    <row r="78" spans="2:9">
      <c r="B78" s="166"/>
      <c r="C78" s="25"/>
      <c r="D78" s="25"/>
      <c r="E78" s="25"/>
      <c r="F78" s="25"/>
      <c r="G78" s="25"/>
      <c r="H78" s="25"/>
      <c r="I78" s="167"/>
    </row>
    <row r="79" spans="2:9">
      <c r="B79" s="345"/>
      <c r="C79" s="346"/>
      <c r="D79" s="346"/>
      <c r="E79" s="346"/>
      <c r="F79" s="346"/>
      <c r="G79" s="346"/>
      <c r="H79" s="346"/>
      <c r="I79" s="347"/>
    </row>
    <row r="80" spans="2:9">
      <c r="B80" s="166"/>
      <c r="C80" s="25"/>
      <c r="D80" s="25"/>
      <c r="E80" s="25"/>
      <c r="F80" s="25"/>
      <c r="G80" s="25"/>
      <c r="H80" s="25"/>
      <c r="I80" s="167"/>
    </row>
    <row r="81" spans="2:9">
      <c r="B81" s="345"/>
      <c r="C81" s="346"/>
      <c r="D81" s="346"/>
      <c r="E81" s="346"/>
      <c r="F81" s="346"/>
      <c r="G81" s="346"/>
      <c r="H81" s="346"/>
      <c r="I81" s="347"/>
    </row>
    <row r="82" spans="2:9">
      <c r="B82" s="166"/>
      <c r="C82" s="25"/>
      <c r="D82" s="25"/>
      <c r="E82" s="25"/>
      <c r="F82" s="25"/>
      <c r="G82" s="25"/>
      <c r="H82" s="25"/>
      <c r="I82" s="167"/>
    </row>
    <row r="83" spans="2:9">
      <c r="B83" s="345"/>
      <c r="C83" s="346"/>
      <c r="D83" s="346"/>
      <c r="E83" s="346"/>
      <c r="F83" s="346"/>
      <c r="G83" s="346"/>
      <c r="H83" s="346"/>
      <c r="I83" s="347"/>
    </row>
    <row r="84" spans="2:9">
      <c r="B84" s="166"/>
      <c r="C84" s="25"/>
      <c r="D84" s="25"/>
      <c r="E84" s="25"/>
      <c r="F84" s="25"/>
      <c r="G84" s="25"/>
      <c r="H84" s="25"/>
      <c r="I84" s="167"/>
    </row>
    <row r="85" spans="2:9">
      <c r="B85" s="345"/>
      <c r="C85" s="346"/>
      <c r="D85" s="346"/>
      <c r="E85" s="346"/>
      <c r="F85" s="346"/>
      <c r="G85" s="346"/>
      <c r="H85" s="346"/>
      <c r="I85" s="347"/>
    </row>
    <row r="86" spans="2:9">
      <c r="B86" s="166"/>
      <c r="C86" s="25"/>
      <c r="D86" s="25"/>
      <c r="E86" s="25"/>
      <c r="F86" s="25"/>
      <c r="G86" s="25"/>
      <c r="H86" s="25"/>
      <c r="I86" s="167"/>
    </row>
    <row r="87" spans="2:9">
      <c r="B87" s="345"/>
      <c r="C87" s="346"/>
      <c r="D87" s="346"/>
      <c r="E87" s="346"/>
      <c r="F87" s="346"/>
      <c r="G87" s="346"/>
      <c r="H87" s="346"/>
      <c r="I87" s="347"/>
    </row>
    <row r="88" spans="2:9">
      <c r="B88" s="166"/>
      <c r="C88" s="25"/>
      <c r="D88" s="25"/>
      <c r="E88" s="25"/>
      <c r="F88" s="25"/>
      <c r="G88" s="25"/>
      <c r="H88" s="25"/>
      <c r="I88" s="167"/>
    </row>
    <row r="89" spans="2:9">
      <c r="B89" s="345"/>
      <c r="C89" s="346"/>
      <c r="D89" s="346"/>
      <c r="E89" s="346"/>
      <c r="F89" s="346"/>
      <c r="G89" s="346"/>
      <c r="H89" s="346"/>
      <c r="I89" s="347"/>
    </row>
    <row r="90" spans="2:9">
      <c r="B90" s="166"/>
      <c r="C90" s="25"/>
      <c r="D90" s="25"/>
      <c r="E90" s="25"/>
      <c r="F90" s="25"/>
      <c r="G90" s="25"/>
      <c r="H90" s="25"/>
      <c r="I90" s="167"/>
    </row>
    <row r="91" spans="2:9">
      <c r="B91" s="345"/>
      <c r="C91" s="346"/>
      <c r="D91" s="346"/>
      <c r="E91" s="346"/>
      <c r="F91" s="346"/>
      <c r="G91" s="346"/>
      <c r="H91" s="346"/>
      <c r="I91" s="347"/>
    </row>
    <row r="92" spans="2:9">
      <c r="B92" s="166"/>
      <c r="C92" s="25"/>
      <c r="D92" s="25"/>
      <c r="E92" s="25"/>
      <c r="F92" s="25"/>
      <c r="G92" s="25"/>
      <c r="H92" s="25"/>
      <c r="I92" s="167"/>
    </row>
    <row r="93" spans="2:9">
      <c r="B93" s="345"/>
      <c r="C93" s="346"/>
      <c r="D93" s="346"/>
      <c r="E93" s="346"/>
      <c r="F93" s="346"/>
      <c r="G93" s="346"/>
      <c r="H93" s="346"/>
      <c r="I93" s="347"/>
    </row>
    <row r="94" spans="2:9">
      <c r="B94" s="166"/>
      <c r="C94" s="25"/>
      <c r="D94" s="25"/>
      <c r="E94" s="25"/>
      <c r="F94" s="25"/>
      <c r="G94" s="25"/>
      <c r="H94" s="25"/>
      <c r="I94" s="167"/>
    </row>
    <row r="95" spans="2:9">
      <c r="B95" s="345"/>
      <c r="C95" s="346"/>
      <c r="D95" s="346"/>
      <c r="E95" s="346"/>
      <c r="F95" s="346"/>
      <c r="G95" s="346"/>
      <c r="H95" s="346"/>
      <c r="I95" s="347"/>
    </row>
    <row r="96" spans="2:9">
      <c r="B96" s="166"/>
      <c r="C96" s="25"/>
      <c r="D96" s="25"/>
      <c r="E96" s="25"/>
      <c r="F96" s="25"/>
      <c r="G96" s="25"/>
      <c r="H96" s="25"/>
      <c r="I96" s="167"/>
    </row>
    <row r="97" spans="2:9">
      <c r="B97" s="345"/>
      <c r="C97" s="346"/>
      <c r="D97" s="346"/>
      <c r="E97" s="346"/>
      <c r="F97" s="346"/>
      <c r="G97" s="346"/>
      <c r="H97" s="346"/>
      <c r="I97" s="347"/>
    </row>
    <row r="98" spans="2:9">
      <c r="B98" s="166"/>
      <c r="C98" s="25"/>
      <c r="D98" s="25"/>
      <c r="E98" s="25"/>
      <c r="F98" s="25"/>
      <c r="G98" s="25"/>
      <c r="H98" s="25"/>
      <c r="I98" s="167"/>
    </row>
    <row r="99" spans="2:9">
      <c r="B99" s="345"/>
      <c r="C99" s="346"/>
      <c r="D99" s="346"/>
      <c r="E99" s="346"/>
      <c r="F99" s="346"/>
      <c r="G99" s="346"/>
      <c r="H99" s="346"/>
      <c r="I99" s="347"/>
    </row>
    <row r="100" spans="2:9">
      <c r="B100" s="166"/>
      <c r="C100" s="25"/>
      <c r="D100" s="25"/>
      <c r="E100" s="25"/>
      <c r="F100" s="25"/>
      <c r="G100" s="25"/>
      <c r="H100" s="25"/>
      <c r="I100" s="167"/>
    </row>
    <row r="101" spans="2:9">
      <c r="B101" s="345"/>
      <c r="C101" s="346"/>
      <c r="D101" s="346"/>
      <c r="E101" s="346"/>
      <c r="F101" s="346"/>
      <c r="G101" s="346"/>
      <c r="H101" s="346"/>
      <c r="I101" s="347"/>
    </row>
    <row r="102" spans="2:9">
      <c r="B102" s="166"/>
      <c r="C102" s="25"/>
      <c r="D102" s="25"/>
      <c r="E102" s="25"/>
      <c r="F102" s="25"/>
      <c r="G102" s="25"/>
      <c r="H102" s="25"/>
      <c r="I102" s="167"/>
    </row>
    <row r="103" spans="2:9">
      <c r="B103" s="345"/>
      <c r="C103" s="346"/>
      <c r="D103" s="346"/>
      <c r="E103" s="346"/>
      <c r="F103" s="346"/>
      <c r="G103" s="346"/>
      <c r="H103" s="346"/>
      <c r="I103" s="347"/>
    </row>
    <row r="104" spans="2:9">
      <c r="B104" s="166"/>
      <c r="C104" s="25"/>
      <c r="D104" s="25"/>
      <c r="E104" s="25"/>
      <c r="F104" s="25"/>
      <c r="G104" s="25"/>
      <c r="H104" s="25"/>
      <c r="I104" s="167"/>
    </row>
    <row r="105" spans="2:9">
      <c r="B105" s="345"/>
      <c r="C105" s="346"/>
      <c r="D105" s="346"/>
      <c r="E105" s="346"/>
      <c r="F105" s="346"/>
      <c r="G105" s="346"/>
      <c r="H105" s="346"/>
      <c r="I105" s="347"/>
    </row>
    <row r="106" spans="2:9">
      <c r="B106" s="166"/>
      <c r="C106" s="25"/>
      <c r="D106" s="25"/>
      <c r="E106" s="25"/>
      <c r="F106" s="25"/>
      <c r="G106" s="25"/>
      <c r="H106" s="25"/>
      <c r="I106" s="167"/>
    </row>
    <row r="107" spans="2:9">
      <c r="B107" s="345"/>
      <c r="C107" s="346"/>
      <c r="D107" s="346"/>
      <c r="E107" s="346"/>
      <c r="F107" s="346"/>
      <c r="G107" s="346"/>
      <c r="H107" s="346"/>
      <c r="I107" s="347"/>
    </row>
    <row r="108" spans="2:9">
      <c r="B108" s="166"/>
      <c r="C108" s="25"/>
      <c r="D108" s="25"/>
      <c r="E108" s="25"/>
      <c r="F108" s="25"/>
      <c r="G108" s="25"/>
      <c r="H108" s="25"/>
      <c r="I108" s="167"/>
    </row>
    <row r="109" spans="2:9">
      <c r="B109" s="345"/>
      <c r="C109" s="346"/>
      <c r="D109" s="346"/>
      <c r="E109" s="346"/>
      <c r="F109" s="346"/>
      <c r="G109" s="346"/>
      <c r="H109" s="346"/>
      <c r="I109" s="347"/>
    </row>
    <row r="110" spans="2:9">
      <c r="B110" s="166"/>
      <c r="C110" s="25"/>
      <c r="D110" s="25"/>
      <c r="E110" s="25"/>
      <c r="F110" s="25"/>
      <c r="G110" s="25"/>
      <c r="H110" s="25"/>
      <c r="I110" s="167"/>
    </row>
    <row r="111" spans="2:9">
      <c r="B111" s="345"/>
      <c r="C111" s="346"/>
      <c r="D111" s="346"/>
      <c r="E111" s="346"/>
      <c r="F111" s="346"/>
      <c r="G111" s="346"/>
      <c r="H111" s="346"/>
      <c r="I111" s="347"/>
    </row>
    <row r="112" spans="2:9">
      <c r="B112" s="166"/>
      <c r="C112" s="25"/>
      <c r="D112" s="25"/>
      <c r="E112" s="25"/>
      <c r="F112" s="25"/>
      <c r="G112" s="25"/>
      <c r="H112" s="25"/>
      <c r="I112" s="167"/>
    </row>
    <row r="113" spans="2:9">
      <c r="B113" s="345"/>
      <c r="C113" s="346"/>
      <c r="D113" s="346"/>
      <c r="E113" s="346"/>
      <c r="F113" s="346"/>
      <c r="G113" s="346"/>
      <c r="H113" s="346"/>
      <c r="I113" s="347"/>
    </row>
    <row r="114" spans="2:9">
      <c r="B114" s="166"/>
      <c r="C114" s="25"/>
      <c r="D114" s="25"/>
      <c r="E114" s="25"/>
      <c r="F114" s="25"/>
      <c r="G114" s="25"/>
      <c r="H114" s="25"/>
      <c r="I114" s="167"/>
    </row>
    <row r="115" spans="2:9">
      <c r="B115" s="345"/>
      <c r="C115" s="346"/>
      <c r="D115" s="346"/>
      <c r="E115" s="346"/>
      <c r="F115" s="346"/>
      <c r="G115" s="346"/>
      <c r="H115" s="346"/>
      <c r="I115" s="347"/>
    </row>
    <row r="116" spans="2:9">
      <c r="B116" s="166"/>
      <c r="C116" s="25"/>
      <c r="D116" s="25"/>
      <c r="E116" s="25"/>
      <c r="F116" s="25"/>
      <c r="G116" s="25"/>
      <c r="H116" s="25"/>
      <c r="I116" s="167"/>
    </row>
    <row r="117" spans="2:9">
      <c r="B117" s="345"/>
      <c r="C117" s="346"/>
      <c r="D117" s="346"/>
      <c r="E117" s="346"/>
      <c r="F117" s="346"/>
      <c r="G117" s="346"/>
      <c r="H117" s="346"/>
      <c r="I117" s="347"/>
    </row>
    <row r="118" spans="2:9">
      <c r="B118" s="166"/>
      <c r="C118" s="25"/>
      <c r="D118" s="25"/>
      <c r="E118" s="25"/>
      <c r="F118" s="25"/>
      <c r="G118" s="25"/>
      <c r="H118" s="25"/>
      <c r="I118" s="167"/>
    </row>
    <row r="119" spans="2:9">
      <c r="B119" s="345"/>
      <c r="C119" s="346"/>
      <c r="D119" s="346"/>
      <c r="E119" s="346"/>
      <c r="F119" s="346"/>
      <c r="G119" s="346"/>
      <c r="H119" s="346"/>
      <c r="I119" s="347"/>
    </row>
    <row r="120" spans="2:9">
      <c r="B120" s="166"/>
      <c r="C120" s="25"/>
      <c r="D120" s="25"/>
      <c r="E120" s="25"/>
      <c r="F120" s="25"/>
      <c r="G120" s="25"/>
      <c r="H120" s="25"/>
      <c r="I120" s="167"/>
    </row>
    <row r="121" spans="2:9">
      <c r="B121" s="345"/>
      <c r="C121" s="346"/>
      <c r="D121" s="346"/>
      <c r="E121" s="346"/>
      <c r="F121" s="346"/>
      <c r="G121" s="346"/>
      <c r="H121" s="346"/>
      <c r="I121" s="347"/>
    </row>
    <row r="122" spans="2:9">
      <c r="B122" s="166"/>
      <c r="C122" s="25"/>
      <c r="D122" s="25"/>
      <c r="E122" s="25"/>
      <c r="F122" s="25"/>
      <c r="G122" s="25"/>
      <c r="H122" s="25"/>
      <c r="I122" s="167"/>
    </row>
    <row r="123" spans="2:9">
      <c r="B123" s="345"/>
      <c r="C123" s="346"/>
      <c r="D123" s="346"/>
      <c r="E123" s="346"/>
      <c r="F123" s="346"/>
      <c r="G123" s="346"/>
      <c r="H123" s="346"/>
      <c r="I123" s="347"/>
    </row>
    <row r="124" spans="2:9">
      <c r="B124" s="166"/>
      <c r="C124" s="25"/>
      <c r="D124" s="25"/>
      <c r="E124" s="25"/>
      <c r="F124" s="25"/>
      <c r="G124" s="25"/>
      <c r="H124" s="25"/>
      <c r="I124" s="167"/>
    </row>
    <row r="125" spans="2:9">
      <c r="B125" s="345"/>
      <c r="C125" s="346"/>
      <c r="D125" s="346"/>
      <c r="E125" s="346"/>
      <c r="F125" s="346"/>
      <c r="G125" s="346"/>
      <c r="H125" s="346"/>
      <c r="I125" s="347"/>
    </row>
    <row r="126" spans="2:9">
      <c r="B126" s="166"/>
      <c r="C126" s="25"/>
      <c r="D126" s="25"/>
      <c r="E126" s="25"/>
      <c r="F126" s="25"/>
      <c r="G126" s="25"/>
      <c r="H126" s="25"/>
      <c r="I126" s="167"/>
    </row>
    <row r="127" spans="2:9">
      <c r="B127" s="345"/>
      <c r="C127" s="346"/>
      <c r="D127" s="346"/>
      <c r="E127" s="346"/>
      <c r="F127" s="346"/>
      <c r="G127" s="346"/>
      <c r="H127" s="346"/>
      <c r="I127" s="347"/>
    </row>
    <row r="128" spans="2:9">
      <c r="B128" s="166"/>
      <c r="C128" s="25"/>
      <c r="D128" s="25"/>
      <c r="E128" s="25"/>
      <c r="F128" s="25"/>
      <c r="G128" s="25"/>
      <c r="H128" s="25"/>
      <c r="I128" s="167"/>
    </row>
    <row r="129" spans="2:9">
      <c r="B129" s="345"/>
      <c r="C129" s="346"/>
      <c r="D129" s="346"/>
      <c r="E129" s="346"/>
      <c r="F129" s="346"/>
      <c r="G129" s="346"/>
      <c r="H129" s="346"/>
      <c r="I129" s="347"/>
    </row>
    <row r="130" spans="2:9">
      <c r="B130" s="166"/>
      <c r="C130" s="25"/>
      <c r="D130" s="25"/>
      <c r="E130" s="25"/>
      <c r="F130" s="25"/>
      <c r="G130" s="25"/>
      <c r="H130" s="25"/>
      <c r="I130" s="167"/>
    </row>
    <row r="131" spans="2:9">
      <c r="B131" s="345"/>
      <c r="C131" s="346"/>
      <c r="D131" s="346"/>
      <c r="E131" s="346"/>
      <c r="F131" s="346"/>
      <c r="G131" s="346"/>
      <c r="H131" s="346"/>
      <c r="I131" s="347"/>
    </row>
    <row r="132" spans="2:9">
      <c r="B132" s="166"/>
      <c r="C132" s="25"/>
      <c r="D132" s="25"/>
      <c r="E132" s="25"/>
      <c r="F132" s="25"/>
      <c r="G132" s="25"/>
      <c r="H132" s="25"/>
      <c r="I132" s="167"/>
    </row>
    <row r="133" spans="2:9">
      <c r="B133" s="345"/>
      <c r="C133" s="346"/>
      <c r="D133" s="346"/>
      <c r="E133" s="346"/>
      <c r="F133" s="346"/>
      <c r="G133" s="346"/>
      <c r="H133" s="346"/>
      <c r="I133" s="347"/>
    </row>
    <row r="134" spans="2:9">
      <c r="B134" s="166"/>
      <c r="C134" s="25"/>
      <c r="D134" s="25"/>
      <c r="E134" s="25"/>
      <c r="F134" s="25"/>
      <c r="G134" s="25"/>
      <c r="H134" s="25"/>
      <c r="I134" s="167"/>
    </row>
    <row r="135" spans="2:9">
      <c r="B135" s="345"/>
      <c r="C135" s="346"/>
      <c r="D135" s="346"/>
      <c r="E135" s="346"/>
      <c r="F135" s="346"/>
      <c r="G135" s="346"/>
      <c r="H135" s="346"/>
      <c r="I135" s="347"/>
    </row>
    <row r="136" spans="2:9">
      <c r="B136" s="166"/>
      <c r="C136" s="25"/>
      <c r="D136" s="25"/>
      <c r="E136" s="25"/>
      <c r="F136" s="25"/>
      <c r="G136" s="25"/>
      <c r="H136" s="25"/>
      <c r="I136" s="167"/>
    </row>
    <row r="137" spans="2:9">
      <c r="B137" s="345"/>
      <c r="C137" s="346"/>
      <c r="D137" s="346"/>
      <c r="E137" s="346"/>
      <c r="F137" s="346"/>
      <c r="G137" s="346"/>
      <c r="H137" s="346"/>
      <c r="I137" s="347"/>
    </row>
    <row r="138" spans="2:9">
      <c r="B138" s="166"/>
      <c r="C138" s="25"/>
      <c r="D138" s="25"/>
      <c r="E138" s="25"/>
      <c r="F138" s="25"/>
      <c r="G138" s="25"/>
      <c r="H138" s="25"/>
      <c r="I138" s="167"/>
    </row>
    <row r="139" spans="2:9">
      <c r="B139" s="345"/>
      <c r="C139" s="346"/>
      <c r="D139" s="346"/>
      <c r="E139" s="346"/>
      <c r="F139" s="346"/>
      <c r="G139" s="346"/>
      <c r="H139" s="346"/>
      <c r="I139" s="347"/>
    </row>
    <row r="140" spans="2:9">
      <c r="B140" s="166"/>
      <c r="C140" s="25"/>
      <c r="D140" s="25"/>
      <c r="E140" s="25"/>
      <c r="F140" s="25"/>
      <c r="G140" s="25"/>
      <c r="H140" s="25"/>
      <c r="I140" s="167"/>
    </row>
    <row r="141" spans="2:9">
      <c r="B141" s="345"/>
      <c r="C141" s="346"/>
      <c r="D141" s="346"/>
      <c r="E141" s="346"/>
      <c r="F141" s="346"/>
      <c r="G141" s="346"/>
      <c r="H141" s="346"/>
      <c r="I141" s="347"/>
    </row>
    <row r="142" spans="2:9">
      <c r="B142" s="166"/>
      <c r="C142" s="25"/>
      <c r="D142" s="25"/>
      <c r="E142" s="25"/>
      <c r="F142" s="25"/>
      <c r="G142" s="25"/>
      <c r="H142" s="25"/>
      <c r="I142" s="167"/>
    </row>
    <row r="143" spans="2:9">
      <c r="B143" s="345"/>
      <c r="C143" s="346"/>
      <c r="D143" s="346"/>
      <c r="E143" s="346"/>
      <c r="F143" s="346"/>
      <c r="G143" s="346"/>
      <c r="H143" s="346"/>
      <c r="I143" s="347"/>
    </row>
    <row r="144" spans="2:9">
      <c r="B144" s="166"/>
      <c r="C144" s="25"/>
      <c r="D144" s="25"/>
      <c r="E144" s="25"/>
      <c r="F144" s="25"/>
      <c r="G144" s="25"/>
      <c r="H144" s="25"/>
      <c r="I144" s="167"/>
    </row>
    <row r="145" spans="2:9">
      <c r="B145" s="345"/>
      <c r="C145" s="346"/>
      <c r="D145" s="346"/>
      <c r="E145" s="346"/>
      <c r="F145" s="346"/>
      <c r="G145" s="346"/>
      <c r="H145" s="346"/>
      <c r="I145" s="347"/>
    </row>
    <row r="146" spans="2:9">
      <c r="B146" s="166"/>
      <c r="C146" s="25"/>
      <c r="D146" s="25"/>
      <c r="E146" s="25"/>
      <c r="F146" s="25"/>
      <c r="G146" s="25"/>
      <c r="H146" s="25"/>
      <c r="I146" s="167"/>
    </row>
    <row r="147" spans="2:9">
      <c r="B147" s="345"/>
      <c r="C147" s="346"/>
      <c r="D147" s="346"/>
      <c r="E147" s="346"/>
      <c r="F147" s="346"/>
      <c r="G147" s="346"/>
      <c r="H147" s="346"/>
      <c r="I147" s="347"/>
    </row>
    <row r="148" spans="2:9">
      <c r="B148" s="166"/>
      <c r="C148" s="25"/>
      <c r="D148" s="25"/>
      <c r="E148" s="25"/>
      <c r="F148" s="25"/>
      <c r="G148" s="25"/>
      <c r="H148" s="25"/>
      <c r="I148" s="167"/>
    </row>
    <row r="149" spans="2:9">
      <c r="B149" s="345"/>
      <c r="C149" s="346"/>
      <c r="D149" s="346"/>
      <c r="E149" s="346"/>
      <c r="F149" s="346"/>
      <c r="G149" s="346"/>
      <c r="H149" s="346"/>
      <c r="I149" s="347"/>
    </row>
    <row r="150" spans="2:9">
      <c r="B150" s="166"/>
      <c r="C150" s="25"/>
      <c r="D150" s="25"/>
      <c r="E150" s="25"/>
      <c r="F150" s="25"/>
      <c r="G150" s="25"/>
      <c r="H150" s="25"/>
      <c r="I150" s="167"/>
    </row>
    <row r="151" spans="2:9">
      <c r="B151" s="345"/>
      <c r="C151" s="346"/>
      <c r="D151" s="346"/>
      <c r="E151" s="346"/>
      <c r="F151" s="346"/>
      <c r="G151" s="346"/>
      <c r="H151" s="346"/>
      <c r="I151" s="347"/>
    </row>
    <row r="152" spans="2:9">
      <c r="B152" s="166"/>
      <c r="C152" s="25"/>
      <c r="D152" s="25"/>
      <c r="E152" s="25"/>
      <c r="F152" s="25"/>
      <c r="G152" s="25"/>
      <c r="H152" s="25"/>
      <c r="I152" s="167"/>
    </row>
    <row r="153" spans="2:9">
      <c r="B153" s="345"/>
      <c r="C153" s="346"/>
      <c r="D153" s="346"/>
      <c r="E153" s="346"/>
      <c r="F153" s="346"/>
      <c r="G153" s="346"/>
      <c r="H153" s="346"/>
      <c r="I153" s="347"/>
    </row>
    <row r="154" spans="2:9">
      <c r="B154" s="166"/>
      <c r="C154" s="25"/>
      <c r="D154" s="25"/>
      <c r="E154" s="25"/>
      <c r="F154" s="25"/>
      <c r="G154" s="25"/>
      <c r="H154" s="25"/>
      <c r="I154" s="167"/>
    </row>
    <row r="155" spans="2:9">
      <c r="B155" s="345"/>
      <c r="C155" s="346"/>
      <c r="D155" s="346"/>
      <c r="E155" s="346"/>
      <c r="F155" s="346"/>
      <c r="G155" s="346"/>
      <c r="H155" s="346"/>
      <c r="I155" s="347"/>
    </row>
    <row r="156" spans="2:9">
      <c r="B156" s="166"/>
      <c r="C156" s="25"/>
      <c r="D156" s="25"/>
      <c r="E156" s="25"/>
      <c r="F156" s="25"/>
      <c r="G156" s="25"/>
      <c r="H156" s="25"/>
      <c r="I156" s="167"/>
    </row>
    <row r="157" spans="2:9">
      <c r="B157" s="345"/>
      <c r="C157" s="346"/>
      <c r="D157" s="346"/>
      <c r="E157" s="346"/>
      <c r="F157" s="346"/>
      <c r="G157" s="346"/>
      <c r="H157" s="346"/>
      <c r="I157" s="347"/>
    </row>
    <row r="158" spans="2:9">
      <c r="B158" s="166"/>
      <c r="C158" s="25"/>
      <c r="D158" s="25"/>
      <c r="E158" s="25"/>
      <c r="F158" s="25"/>
      <c r="G158" s="25"/>
      <c r="H158" s="25"/>
      <c r="I158" s="167"/>
    </row>
    <row r="159" spans="2:9">
      <c r="B159" s="345"/>
      <c r="C159" s="346"/>
      <c r="D159" s="346"/>
      <c r="E159" s="346"/>
      <c r="F159" s="346"/>
      <c r="G159" s="346"/>
      <c r="H159" s="346"/>
      <c r="I159" s="347"/>
    </row>
    <row r="160" spans="2:9">
      <c r="B160" s="166"/>
      <c r="C160" s="25"/>
      <c r="D160" s="25"/>
      <c r="E160" s="25"/>
      <c r="F160" s="25"/>
      <c r="G160" s="25"/>
      <c r="H160" s="25"/>
      <c r="I160" s="167"/>
    </row>
    <row r="161" spans="2:9">
      <c r="B161" s="345"/>
      <c r="C161" s="346"/>
      <c r="D161" s="346"/>
      <c r="E161" s="346"/>
      <c r="F161" s="346"/>
      <c r="G161" s="346"/>
      <c r="H161" s="346"/>
      <c r="I161" s="347"/>
    </row>
    <row r="162" spans="2:9">
      <c r="B162" s="166"/>
      <c r="C162" s="25"/>
      <c r="D162" s="25"/>
      <c r="E162" s="25"/>
      <c r="F162" s="25"/>
      <c r="G162" s="25"/>
      <c r="H162" s="25"/>
      <c r="I162" s="167"/>
    </row>
    <row r="163" spans="2:9">
      <c r="B163" s="345"/>
      <c r="C163" s="346"/>
      <c r="D163" s="346"/>
      <c r="E163" s="346"/>
      <c r="F163" s="346"/>
      <c r="G163" s="346"/>
      <c r="H163" s="346"/>
      <c r="I163" s="347"/>
    </row>
    <row r="164" spans="2:9">
      <c r="B164" s="166"/>
      <c r="C164" s="25"/>
      <c r="D164" s="25"/>
      <c r="E164" s="25"/>
      <c r="F164" s="25"/>
      <c r="G164" s="25"/>
      <c r="H164" s="25"/>
      <c r="I164" s="167"/>
    </row>
    <row r="165" spans="2:9">
      <c r="B165" s="345"/>
      <c r="C165" s="346"/>
      <c r="D165" s="346"/>
      <c r="E165" s="346"/>
      <c r="F165" s="346"/>
      <c r="G165" s="346"/>
      <c r="H165" s="346"/>
      <c r="I165" s="347"/>
    </row>
    <row r="166" spans="2:9">
      <c r="B166" s="166"/>
      <c r="C166" s="25"/>
      <c r="D166" s="25"/>
      <c r="E166" s="25"/>
      <c r="F166" s="25"/>
      <c r="G166" s="25"/>
      <c r="H166" s="25"/>
      <c r="I166" s="167"/>
    </row>
    <row r="167" spans="2:9">
      <c r="B167" s="345"/>
      <c r="C167" s="346"/>
      <c r="D167" s="346"/>
      <c r="E167" s="346"/>
      <c r="F167" s="346"/>
      <c r="G167" s="346"/>
      <c r="H167" s="346"/>
      <c r="I167" s="347"/>
    </row>
    <row r="168" spans="2:9">
      <c r="B168" s="166"/>
      <c r="C168" s="25"/>
      <c r="D168" s="25"/>
      <c r="E168" s="25"/>
      <c r="F168" s="25"/>
      <c r="G168" s="25"/>
      <c r="H168" s="25"/>
      <c r="I168" s="167"/>
    </row>
    <row r="169" spans="2:9">
      <c r="B169" s="345"/>
      <c r="C169" s="346"/>
      <c r="D169" s="346"/>
      <c r="E169" s="346"/>
      <c r="F169" s="346"/>
      <c r="G169" s="346"/>
      <c r="H169" s="346"/>
      <c r="I169" s="347"/>
    </row>
    <row r="170" spans="2:9">
      <c r="B170" s="6"/>
    </row>
    <row r="171" spans="2:9">
      <c r="B171" s="6"/>
    </row>
    <row r="172" spans="2:9">
      <c r="B172" s="6"/>
    </row>
    <row r="173" spans="2:9">
      <c r="B173" s="6"/>
    </row>
    <row r="174" spans="2:9">
      <c r="B174" s="6"/>
    </row>
    <row r="175" spans="2:9">
      <c r="B175" s="6"/>
    </row>
    <row r="176" spans="2:9">
      <c r="B176" s="6"/>
    </row>
    <row r="177" spans="2:2">
      <c r="B177" s="6"/>
    </row>
    <row r="178" spans="2:2">
      <c r="B178" s="6"/>
    </row>
    <row r="179" spans="2:2">
      <c r="B179" s="6"/>
    </row>
    <row r="180" spans="2:2">
      <c r="B180" s="6"/>
    </row>
    <row r="181" spans="2:2">
      <c r="B181" s="6"/>
    </row>
    <row r="182" spans="2:2">
      <c r="B182" s="6"/>
    </row>
    <row r="183" spans="2:2">
      <c r="B183" s="6"/>
    </row>
    <row r="184" spans="2:2">
      <c r="B184" s="6"/>
    </row>
    <row r="185" spans="2:2">
      <c r="B185" s="6"/>
    </row>
    <row r="186" spans="2:2">
      <c r="B186" s="6"/>
    </row>
    <row r="187" spans="2:2">
      <c r="B187" s="6"/>
    </row>
    <row r="188" spans="2:2">
      <c r="B188" s="6"/>
    </row>
    <row r="189" spans="2:2">
      <c r="B189" s="6"/>
    </row>
    <row r="190" spans="2:2">
      <c r="B190" s="6"/>
    </row>
    <row r="191" spans="2:2">
      <c r="B191" s="6"/>
    </row>
    <row r="192" spans="2:2">
      <c r="B192" s="6"/>
    </row>
    <row r="193" spans="2:2">
      <c r="B193" s="6"/>
    </row>
    <row r="194" spans="2:2">
      <c r="B194" s="6"/>
    </row>
    <row r="195" spans="2:2">
      <c r="B195" s="6"/>
    </row>
    <row r="196" spans="2:2">
      <c r="B196" s="6"/>
    </row>
    <row r="197" spans="2:2">
      <c r="B197" s="6"/>
    </row>
    <row r="198" spans="2:2">
      <c r="B198" s="6"/>
    </row>
    <row r="199" spans="2:2">
      <c r="B199" s="6"/>
    </row>
    <row r="200" spans="2:2">
      <c r="B200" s="6"/>
    </row>
    <row r="201" spans="2:2">
      <c r="B201" s="6"/>
    </row>
    <row r="202" spans="2:2">
      <c r="B202" s="6"/>
    </row>
    <row r="203" spans="2:2">
      <c r="B203" s="6"/>
    </row>
    <row r="204" spans="2:2">
      <c r="B204" s="6"/>
    </row>
    <row r="205" spans="2:2">
      <c r="B205" s="6"/>
    </row>
    <row r="206" spans="2:2">
      <c r="B206" s="6"/>
    </row>
    <row r="207" spans="2:2">
      <c r="B207" s="6"/>
    </row>
    <row r="208" spans="2:2">
      <c r="B208" s="6"/>
    </row>
    <row r="209" spans="2:2">
      <c r="B209" s="6"/>
    </row>
  </sheetData>
  <dataValidations count="2">
    <dataValidation type="list" allowBlank="1" showInputMessage="1" showErrorMessage="1" sqref="I6:I26" xr:uid="{F0B93219-92C1-4D4A-A9B8-5952BEFF34C9}">
      <formula1>$L$6:$L$10</formula1>
    </dataValidation>
    <dataValidation type="list" allowBlank="1" showInputMessage="1" showErrorMessage="1" sqref="I28:I169" xr:uid="{58F83DFB-AF97-7D43-9A0C-B6F92C3DF8FF}">
      <formula1>$L$28:$L$45</formula1>
    </dataValidation>
  </dataValidations>
  <pageMargins left="0.25" right="0.25" top="0.25" bottom="0.25" header="0" footer="0"/>
  <pageSetup scale="22"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79D6-E03A-764E-BB3A-54DF08DD5FC8}">
  <sheetPr>
    <tabColor theme="5" tint="0.59999389629810485"/>
    <pageSetUpPr fitToPage="1"/>
  </sheetPr>
  <dimension ref="B2:P44"/>
  <sheetViews>
    <sheetView showGridLines="0" workbookViewId="0">
      <selection activeCell="T18" sqref="T18:T19"/>
    </sheetView>
  </sheetViews>
  <sheetFormatPr baseColWidth="10" defaultRowHeight="16"/>
  <cols>
    <col min="1" max="1" width="2.83203125" customWidth="1"/>
    <col min="2" max="2" width="33.33203125" customWidth="1"/>
    <col min="3" max="3" width="1.33203125" customWidth="1"/>
    <col min="4" max="4" width="17.6640625" customWidth="1"/>
    <col min="6" max="6" width="17.6640625" customWidth="1"/>
    <col min="7" max="7" width="10.83203125" style="5"/>
    <col min="8" max="8" width="18.1640625" customWidth="1"/>
    <col min="10" max="16" width="10.83203125" hidden="1" customWidth="1"/>
  </cols>
  <sheetData>
    <row r="2" spans="2:16" s="415" customFormat="1" ht="28" customHeight="1" thickBot="1">
      <c r="B2" s="415" t="s">
        <v>66</v>
      </c>
    </row>
    <row r="4" spans="2:16" ht="25" customHeight="1" thickBot="1">
      <c r="B4" s="150" t="s">
        <v>32</v>
      </c>
      <c r="C4" s="177"/>
      <c r="D4" s="152">
        <f>ALLOCATION!C4</f>
        <v>2023</v>
      </c>
      <c r="E4" s="152" t="s">
        <v>33</v>
      </c>
      <c r="F4" s="152">
        <f>ALLOCATION!D4</f>
        <v>2024</v>
      </c>
      <c r="G4" s="152" t="s">
        <v>33</v>
      </c>
      <c r="H4" s="152">
        <f>ALLOCATION!G4</f>
        <v>2025</v>
      </c>
      <c r="I4" s="178" t="s">
        <v>33</v>
      </c>
      <c r="J4" s="7"/>
      <c r="K4" s="7"/>
      <c r="L4" s="7"/>
      <c r="M4" s="7"/>
      <c r="N4" s="7"/>
      <c r="O4" s="7"/>
      <c r="P4" s="7"/>
    </row>
    <row r="5" spans="2:16">
      <c r="B5" s="157" t="s">
        <v>26</v>
      </c>
      <c r="I5" s="15"/>
    </row>
    <row r="6" spans="2:16">
      <c r="B6" s="133" t="str">
        <f>ALLOCATION!K6</f>
        <v>Room Revenue</v>
      </c>
      <c r="D6" s="208">
        <f>ALLOCATION!M6</f>
        <v>0</v>
      </c>
      <c r="E6" s="213">
        <f>IFERROR(D6/$D$11,0)</f>
        <v>0</v>
      </c>
      <c r="F6" s="208">
        <f>ALLOCATION!O6</f>
        <v>0</v>
      </c>
      <c r="G6" s="213">
        <f>IFERROR(F6/$F$11,0)</f>
        <v>0</v>
      </c>
      <c r="H6" s="208">
        <f>ALLOCATION!Q6</f>
        <v>0</v>
      </c>
      <c r="I6" s="182">
        <f>IFERROR(H6/$H$11,0)</f>
        <v>0</v>
      </c>
    </row>
    <row r="7" spans="2:16">
      <c r="B7" s="133" t="str">
        <f>ALLOCATION!K7</f>
        <v>Food &amp; Beverage</v>
      </c>
      <c r="D7" s="208">
        <f>ALLOCATION!M7</f>
        <v>0</v>
      </c>
      <c r="E7" s="213">
        <f>IFERROR(D7/$D$11,0)</f>
        <v>0</v>
      </c>
      <c r="F7" s="208">
        <f>ALLOCATION!O7</f>
        <v>0</v>
      </c>
      <c r="G7" s="213">
        <f>IFERROR(F7/$F$11,0)</f>
        <v>0</v>
      </c>
      <c r="H7" s="208">
        <f>ALLOCATION!Q7</f>
        <v>0</v>
      </c>
      <c r="I7" s="182">
        <f>IFERROR(H7/$H$11,0)</f>
        <v>0</v>
      </c>
    </row>
    <row r="8" spans="2:16">
      <c r="B8" s="133" t="str">
        <f>ALLOCATION!K8</f>
        <v>Other Income</v>
      </c>
      <c r="D8" s="208">
        <f>ALLOCATION!M8</f>
        <v>0</v>
      </c>
      <c r="E8" s="213">
        <f>IFERROR(D8/$D$11,0)</f>
        <v>0</v>
      </c>
      <c r="F8" s="208">
        <f>ALLOCATION!O8</f>
        <v>0</v>
      </c>
      <c r="G8" s="213">
        <f>IFERROR(F8/$F$11,0)</f>
        <v>0</v>
      </c>
      <c r="H8" s="208">
        <f>ALLOCATION!Q8</f>
        <v>0</v>
      </c>
      <c r="I8" s="182">
        <f>IFERROR(H8/$H$11,0)</f>
        <v>0</v>
      </c>
    </row>
    <row r="9" spans="2:16">
      <c r="B9" s="133" t="str">
        <f>ALLOCATION!K9</f>
        <v xml:space="preserve">Other Operated Depts. </v>
      </c>
      <c r="D9" s="208">
        <f>ALLOCATION!M9</f>
        <v>0</v>
      </c>
      <c r="E9" s="213">
        <f>IFERROR(D9/$D$11,0)</f>
        <v>0</v>
      </c>
      <c r="F9" s="208">
        <f>ALLOCATION!O9</f>
        <v>0</v>
      </c>
      <c r="G9" s="213">
        <f>IFERROR(F9/$F$11,0)</f>
        <v>0</v>
      </c>
      <c r="H9" s="208">
        <f>ALLOCATION!Q9</f>
        <v>0</v>
      </c>
      <c r="I9" s="182">
        <f>IFERROR(H9/$H$11,0)</f>
        <v>0</v>
      </c>
    </row>
    <row r="10" spans="2:16">
      <c r="B10" s="133" t="str">
        <f>ALLOCATION!K10</f>
        <v>Custom</v>
      </c>
      <c r="D10" s="208">
        <f>ALLOCATION!M10</f>
        <v>0</v>
      </c>
      <c r="E10" s="213">
        <f>IFERROR(D10/$D$11,0)</f>
        <v>0</v>
      </c>
      <c r="F10" s="208">
        <f>ALLOCATION!O10</f>
        <v>0</v>
      </c>
      <c r="G10" s="213">
        <f>IFERROR(F10/$F$11,0)</f>
        <v>0</v>
      </c>
      <c r="H10" s="208">
        <f>ALLOCATION!Q10</f>
        <v>0</v>
      </c>
      <c r="I10" s="182">
        <f>IFERROR(H10/$H$11,0)</f>
        <v>0</v>
      </c>
    </row>
    <row r="11" spans="2:16">
      <c r="B11" s="121" t="s">
        <v>68</v>
      </c>
      <c r="D11" s="271">
        <f>SUM(D6:D10)</f>
        <v>0</v>
      </c>
      <c r="E11" s="269">
        <f>IFERROR(D11/(D6+D8+D7+D9+D10),0)</f>
        <v>0</v>
      </c>
      <c r="F11" s="271">
        <f>SUM(F6:F10)</f>
        <v>0</v>
      </c>
      <c r="G11" s="269">
        <f>IFERROR(F11/(F6+F8+F7+F9+F10),0)</f>
        <v>0</v>
      </c>
      <c r="H11" s="271">
        <f>SUM(H6:H10)</f>
        <v>0</v>
      </c>
      <c r="I11" s="269">
        <f>IFERROR(H11/(H6+H8+H7+H9+H10),0)</f>
        <v>0</v>
      </c>
    </row>
    <row r="12" spans="2:16">
      <c r="B12" s="14"/>
      <c r="D12" s="208"/>
      <c r="E12" s="214"/>
      <c r="F12" s="208"/>
      <c r="G12" s="214"/>
      <c r="H12" s="208"/>
      <c r="I12" s="210"/>
    </row>
    <row r="13" spans="2:16">
      <c r="B13" s="157" t="s">
        <v>31</v>
      </c>
      <c r="D13" s="208"/>
      <c r="E13" s="214"/>
      <c r="F13" s="208"/>
      <c r="G13" s="214"/>
      <c r="H13" s="208"/>
      <c r="I13" s="210"/>
    </row>
    <row r="14" spans="2:16">
      <c r="B14" s="200" t="s">
        <v>101</v>
      </c>
      <c r="D14" s="208"/>
      <c r="E14" s="214"/>
      <c r="F14" s="208"/>
      <c r="G14" s="214"/>
      <c r="H14" s="208"/>
      <c r="I14" s="210"/>
    </row>
    <row r="15" spans="2:16">
      <c r="B15" s="133" t="str">
        <f>ALLOCATION!K28</f>
        <v>Rooms</v>
      </c>
      <c r="D15" s="208">
        <f>ALLOCATION!M28</f>
        <v>0</v>
      </c>
      <c r="E15" s="213">
        <f>IFERROR(D15/D6,0)</f>
        <v>0</v>
      </c>
      <c r="F15" s="208">
        <f>ALLOCATION!O28</f>
        <v>0</v>
      </c>
      <c r="G15" s="213">
        <f>IFERROR(F15/F6,0)</f>
        <v>0</v>
      </c>
      <c r="H15" s="208">
        <f>ALLOCATION!Q28</f>
        <v>0</v>
      </c>
      <c r="I15" s="182">
        <f>IFERROR(H15/H6,0)</f>
        <v>0</v>
      </c>
    </row>
    <row r="16" spans="2:16">
      <c r="B16" s="133" t="str">
        <f>ALLOCATION!K29</f>
        <v>Food &amp; Beverage</v>
      </c>
      <c r="D16" s="208">
        <f>ALLOCATION!M29</f>
        <v>0</v>
      </c>
      <c r="E16" s="213">
        <f>IFERROR(D16/D7,0)</f>
        <v>0</v>
      </c>
      <c r="F16" s="208">
        <f>ALLOCATION!O29</f>
        <v>0</v>
      </c>
      <c r="G16" s="213">
        <f>IFERROR(F16/F7,0)</f>
        <v>0</v>
      </c>
      <c r="H16" s="208">
        <f>ALLOCATION!Q29</f>
        <v>0</v>
      </c>
      <c r="I16" s="182">
        <f>IFERROR(H16/H7,0)</f>
        <v>0</v>
      </c>
    </row>
    <row r="17" spans="2:9">
      <c r="B17" s="133" t="str">
        <f>ALLOCATION!K30</f>
        <v>Custom</v>
      </c>
      <c r="D17" s="208">
        <f>ALLOCATION!M30</f>
        <v>0</v>
      </c>
      <c r="E17" s="213">
        <f>IFERROR(D17/D10,0)</f>
        <v>0</v>
      </c>
      <c r="F17" s="208">
        <f>ALLOCATION!O30</f>
        <v>0</v>
      </c>
      <c r="G17" s="213">
        <f>IFERROR(F17/F10,0)</f>
        <v>0</v>
      </c>
      <c r="H17" s="208">
        <f>ALLOCATION!Q30</f>
        <v>0</v>
      </c>
      <c r="I17" s="182">
        <f>IFERROR(H17/H10,0)</f>
        <v>0</v>
      </c>
    </row>
    <row r="18" spans="2:9">
      <c r="B18" s="133" t="str">
        <f>ALLOCATION!K31</f>
        <v>Payroll</v>
      </c>
      <c r="D18" s="208">
        <f>ALLOCATION!M31</f>
        <v>0</v>
      </c>
      <c r="E18" s="213">
        <f>IFERROR(D18/$D$11,0)</f>
        <v>0</v>
      </c>
      <c r="F18" s="208">
        <f>ALLOCATION!O31</f>
        <v>0</v>
      </c>
      <c r="G18" s="213">
        <f>IFERROR(F18/$F$11,0)</f>
        <v>0</v>
      </c>
      <c r="H18" s="208">
        <f>ALLOCATION!Q31</f>
        <v>0</v>
      </c>
      <c r="I18" s="182">
        <f>IFERROR(H18/$H$11,0)</f>
        <v>0</v>
      </c>
    </row>
    <row r="19" spans="2:9">
      <c r="B19" s="121" t="s">
        <v>314</v>
      </c>
      <c r="C19" s="3"/>
      <c r="D19" s="266">
        <f>SUM(D15:D18)</f>
        <v>0</v>
      </c>
      <c r="E19" s="181">
        <f>IFERROR(D19/D11,0)</f>
        <v>0</v>
      </c>
      <c r="F19" s="266">
        <f>SUM(F15:F18)</f>
        <v>0</v>
      </c>
      <c r="G19" s="181">
        <f>IFERROR(F19/F11,0)</f>
        <v>0</v>
      </c>
      <c r="H19" s="266">
        <f>SUM(H15:H18)</f>
        <v>0</v>
      </c>
      <c r="I19" s="211">
        <f>IFERROR(H19/H11,0)</f>
        <v>0</v>
      </c>
    </row>
    <row r="20" spans="2:9" ht="17" thickBot="1">
      <c r="B20" s="121" t="s">
        <v>315</v>
      </c>
      <c r="C20" s="3"/>
      <c r="D20" s="344">
        <f>D11-D19</f>
        <v>0</v>
      </c>
      <c r="E20" s="268">
        <f>IFERROR(D20/D11,0)</f>
        <v>0</v>
      </c>
      <c r="F20" s="344">
        <f>F11-F19</f>
        <v>0</v>
      </c>
      <c r="G20" s="268">
        <f>IFERROR(F20/F11,0)</f>
        <v>0</v>
      </c>
      <c r="H20" s="344">
        <f>H11-H19</f>
        <v>0</v>
      </c>
      <c r="I20" s="269">
        <f>IFERROR(H20/H11,0)</f>
        <v>0</v>
      </c>
    </row>
    <row r="21" spans="2:9">
      <c r="B21" s="121"/>
      <c r="C21" s="3"/>
      <c r="D21" s="266"/>
      <c r="E21" s="268"/>
      <c r="F21" s="266"/>
      <c r="G21" s="268"/>
      <c r="H21" s="266"/>
      <c r="I21" s="269"/>
    </row>
    <row r="22" spans="2:9">
      <c r="B22" s="121" t="s">
        <v>103</v>
      </c>
      <c r="D22" s="208"/>
      <c r="E22" s="213"/>
      <c r="F22" s="208"/>
      <c r="G22" s="213"/>
      <c r="H22" s="208"/>
      <c r="I22" s="182"/>
    </row>
    <row r="23" spans="2:9">
      <c r="B23" s="133" t="str">
        <f>ALLOCATION!K32</f>
        <v>Administrative &amp; General</v>
      </c>
      <c r="D23" s="208">
        <f>ALLOCATION!M32</f>
        <v>0</v>
      </c>
      <c r="E23" s="213">
        <f t="shared" ref="E23:E29" si="0">IFERROR(D23/$D$11,0)</f>
        <v>0</v>
      </c>
      <c r="F23" s="208">
        <f>ALLOCATION!O32</f>
        <v>0</v>
      </c>
      <c r="G23" s="213">
        <f t="shared" ref="G23:G29" si="1">IFERROR(F23/$F$11,0)</f>
        <v>0</v>
      </c>
      <c r="H23" s="208">
        <f>ALLOCATION!Q32</f>
        <v>0</v>
      </c>
      <c r="I23" s="182">
        <f t="shared" ref="I23:I29" si="2">IFERROR(H23/$H$11,0)</f>
        <v>0</v>
      </c>
    </row>
    <row r="24" spans="2:9">
      <c r="B24" s="133" t="str">
        <f>ALLOCATION!K33</f>
        <v>A&amp;G Credit Card Comm</v>
      </c>
      <c r="D24" s="208">
        <f>ALLOCATION!M33</f>
        <v>0</v>
      </c>
      <c r="E24" s="213">
        <f t="shared" si="0"/>
        <v>0</v>
      </c>
      <c r="F24" s="208">
        <f>ALLOCATION!O33</f>
        <v>0</v>
      </c>
      <c r="G24" s="213">
        <f t="shared" si="1"/>
        <v>0</v>
      </c>
      <c r="H24" s="208">
        <f>ALLOCATION!Q33</f>
        <v>0</v>
      </c>
      <c r="I24" s="182">
        <f t="shared" si="2"/>
        <v>0</v>
      </c>
    </row>
    <row r="25" spans="2:9">
      <c r="B25" s="133" t="str">
        <f>ALLOCATION!K34</f>
        <v>Sales &amp; Marketing</v>
      </c>
      <c r="D25" s="208">
        <f>ALLOCATION!M34</f>
        <v>0</v>
      </c>
      <c r="E25" s="213">
        <f t="shared" si="0"/>
        <v>0</v>
      </c>
      <c r="F25" s="208">
        <f>ALLOCATION!O34</f>
        <v>0</v>
      </c>
      <c r="G25" s="213">
        <f t="shared" si="1"/>
        <v>0</v>
      </c>
      <c r="H25" s="208">
        <f>ALLOCATION!Q34</f>
        <v>0</v>
      </c>
      <c r="I25" s="182">
        <f t="shared" si="2"/>
        <v>0</v>
      </c>
    </row>
    <row r="26" spans="2:9">
      <c r="B26" s="133" t="str">
        <f>ALLOCATION!K35</f>
        <v>Franchise Fees</v>
      </c>
      <c r="D26" s="208">
        <f>ALLOCATION!M35</f>
        <v>0</v>
      </c>
      <c r="E26" s="213">
        <f t="shared" si="0"/>
        <v>0</v>
      </c>
      <c r="F26" s="208">
        <f>ALLOCATION!O35</f>
        <v>0</v>
      </c>
      <c r="G26" s="213">
        <f t="shared" si="1"/>
        <v>0</v>
      </c>
      <c r="H26" s="208">
        <f>ALLOCATION!Q35</f>
        <v>0</v>
      </c>
      <c r="I26" s="182">
        <f t="shared" si="2"/>
        <v>0</v>
      </c>
    </row>
    <row r="27" spans="2:9">
      <c r="B27" s="133" t="str">
        <f>ALLOCATION!K36</f>
        <v>Utilities</v>
      </c>
      <c r="D27" s="208">
        <f>ALLOCATION!M36</f>
        <v>0</v>
      </c>
      <c r="E27" s="213">
        <f t="shared" si="0"/>
        <v>0</v>
      </c>
      <c r="F27" s="208">
        <f>ALLOCATION!O36</f>
        <v>0</v>
      </c>
      <c r="G27" s="213">
        <f t="shared" si="1"/>
        <v>0</v>
      </c>
      <c r="H27" s="208">
        <f>ALLOCATION!Q36</f>
        <v>0</v>
      </c>
      <c r="I27" s="182">
        <f t="shared" si="2"/>
        <v>0</v>
      </c>
    </row>
    <row r="28" spans="2:9">
      <c r="B28" s="133" t="str">
        <f>ALLOCATION!K37</f>
        <v>Property Operations &amp; Maintenance</v>
      </c>
      <c r="D28" s="208">
        <f>ALLOCATION!M37</f>
        <v>0</v>
      </c>
      <c r="E28" s="213">
        <f t="shared" si="0"/>
        <v>0</v>
      </c>
      <c r="F28" s="208">
        <f>ALLOCATION!O37</f>
        <v>0</v>
      </c>
      <c r="G28" s="213">
        <f t="shared" si="1"/>
        <v>0</v>
      </c>
      <c r="H28" s="208">
        <f>ALLOCATION!Q37</f>
        <v>0</v>
      </c>
      <c r="I28" s="182">
        <f t="shared" si="2"/>
        <v>0</v>
      </c>
    </row>
    <row r="29" spans="2:9">
      <c r="B29" s="133" t="str">
        <f>ALLOCATION!K38</f>
        <v>Info &amp; Telecom Systems</v>
      </c>
      <c r="D29" s="208">
        <f>ALLOCATION!M38</f>
        <v>0</v>
      </c>
      <c r="E29" s="213">
        <f t="shared" si="0"/>
        <v>0</v>
      </c>
      <c r="F29" s="208">
        <f>ALLOCATION!O38</f>
        <v>0</v>
      </c>
      <c r="G29" s="213">
        <f t="shared" si="1"/>
        <v>0</v>
      </c>
      <c r="H29" s="208">
        <f>ALLOCATION!Q38</f>
        <v>0</v>
      </c>
      <c r="I29" s="182">
        <f t="shared" si="2"/>
        <v>0</v>
      </c>
    </row>
    <row r="30" spans="2:9">
      <c r="B30" s="200" t="s">
        <v>316</v>
      </c>
      <c r="C30" s="3"/>
      <c r="D30" s="266">
        <f>SUM(D23:D29)</f>
        <v>0</v>
      </c>
      <c r="E30" s="181">
        <f>IFERROR(D30/D11,0)</f>
        <v>0</v>
      </c>
      <c r="F30" s="266">
        <f>SUM(F23:F29)</f>
        <v>0</v>
      </c>
      <c r="G30" s="181">
        <f>IFERROR(F30/F11,0)</f>
        <v>0</v>
      </c>
      <c r="H30" s="266">
        <f>SUM(H23:H29)</f>
        <v>0</v>
      </c>
      <c r="I30" s="211">
        <f>IFERROR(H30/H11,0)</f>
        <v>0</v>
      </c>
    </row>
    <row r="31" spans="2:9" ht="17" thickBot="1">
      <c r="B31" s="200" t="s">
        <v>317</v>
      </c>
      <c r="C31" s="3"/>
      <c r="D31" s="344">
        <f>D20-D30</f>
        <v>0</v>
      </c>
      <c r="E31" s="268">
        <f>IFERROR(D31/D11,0)</f>
        <v>0</v>
      </c>
      <c r="F31" s="344">
        <f>F20-F30</f>
        <v>0</v>
      </c>
      <c r="G31" s="268">
        <f>IFERROR(F31/F11,0)</f>
        <v>0</v>
      </c>
      <c r="H31" s="344">
        <f>H20-H30</f>
        <v>0</v>
      </c>
      <c r="I31" s="269">
        <f>IFERROR(H31/H11,0)</f>
        <v>0</v>
      </c>
    </row>
    <row r="32" spans="2:9">
      <c r="B32" s="133"/>
      <c r="D32" s="208"/>
      <c r="E32" s="213"/>
      <c r="F32" s="208"/>
      <c r="G32" s="213"/>
      <c r="H32" s="208"/>
      <c r="I32" s="182"/>
    </row>
    <row r="33" spans="2:9">
      <c r="B33" s="200" t="s">
        <v>318</v>
      </c>
      <c r="D33" s="208"/>
      <c r="E33" s="213"/>
      <c r="F33" s="208"/>
      <c r="G33" s="213"/>
      <c r="H33" s="208"/>
      <c r="I33" s="182"/>
    </row>
    <row r="34" spans="2:9">
      <c r="B34" s="133" t="str">
        <f>ALLOCATION!K39</f>
        <v>Property Taxes</v>
      </c>
      <c r="D34" s="208">
        <f>ALLOCATION!M39</f>
        <v>0</v>
      </c>
      <c r="E34" s="213">
        <f>IFERROR(D34/$D$11,0)</f>
        <v>0</v>
      </c>
      <c r="F34" s="208">
        <f>ALLOCATION!O39</f>
        <v>0</v>
      </c>
      <c r="G34" s="213">
        <f>IFERROR(F34/$F$11,0)</f>
        <v>0</v>
      </c>
      <c r="H34" s="208">
        <f>ALLOCATION!Q39</f>
        <v>0</v>
      </c>
      <c r="I34" s="182">
        <f>IFERROR(H34/$H$11,0)</f>
        <v>0</v>
      </c>
    </row>
    <row r="35" spans="2:9">
      <c r="B35" s="133" t="str">
        <f>ALLOCATION!K40</f>
        <v>Insurance</v>
      </c>
      <c r="D35" s="208">
        <f>ALLOCATION!M40</f>
        <v>0</v>
      </c>
      <c r="E35" s="213">
        <f>IFERROR(D35/$D$11,0)</f>
        <v>0</v>
      </c>
      <c r="F35" s="208">
        <f>ALLOCATION!O40</f>
        <v>0</v>
      </c>
      <c r="G35" s="213">
        <f>IFERROR(F35/$F$11,0)</f>
        <v>0</v>
      </c>
      <c r="H35" s="208">
        <f>ALLOCATION!Q40</f>
        <v>0</v>
      </c>
      <c r="I35" s="182">
        <f>IFERROR(H35/$H$11,0)</f>
        <v>0</v>
      </c>
    </row>
    <row r="36" spans="2:9" ht="17" customHeight="1">
      <c r="B36" s="133" t="str">
        <f>ALLOCATION!K41</f>
        <v>Rent Expense</v>
      </c>
      <c r="D36" s="208">
        <f>ALLOCATION!M41</f>
        <v>0</v>
      </c>
      <c r="E36" s="213">
        <f>IFERROR(D36/$D$11,0)</f>
        <v>0</v>
      </c>
      <c r="F36" s="208">
        <f>ALLOCATION!O41</f>
        <v>0</v>
      </c>
      <c r="G36" s="213">
        <f>IFERROR(F36/$F$11,0)</f>
        <v>0</v>
      </c>
      <c r="H36" s="208">
        <f>ALLOCATION!Q41</f>
        <v>0</v>
      </c>
      <c r="I36" s="182">
        <f>IFERROR(H36/$H$11,0)</f>
        <v>0</v>
      </c>
    </row>
    <row r="37" spans="2:9">
      <c r="B37" s="133" t="str">
        <f>ALLOCATION!K42</f>
        <v xml:space="preserve">Other </v>
      </c>
      <c r="D37" s="208">
        <f>ALLOCATION!M42</f>
        <v>0</v>
      </c>
      <c r="E37" s="213">
        <f>IFERROR(D37/$D$11,0)</f>
        <v>0</v>
      </c>
      <c r="F37" s="208">
        <f>ALLOCATION!O42</f>
        <v>0</v>
      </c>
      <c r="G37" s="213">
        <f>IFERROR(F37/$F$11,0)</f>
        <v>0</v>
      </c>
      <c r="H37" s="208">
        <f>ALLOCATION!Q42</f>
        <v>0</v>
      </c>
      <c r="I37" s="182">
        <f>IFERROR(H37/$H$11,0)</f>
        <v>0</v>
      </c>
    </row>
    <row r="38" spans="2:9" ht="17" customHeight="1">
      <c r="B38" s="121" t="s">
        <v>319</v>
      </c>
      <c r="C38" s="3"/>
      <c r="D38" s="266">
        <f>SUM(D34:D37)</f>
        <v>0</v>
      </c>
      <c r="E38" s="181">
        <f>IFERROR(D38/D11,0)</f>
        <v>0</v>
      </c>
      <c r="F38" s="266">
        <f>SUM(F34:F37)</f>
        <v>0</v>
      </c>
      <c r="G38" s="181">
        <f>IFERROR(F38/F11,0)</f>
        <v>0</v>
      </c>
      <c r="H38" s="266">
        <f>SUM(H34:H37)</f>
        <v>0</v>
      </c>
      <c r="I38" s="211">
        <f>IFERROR(H38/H11,0)</f>
        <v>0</v>
      </c>
    </row>
    <row r="39" spans="2:9" ht="17" thickBot="1">
      <c r="B39" s="121" t="s">
        <v>313</v>
      </c>
      <c r="C39" s="3"/>
      <c r="D39" s="344">
        <f>D31-D38</f>
        <v>0</v>
      </c>
      <c r="E39" s="268">
        <f>IFERROR(D39/D11,0)</f>
        <v>0</v>
      </c>
      <c r="F39" s="344">
        <f>F31-F38</f>
        <v>0</v>
      </c>
      <c r="G39" s="268">
        <f>IFERROR(F39/F11,0)</f>
        <v>0</v>
      </c>
      <c r="H39" s="344">
        <f>H31-H38</f>
        <v>0</v>
      </c>
      <c r="I39" s="269">
        <f>IFERROR(H39/H11,0)</f>
        <v>0</v>
      </c>
    </row>
    <row r="40" spans="2:9" ht="9" customHeight="1">
      <c r="B40" s="14"/>
      <c r="D40" s="208"/>
      <c r="E40" s="179"/>
      <c r="F40" s="208"/>
      <c r="G40" s="179"/>
      <c r="H40" s="208"/>
      <c r="I40" s="20"/>
    </row>
    <row r="41" spans="2:9">
      <c r="B41" s="14" t="str">
        <f>'DIRTY P&amp;L'!B178</f>
        <v>Capital Reserves</v>
      </c>
      <c r="D41" s="209">
        <f>E41*D11</f>
        <v>0</v>
      </c>
      <c r="E41" s="214">
        <f>'DIRTY P&amp;L'!$G$178</f>
        <v>0</v>
      </c>
      <c r="F41" s="209">
        <f>G41*F11</f>
        <v>0</v>
      </c>
      <c r="G41" s="214">
        <f>'DIRTY P&amp;L'!$J$178</f>
        <v>0</v>
      </c>
      <c r="H41" s="209">
        <f>I41*H11</f>
        <v>0</v>
      </c>
      <c r="I41" s="210">
        <f>'DIRTY P&amp;L'!$W$178</f>
        <v>0</v>
      </c>
    </row>
    <row r="42" spans="2:9">
      <c r="B42" s="14" t="str">
        <f>'DIRTY P&amp;L'!B179</f>
        <v>Management Fee</v>
      </c>
      <c r="D42" s="209">
        <f>E42*D11</f>
        <v>0</v>
      </c>
      <c r="E42" s="213">
        <f>'DIRTY P&amp;L'!$G$179</f>
        <v>0</v>
      </c>
      <c r="F42" s="209">
        <f>G42*F11</f>
        <v>0</v>
      </c>
      <c r="G42" s="213">
        <f>'DIRTY P&amp;L'!$J$179</f>
        <v>0</v>
      </c>
      <c r="H42" s="209">
        <f>I42*H11</f>
        <v>0</v>
      </c>
      <c r="I42" s="182">
        <f>'DIRTY P&amp;L'!$W$179</f>
        <v>0</v>
      </c>
    </row>
    <row r="43" spans="2:9" ht="9" customHeight="1">
      <c r="B43" s="14"/>
      <c r="D43" s="208"/>
      <c r="E43" s="215"/>
      <c r="F43" s="208"/>
      <c r="G43" s="215"/>
      <c r="H43" s="208"/>
      <c r="I43" s="212"/>
    </row>
    <row r="44" spans="2:9" ht="17" thickBot="1">
      <c r="B44" s="275" t="s">
        <v>41</v>
      </c>
      <c r="C44" s="276"/>
      <c r="D44" s="277">
        <f>D39-(D41+D42)</f>
        <v>0</v>
      </c>
      <c r="E44" s="278">
        <f>IFERROR(D44/D11,0)</f>
        <v>0</v>
      </c>
      <c r="F44" s="277">
        <f>F39-(F41+F42)</f>
        <v>0</v>
      </c>
      <c r="G44" s="278">
        <f>IFERROR(F44/F11,0)</f>
        <v>0</v>
      </c>
      <c r="H44" s="277">
        <f>H39-(H41+H42)</f>
        <v>0</v>
      </c>
      <c r="I44" s="279">
        <f>IFERROR(H44/H11,0)</f>
        <v>0</v>
      </c>
    </row>
  </sheetData>
  <pageMargins left="0.25" right="0.25" top="0.25" bottom="0.25" header="0" footer="0"/>
  <pageSetup paperSize="0" scale="85" orientation="landscape"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CD300-B207-BC41-8432-6AD57F9ADF0A}">
  <sheetPr>
    <tabColor theme="5" tint="0.59999389629810485"/>
    <pageSetUpPr fitToPage="1"/>
  </sheetPr>
  <dimension ref="B2:N57"/>
  <sheetViews>
    <sheetView showGridLines="0" workbookViewId="0">
      <selection activeCell="I15" sqref="I15"/>
    </sheetView>
  </sheetViews>
  <sheetFormatPr baseColWidth="10" defaultRowHeight="16"/>
  <cols>
    <col min="1" max="1" width="4" customWidth="1"/>
    <col min="5" max="5" width="2.83203125" customWidth="1"/>
    <col min="6" max="6" width="3.1640625" customWidth="1"/>
    <col min="7" max="7" width="14.6640625" customWidth="1"/>
    <col min="8" max="8" width="6.83203125" customWidth="1"/>
    <col min="10" max="10" width="13.6640625" customWidth="1"/>
    <col min="11" max="11" width="6" customWidth="1"/>
    <col min="13" max="13" width="15" customWidth="1"/>
    <col min="14" max="14" width="6.5" customWidth="1"/>
  </cols>
  <sheetData>
    <row r="2" spans="2:14" s="415" customFormat="1" ht="28" customHeight="1" thickBot="1">
      <c r="B2" s="415" t="s">
        <v>250</v>
      </c>
    </row>
    <row r="4" spans="2:14" ht="17" thickBot="1"/>
    <row r="5" spans="2:14" ht="20" thickBot="1">
      <c r="B5" s="581" t="s">
        <v>113</v>
      </c>
      <c r="C5" s="582"/>
      <c r="D5" s="583"/>
      <c r="E5" s="584"/>
      <c r="F5" s="582"/>
      <c r="G5" s="585">
        <f>J5</f>
        <v>0</v>
      </c>
      <c r="H5" s="584"/>
      <c r="I5" s="582"/>
      <c r="J5" s="585">
        <f>INPUTS!C12</f>
        <v>0</v>
      </c>
      <c r="K5" s="586"/>
      <c r="L5" s="586"/>
      <c r="M5" s="585">
        <f>+J5</f>
        <v>0</v>
      </c>
      <c r="N5" s="587"/>
    </row>
    <row r="6" spans="2:14">
      <c r="B6" s="437" t="s">
        <v>391</v>
      </c>
      <c r="C6" s="438"/>
      <c r="D6" s="439"/>
      <c r="E6" s="440"/>
      <c r="F6" s="438"/>
      <c r="G6" s="441">
        <f>J6</f>
        <v>0</v>
      </c>
      <c r="H6" s="440"/>
      <c r="I6" s="438"/>
      <c r="J6" s="441">
        <f>SUMMARY!I32+SUMMARY!I35-SUMMARY!D35+SUMMARY!I33</f>
        <v>0</v>
      </c>
      <c r="K6" s="442"/>
      <c r="L6" s="443"/>
      <c r="M6" s="441">
        <f>J6</f>
        <v>0</v>
      </c>
      <c r="N6" s="444"/>
    </row>
    <row r="7" spans="2:14">
      <c r="B7" s="445" t="s">
        <v>363</v>
      </c>
      <c r="C7" s="438"/>
      <c r="D7" s="439"/>
      <c r="E7" s="440"/>
      <c r="F7" s="438"/>
      <c r="G7" s="439">
        <f>J7</f>
        <v>0</v>
      </c>
      <c r="H7" s="440"/>
      <c r="I7" s="438"/>
      <c r="J7" s="439">
        <f>SUM(J5:J6)</f>
        <v>0</v>
      </c>
      <c r="K7" s="442"/>
      <c r="L7" s="443"/>
      <c r="M7" s="439">
        <f>J7</f>
        <v>0</v>
      </c>
      <c r="N7" s="444"/>
    </row>
    <row r="8" spans="2:14">
      <c r="B8" s="445"/>
      <c r="C8" s="438"/>
      <c r="D8" s="439"/>
      <c r="E8" s="440"/>
      <c r="F8" s="438"/>
      <c r="G8" s="439"/>
      <c r="H8" s="440"/>
      <c r="I8" s="438"/>
      <c r="J8" s="439"/>
      <c r="K8" s="442"/>
      <c r="L8" s="443"/>
      <c r="M8" s="446"/>
      <c r="N8" s="444"/>
    </row>
    <row r="9" spans="2:14">
      <c r="B9" s="445" t="s">
        <v>541</v>
      </c>
      <c r="C9" s="447"/>
      <c r="D9" s="448"/>
      <c r="E9" s="449"/>
      <c r="F9" s="447"/>
      <c r="G9" s="448">
        <f>WATERFALL!D12</f>
        <v>0</v>
      </c>
      <c r="H9" s="450">
        <f>IFERROR(G9/G7,0)</f>
        <v>0</v>
      </c>
      <c r="I9" s="447"/>
      <c r="J9" s="451">
        <f>G9</f>
        <v>0</v>
      </c>
      <c r="K9" s="450">
        <f>IFERROR(J9/J7,0)</f>
        <v>0</v>
      </c>
      <c r="L9" s="452"/>
      <c r="M9" s="451">
        <f>J9</f>
        <v>0</v>
      </c>
      <c r="N9" s="450">
        <f>IFERROR(M9/M7,0)</f>
        <v>0</v>
      </c>
    </row>
    <row r="10" spans="2:14">
      <c r="B10" s="453"/>
      <c r="C10" s="454"/>
      <c r="D10" s="454"/>
      <c r="E10" s="455"/>
      <c r="F10" s="454"/>
      <c r="G10" s="454"/>
      <c r="H10" s="455"/>
      <c r="I10" s="454"/>
      <c r="J10" s="454"/>
      <c r="K10" s="456"/>
      <c r="L10" s="457"/>
      <c r="M10" s="457"/>
      <c r="N10" s="458"/>
    </row>
    <row r="11" spans="2:14">
      <c r="B11" s="459" t="s">
        <v>364</v>
      </c>
      <c r="C11" s="454"/>
      <c r="D11" s="460"/>
      <c r="E11" s="461"/>
      <c r="F11" s="454"/>
      <c r="G11" s="460"/>
      <c r="H11" s="461"/>
      <c r="I11" s="454"/>
      <c r="J11" s="460"/>
      <c r="K11" s="462"/>
      <c r="L11" s="457"/>
      <c r="M11" s="463"/>
      <c r="N11" s="464"/>
    </row>
    <row r="12" spans="2:14">
      <c r="B12" s="437" t="s">
        <v>365</v>
      </c>
      <c r="C12" s="454"/>
      <c r="D12" s="439"/>
      <c r="E12" s="449"/>
      <c r="F12" s="454"/>
      <c r="G12" s="439">
        <f>+G7-G9</f>
        <v>0</v>
      </c>
      <c r="H12" s="450" t="e">
        <f>G12/G7</f>
        <v>#DIV/0!</v>
      </c>
      <c r="I12" s="454"/>
      <c r="J12" s="439">
        <f>+J7-J9</f>
        <v>0</v>
      </c>
      <c r="K12" s="450" t="e">
        <f>+J12/J7</f>
        <v>#DIV/0!</v>
      </c>
      <c r="L12" s="457"/>
      <c r="M12" s="439">
        <f>J12</f>
        <v>0</v>
      </c>
      <c r="N12" s="450" t="e">
        <f>+M12/M7</f>
        <v>#DIV/0!</v>
      </c>
    </row>
    <row r="13" spans="2:14">
      <c r="B13" s="465" t="s">
        <v>12</v>
      </c>
      <c r="C13" s="454"/>
      <c r="D13" s="466"/>
      <c r="E13" s="467"/>
      <c r="F13" s="454"/>
      <c r="G13" s="466">
        <f>J13</f>
        <v>0</v>
      </c>
      <c r="H13" s="467"/>
      <c r="I13" s="454"/>
      <c r="J13" s="466">
        <f>INPUTS!C18</f>
        <v>0</v>
      </c>
      <c r="K13" s="468"/>
      <c r="L13" s="457"/>
      <c r="M13" s="466">
        <f>J13</f>
        <v>0</v>
      </c>
      <c r="N13" s="469"/>
    </row>
    <row r="14" spans="2:14">
      <c r="B14" s="465" t="s">
        <v>366</v>
      </c>
      <c r="C14" s="454"/>
      <c r="D14" s="470"/>
      <c r="E14" s="471"/>
      <c r="F14" s="454"/>
      <c r="G14" s="470">
        <f>J14</f>
        <v>0</v>
      </c>
      <c r="H14" s="471"/>
      <c r="I14" s="454"/>
      <c r="J14" s="470">
        <f>INPUTS!C19</f>
        <v>0</v>
      </c>
      <c r="K14" s="472"/>
      <c r="L14" s="457"/>
      <c r="M14" s="470">
        <f>J14</f>
        <v>0</v>
      </c>
      <c r="N14" s="473"/>
    </row>
    <row r="15" spans="2:14">
      <c r="B15" s="465" t="s">
        <v>367</v>
      </c>
      <c r="C15" s="454"/>
      <c r="D15" s="474"/>
      <c r="E15" s="437"/>
      <c r="F15" s="454"/>
      <c r="G15" s="474" t="str">
        <f>J15</f>
        <v/>
      </c>
      <c r="H15" s="437"/>
      <c r="I15" s="454"/>
      <c r="J15" s="474" t="str">
        <f>DEBT!M10</f>
        <v/>
      </c>
      <c r="K15" s="475"/>
      <c r="L15" s="457"/>
      <c r="M15" s="474" t="str">
        <f>J15</f>
        <v/>
      </c>
      <c r="N15" s="477"/>
    </row>
    <row r="16" spans="2:14">
      <c r="B16" s="465"/>
      <c r="C16" s="454"/>
      <c r="D16" s="474"/>
      <c r="E16" s="437"/>
      <c r="F16" s="454"/>
      <c r="G16" s="474"/>
      <c r="H16" s="437"/>
      <c r="I16" s="454"/>
      <c r="J16" s="478"/>
      <c r="K16" s="475"/>
      <c r="L16" s="457"/>
      <c r="M16" s="476"/>
      <c r="N16" s="477"/>
    </row>
    <row r="17" spans="2:14">
      <c r="B17" s="479"/>
      <c r="C17" s="480"/>
      <c r="D17" s="481"/>
      <c r="E17" s="437"/>
      <c r="F17" s="480"/>
      <c r="G17" s="481"/>
      <c r="H17" s="437"/>
      <c r="I17" s="480"/>
      <c r="J17" s="482"/>
      <c r="K17" s="475"/>
      <c r="L17" s="483"/>
      <c r="M17" s="484"/>
      <c r="N17" s="477"/>
    </row>
    <row r="18" spans="2:14" ht="17" thickBot="1">
      <c r="B18" s="485" t="s">
        <v>368</v>
      </c>
      <c r="C18" s="486"/>
      <c r="D18" s="487"/>
      <c r="E18" s="488"/>
      <c r="F18" s="486"/>
      <c r="G18" s="1223">
        <f>'CLEAN P&amp;L'!F4</f>
        <v>2024</v>
      </c>
      <c r="H18" s="488"/>
      <c r="I18" s="486"/>
      <c r="J18" s="1223">
        <f>'CLEAN P&amp;L'!H4</f>
        <v>2025</v>
      </c>
      <c r="K18" s="490"/>
      <c r="L18" s="491"/>
      <c r="M18" s="489" t="s">
        <v>540</v>
      </c>
      <c r="N18" s="492"/>
    </row>
    <row r="19" spans="2:14">
      <c r="B19" s="465" t="s">
        <v>52</v>
      </c>
      <c r="C19" s="493"/>
      <c r="D19" s="494"/>
      <c r="E19" s="465"/>
      <c r="F19" s="493"/>
      <c r="G19" s="494">
        <f>J19</f>
        <v>0</v>
      </c>
      <c r="H19" s="465"/>
      <c r="I19" s="493"/>
      <c r="J19" s="494">
        <f>INPUTS!C7</f>
        <v>0</v>
      </c>
      <c r="K19" s="495"/>
      <c r="L19" s="496"/>
      <c r="M19" s="494">
        <f>J19</f>
        <v>0</v>
      </c>
      <c r="N19" s="497"/>
    </row>
    <row r="20" spans="2:14">
      <c r="B20" s="465" t="s">
        <v>369</v>
      </c>
      <c r="C20" s="493"/>
      <c r="D20" s="498"/>
      <c r="E20" s="465"/>
      <c r="F20" s="493"/>
      <c r="G20" s="498">
        <f>G19*365</f>
        <v>0</v>
      </c>
      <c r="H20" s="465"/>
      <c r="I20" s="493"/>
      <c r="J20" s="498">
        <f>J19*365</f>
        <v>0</v>
      </c>
      <c r="K20" s="475"/>
      <c r="L20" s="496"/>
      <c r="M20" s="498" t="str">
        <f>'PRO FORMA'!I8</f>
        <v/>
      </c>
      <c r="N20" s="497"/>
    </row>
    <row r="21" spans="2:14">
      <c r="B21" s="465" t="s">
        <v>370</v>
      </c>
      <c r="C21" s="493"/>
      <c r="D21" s="498"/>
      <c r="E21" s="465"/>
      <c r="F21" s="493"/>
      <c r="G21" s="498">
        <f>G20*G22</f>
        <v>0</v>
      </c>
      <c r="H21" s="465"/>
      <c r="I21" s="493"/>
      <c r="J21" s="498">
        <f>J22*J20</f>
        <v>0</v>
      </c>
      <c r="K21" s="490"/>
      <c r="L21" s="496"/>
      <c r="M21" s="498" t="str">
        <f>'PRO FORMA'!I9</f>
        <v/>
      </c>
      <c r="N21" s="497"/>
    </row>
    <row r="22" spans="2:14">
      <c r="B22" s="465" t="s">
        <v>71</v>
      </c>
      <c r="C22" s="499"/>
      <c r="D22" s="500"/>
      <c r="E22" s="465"/>
      <c r="F22" s="499"/>
      <c r="G22" s="500">
        <f>'STR PERFORMANCE'!D11</f>
        <v>0</v>
      </c>
      <c r="H22" s="465"/>
      <c r="I22" s="499"/>
      <c r="J22" s="501">
        <f>'STR PERFORMANCE'!D12</f>
        <v>0</v>
      </c>
      <c r="K22" s="495"/>
      <c r="L22" s="502"/>
      <c r="M22" s="501" t="str">
        <f>'PRO FORMA'!I10</f>
        <v/>
      </c>
      <c r="N22" s="497"/>
    </row>
    <row r="23" spans="2:14">
      <c r="B23" s="465" t="s">
        <v>85</v>
      </c>
      <c r="C23" s="499"/>
      <c r="D23" s="503"/>
      <c r="E23" s="465"/>
      <c r="F23" s="499"/>
      <c r="G23" s="503">
        <f>'STR PERFORMANCE'!H11</f>
        <v>0</v>
      </c>
      <c r="H23" s="465"/>
      <c r="I23" s="499"/>
      <c r="J23" s="504">
        <f>'STR PERFORMANCE'!H12</f>
        <v>0</v>
      </c>
      <c r="K23" s="495"/>
      <c r="L23" s="502"/>
      <c r="M23" s="504" t="str">
        <f>'PRO FORMA'!I11</f>
        <v/>
      </c>
      <c r="N23" s="497"/>
    </row>
    <row r="24" spans="2:14">
      <c r="B24" s="465" t="s">
        <v>86</v>
      </c>
      <c r="C24" s="454"/>
      <c r="D24" s="504"/>
      <c r="E24" s="465"/>
      <c r="F24" s="454"/>
      <c r="G24" s="504">
        <f>'STR PERFORMANCE'!L11</f>
        <v>0</v>
      </c>
      <c r="H24" s="465"/>
      <c r="I24" s="454"/>
      <c r="J24" s="504">
        <f>'STR PERFORMANCE'!L12</f>
        <v>0</v>
      </c>
      <c r="K24" s="495"/>
      <c r="L24" s="457"/>
      <c r="M24" s="504" t="e">
        <f>M22*M23</f>
        <v>#VALUE!</v>
      </c>
      <c r="N24" s="497"/>
    </row>
    <row r="25" spans="2:14">
      <c r="B25" s="460"/>
      <c r="C25" s="460"/>
      <c r="D25" s="504"/>
      <c r="E25" s="465"/>
      <c r="F25" s="460"/>
      <c r="G25" s="504"/>
      <c r="H25" s="465"/>
      <c r="I25" s="460"/>
      <c r="J25" s="504"/>
      <c r="K25" s="495"/>
      <c r="L25" s="463"/>
      <c r="M25" s="505"/>
      <c r="N25" s="497"/>
    </row>
    <row r="26" spans="2:14">
      <c r="B26" s="465" t="s">
        <v>27</v>
      </c>
      <c r="C26" s="506"/>
      <c r="D26" s="507"/>
      <c r="E26" s="508"/>
      <c r="F26" s="506"/>
      <c r="G26" s="507">
        <f>'CLEAN P&amp;L'!F6</f>
        <v>0</v>
      </c>
      <c r="H26" s="509">
        <f t="shared" ref="H26:H35" si="0">IFERROR(G26/G$28,0)</f>
        <v>0</v>
      </c>
      <c r="I26" s="506"/>
      <c r="J26" s="507">
        <f>'CLEAN P&amp;L'!H6</f>
        <v>0</v>
      </c>
      <c r="K26" s="509">
        <f t="shared" ref="K26:K35" si="1">IFERROR(J26/J$28,0)</f>
        <v>0</v>
      </c>
      <c r="L26" s="510"/>
      <c r="M26" s="507" t="str">
        <f>'PRO FORMA'!I17</f>
        <v/>
      </c>
      <c r="N26" s="509">
        <f t="shared" ref="N26:N35" si="2">IFERROR(M26/M$28,0)</f>
        <v>0</v>
      </c>
    </row>
    <row r="27" spans="2:14">
      <c r="B27" s="465" t="s">
        <v>371</v>
      </c>
      <c r="C27" s="499"/>
      <c r="D27" s="511"/>
      <c r="E27" s="508"/>
      <c r="F27" s="499"/>
      <c r="G27" s="512">
        <f>+G28-G26</f>
        <v>0</v>
      </c>
      <c r="H27" s="509">
        <f t="shared" si="0"/>
        <v>0</v>
      </c>
      <c r="I27" s="499"/>
      <c r="J27" s="512">
        <f>+J28-J26</f>
        <v>0</v>
      </c>
      <c r="K27" s="509">
        <f t="shared" si="1"/>
        <v>0</v>
      </c>
      <c r="L27" s="502"/>
      <c r="M27" s="512" t="e">
        <f>M28-M26</f>
        <v>#VALUE!</v>
      </c>
      <c r="N27" s="509">
        <f t="shared" si="2"/>
        <v>0</v>
      </c>
    </row>
    <row r="28" spans="2:14">
      <c r="B28" s="445" t="s">
        <v>372</v>
      </c>
      <c r="C28" s="513"/>
      <c r="D28" s="448"/>
      <c r="E28" s="508"/>
      <c r="F28" s="513"/>
      <c r="G28" s="451">
        <f>'CLEAN P&amp;L'!F11</f>
        <v>0</v>
      </c>
      <c r="H28" s="509">
        <f t="shared" si="0"/>
        <v>0</v>
      </c>
      <c r="I28" s="513"/>
      <c r="J28" s="451">
        <f>'CLEAN P&amp;L'!H11</f>
        <v>0</v>
      </c>
      <c r="K28" s="509">
        <f t="shared" si="1"/>
        <v>0</v>
      </c>
      <c r="L28" s="514"/>
      <c r="M28" s="451" t="str">
        <f>'PRO FORMA'!I22</f>
        <v/>
      </c>
      <c r="N28" s="509">
        <f t="shared" si="2"/>
        <v>0</v>
      </c>
    </row>
    <row r="29" spans="2:14">
      <c r="B29" s="437" t="s">
        <v>373</v>
      </c>
      <c r="C29" s="513"/>
      <c r="D29" s="511"/>
      <c r="E29" s="508"/>
      <c r="F29" s="513"/>
      <c r="G29" s="515">
        <f>'CLEAN P&amp;L'!F19+'CLEAN P&amp;L'!F30+'CLEAN P&amp;L'!F38</f>
        <v>0</v>
      </c>
      <c r="H29" s="509">
        <f t="shared" si="0"/>
        <v>0</v>
      </c>
      <c r="I29" s="513"/>
      <c r="J29" s="515">
        <f>'CLEAN P&amp;L'!H19+'CLEAN P&amp;L'!H30+'CLEAN P&amp;L'!H38</f>
        <v>0</v>
      </c>
      <c r="K29" s="509">
        <f t="shared" si="1"/>
        <v>0</v>
      </c>
      <c r="L29" s="514"/>
      <c r="M29" s="515" t="e">
        <f>'PRO FORMA'!I30+'PRO FORMA'!I41+'PRO FORMA'!I49</f>
        <v>#VALUE!</v>
      </c>
      <c r="N29" s="509">
        <f t="shared" si="2"/>
        <v>0</v>
      </c>
    </row>
    <row r="30" spans="2:14">
      <c r="B30" s="445" t="s">
        <v>39</v>
      </c>
      <c r="C30" s="513"/>
      <c r="D30" s="516"/>
      <c r="E30" s="508"/>
      <c r="F30" s="513"/>
      <c r="G30" s="517">
        <f>G28-G29</f>
        <v>0</v>
      </c>
      <c r="H30" s="509">
        <f t="shared" si="0"/>
        <v>0</v>
      </c>
      <c r="I30" s="513"/>
      <c r="J30" s="517">
        <f>J28-J29</f>
        <v>0</v>
      </c>
      <c r="K30" s="509">
        <f t="shared" si="1"/>
        <v>0</v>
      </c>
      <c r="L30" s="514"/>
      <c r="M30" s="517" t="e">
        <f>M28-M29</f>
        <v>#VALUE!</v>
      </c>
      <c r="N30" s="509">
        <f t="shared" si="2"/>
        <v>0</v>
      </c>
    </row>
    <row r="31" spans="2:14">
      <c r="B31" s="437" t="s">
        <v>374</v>
      </c>
      <c r="C31" s="513"/>
      <c r="D31" s="516"/>
      <c r="E31" s="508"/>
      <c r="F31" s="513"/>
      <c r="G31" s="518">
        <f>'CLEAN P&amp;L'!F41+'CLEAN P&amp;L'!F42</f>
        <v>0</v>
      </c>
      <c r="H31" s="509">
        <f t="shared" si="0"/>
        <v>0</v>
      </c>
      <c r="I31" s="513"/>
      <c r="J31" s="518">
        <f>'CLEAN P&amp;L'!H41+'CLEAN P&amp;L'!H42</f>
        <v>0</v>
      </c>
      <c r="K31" s="509">
        <f t="shared" si="1"/>
        <v>0</v>
      </c>
      <c r="L31" s="514"/>
      <c r="M31" s="518" t="e">
        <f>'PRO FORMA'!I52+'PRO FORMA'!I53</f>
        <v>#VALUE!</v>
      </c>
      <c r="N31" s="509">
        <f t="shared" si="2"/>
        <v>0</v>
      </c>
    </row>
    <row r="32" spans="2:14" ht="17" thickBot="1">
      <c r="B32" s="445" t="s">
        <v>375</v>
      </c>
      <c r="C32" s="513"/>
      <c r="D32" s="516"/>
      <c r="E32" s="508"/>
      <c r="F32" s="513"/>
      <c r="G32" s="519">
        <f>G30-G31</f>
        <v>0</v>
      </c>
      <c r="H32" s="509">
        <f t="shared" si="0"/>
        <v>0</v>
      </c>
      <c r="I32" s="513"/>
      <c r="J32" s="519">
        <f>J30-J31</f>
        <v>0</v>
      </c>
      <c r="K32" s="509">
        <f t="shared" si="1"/>
        <v>0</v>
      </c>
      <c r="L32" s="514"/>
      <c r="M32" s="519" t="e">
        <f>M30-M31</f>
        <v>#VALUE!</v>
      </c>
      <c r="N32" s="509">
        <f t="shared" si="2"/>
        <v>0</v>
      </c>
    </row>
    <row r="33" spans="2:14" ht="17" thickTop="1">
      <c r="B33" s="437" t="s">
        <v>376</v>
      </c>
      <c r="C33" s="513"/>
      <c r="D33" s="516"/>
      <c r="E33" s="508"/>
      <c r="F33" s="513"/>
      <c r="G33" s="474"/>
      <c r="H33" s="509">
        <f t="shared" si="0"/>
        <v>0</v>
      </c>
      <c r="I33" s="513"/>
      <c r="J33" s="474"/>
      <c r="K33" s="509">
        <f t="shared" si="1"/>
        <v>0</v>
      </c>
      <c r="L33" s="514"/>
      <c r="M33" s="474"/>
      <c r="N33" s="509">
        <f t="shared" si="2"/>
        <v>0</v>
      </c>
    </row>
    <row r="34" spans="2:14">
      <c r="B34" s="445" t="s">
        <v>377</v>
      </c>
      <c r="C34" s="513"/>
      <c r="D34" s="516"/>
      <c r="E34" s="508"/>
      <c r="F34" s="513"/>
      <c r="G34" s="520">
        <f>G32+G33</f>
        <v>0</v>
      </c>
      <c r="H34" s="509">
        <f t="shared" si="0"/>
        <v>0</v>
      </c>
      <c r="I34" s="513"/>
      <c r="J34" s="520">
        <f>J32+J33</f>
        <v>0</v>
      </c>
      <c r="K34" s="509">
        <f t="shared" si="1"/>
        <v>0</v>
      </c>
      <c r="L34" s="514"/>
      <c r="M34" s="520" t="e">
        <f>M32+M33</f>
        <v>#VALUE!</v>
      </c>
      <c r="N34" s="509">
        <f t="shared" si="2"/>
        <v>0</v>
      </c>
    </row>
    <row r="35" spans="2:14">
      <c r="B35" s="437" t="s">
        <v>378</v>
      </c>
      <c r="C35" s="506"/>
      <c r="D35" s="521"/>
      <c r="E35" s="508"/>
      <c r="F35" s="506"/>
      <c r="G35" s="515" t="e">
        <f>+G15*12</f>
        <v>#VALUE!</v>
      </c>
      <c r="H35" s="509">
        <f t="shared" si="0"/>
        <v>0</v>
      </c>
      <c r="I35" s="506"/>
      <c r="J35" s="515" t="e">
        <f>+J15*12</f>
        <v>#VALUE!</v>
      </c>
      <c r="K35" s="509">
        <f t="shared" si="1"/>
        <v>0</v>
      </c>
      <c r="L35" s="510"/>
      <c r="M35" s="515" t="e">
        <f>+M15*12</f>
        <v>#VALUE!</v>
      </c>
      <c r="N35" s="509">
        <f t="shared" si="2"/>
        <v>0</v>
      </c>
    </row>
    <row r="36" spans="2:14">
      <c r="B36" s="437" t="s">
        <v>379</v>
      </c>
      <c r="C36" s="506"/>
      <c r="D36" s="522"/>
      <c r="E36" s="508"/>
      <c r="F36" s="506"/>
      <c r="G36" s="522">
        <f>IFERROR(G32/G35,0)</f>
        <v>0</v>
      </c>
      <c r="H36" s="509"/>
      <c r="I36" s="506"/>
      <c r="J36" s="522">
        <f>IFERROR(J32/J35,0)</f>
        <v>0</v>
      </c>
      <c r="K36" s="509"/>
      <c r="L36" s="510"/>
      <c r="M36" s="522">
        <f>IFERROR(M32/M35,0)</f>
        <v>0</v>
      </c>
      <c r="N36" s="509"/>
    </row>
    <row r="37" spans="2:14" ht="17" thickBot="1">
      <c r="B37" s="479"/>
      <c r="C37" s="506"/>
      <c r="D37" s="521"/>
      <c r="E37" s="508"/>
      <c r="F37" s="506"/>
      <c r="G37" s="521"/>
      <c r="H37" s="509"/>
      <c r="I37" s="506"/>
      <c r="J37" s="521"/>
      <c r="K37" s="509"/>
      <c r="L37" s="510"/>
      <c r="M37" s="523"/>
      <c r="N37" s="524"/>
    </row>
    <row r="38" spans="2:14" ht="20" thickBot="1">
      <c r="B38" s="596" t="s">
        <v>380</v>
      </c>
      <c r="C38" s="588"/>
      <c r="D38" s="589"/>
      <c r="E38" s="590"/>
      <c r="F38" s="591"/>
      <c r="G38" s="589"/>
      <c r="H38" s="592"/>
      <c r="I38" s="591"/>
      <c r="J38" s="589"/>
      <c r="K38" s="592"/>
      <c r="L38" s="593"/>
      <c r="M38" s="594"/>
      <c r="N38" s="595"/>
    </row>
    <row r="39" spans="2:14">
      <c r="B39" s="445" t="s">
        <v>381</v>
      </c>
      <c r="C39" s="506"/>
      <c r="D39" s="525"/>
      <c r="E39" s="508"/>
      <c r="F39" s="506"/>
      <c r="G39" s="525" t="e">
        <f>+G32-G35</f>
        <v>#VALUE!</v>
      </c>
      <c r="H39" s="509" t="e">
        <f>+G39/G9</f>
        <v>#VALUE!</v>
      </c>
      <c r="I39" s="506"/>
      <c r="J39" s="525" t="e">
        <f>+J32-J35</f>
        <v>#VALUE!</v>
      </c>
      <c r="K39" s="509" t="e">
        <f>+J39/J9</f>
        <v>#VALUE!</v>
      </c>
      <c r="L39" s="510"/>
      <c r="M39" s="525" t="e">
        <f>+M32-M35</f>
        <v>#VALUE!</v>
      </c>
      <c r="N39" s="509" t="e">
        <f>+M39/M9</f>
        <v>#VALUE!</v>
      </c>
    </row>
    <row r="40" spans="2:14">
      <c r="B40" s="437" t="s">
        <v>382</v>
      </c>
      <c r="C40" s="526"/>
      <c r="D40" s="521"/>
      <c r="E40" s="508"/>
      <c r="F40" s="526"/>
      <c r="G40" s="515">
        <f>0</f>
        <v>0</v>
      </c>
      <c r="H40" s="527"/>
      <c r="I40" s="526"/>
      <c r="J40" s="515">
        <f>0</f>
        <v>0</v>
      </c>
      <c r="K40" s="527"/>
      <c r="L40" s="528"/>
      <c r="M40" s="515">
        <f>IFERROR(IF(AND(INPUTS!$C$33&lt;&gt;"",3&gt;=INPUTS!$C$33),SUM(DEBT!Y44:Y55),SUM(DEBT!J44:J55)),0)</f>
        <v>0</v>
      </c>
      <c r="N40" s="527"/>
    </row>
    <row r="41" spans="2:14">
      <c r="B41" s="445" t="s">
        <v>383</v>
      </c>
      <c r="C41" s="529"/>
      <c r="D41" s="525"/>
      <c r="E41" s="508"/>
      <c r="F41" s="529"/>
      <c r="G41" s="525" t="e">
        <f>+G39+G40</f>
        <v>#VALUE!</v>
      </c>
      <c r="H41" s="509" t="e">
        <f>+G41/G9</f>
        <v>#VALUE!</v>
      </c>
      <c r="I41" s="529"/>
      <c r="J41" s="525" t="e">
        <f>+J39+J40</f>
        <v>#VALUE!</v>
      </c>
      <c r="K41" s="509" t="e">
        <f>+J41/J9</f>
        <v>#VALUE!</v>
      </c>
      <c r="L41" s="530"/>
      <c r="M41" s="525" t="e">
        <f>+M39+M40</f>
        <v>#VALUE!</v>
      </c>
      <c r="N41" s="509" t="e">
        <f>+M41/M9</f>
        <v>#VALUE!</v>
      </c>
    </row>
    <row r="42" spans="2:14">
      <c r="B42" s="453"/>
      <c r="C42" s="526"/>
      <c r="D42" s="531"/>
      <c r="E42" s="508"/>
      <c r="F42" s="526"/>
      <c r="G42" s="531"/>
      <c r="H42" s="508"/>
      <c r="I42" s="526"/>
      <c r="J42" s="531"/>
      <c r="K42" s="508"/>
      <c r="L42" s="532"/>
      <c r="M42" s="531"/>
      <c r="N42" s="508"/>
    </row>
    <row r="43" spans="2:14">
      <c r="B43" s="533" t="s">
        <v>384</v>
      </c>
      <c r="C43" s="460"/>
      <c r="D43" s="534"/>
      <c r="E43" s="465"/>
      <c r="F43" s="460"/>
      <c r="G43" s="535" t="e">
        <f>+H39</f>
        <v>#VALUE!</v>
      </c>
      <c r="H43" s="500"/>
      <c r="I43" s="479"/>
      <c r="J43" s="535" t="e">
        <f>+K39</f>
        <v>#VALUE!</v>
      </c>
      <c r="K43" s="500"/>
      <c r="L43" s="536"/>
      <c r="M43" s="535" t="e">
        <f>+N39</f>
        <v>#VALUE!</v>
      </c>
      <c r="N43" s="500"/>
    </row>
    <row r="44" spans="2:14">
      <c r="B44" s="445" t="s">
        <v>385</v>
      </c>
      <c r="C44" s="445"/>
      <c r="D44" s="535"/>
      <c r="E44" s="508"/>
      <c r="F44" s="445"/>
      <c r="G44" s="535">
        <f>IFERROR(G30/G5,0)</f>
        <v>0</v>
      </c>
      <c r="H44" s="500"/>
      <c r="I44" s="439"/>
      <c r="J44" s="535">
        <f>IFERROR(J30/J5,0)</f>
        <v>0</v>
      </c>
      <c r="K44" s="500"/>
      <c r="L44" s="537"/>
      <c r="M44" s="535">
        <f>IFERROR(M30/M5,0)</f>
        <v>0</v>
      </c>
      <c r="N44" s="500"/>
    </row>
    <row r="45" spans="2:14">
      <c r="B45" s="445" t="s">
        <v>21</v>
      </c>
      <c r="C45" s="445"/>
      <c r="D45" s="535"/>
      <c r="E45" s="508"/>
      <c r="F45" s="445"/>
      <c r="G45" s="538">
        <f>IFERROR(G32/G5,0)</f>
        <v>0</v>
      </c>
      <c r="H45" s="500"/>
      <c r="I45" s="439"/>
      <c r="J45" s="535">
        <f>IFERROR(J32/J5,0)</f>
        <v>0</v>
      </c>
      <c r="K45" s="500"/>
      <c r="L45" s="537"/>
      <c r="M45" s="535">
        <f>IFERROR(M32/M5,0)</f>
        <v>0</v>
      </c>
      <c r="N45" s="500"/>
    </row>
    <row r="46" spans="2:14">
      <c r="B46" s="445" t="s">
        <v>386</v>
      </c>
      <c r="C46" s="445"/>
      <c r="D46" s="535"/>
      <c r="E46" s="508"/>
      <c r="F46" s="445"/>
      <c r="G46" s="539">
        <f>IFERROR(G5/G26,0)</f>
        <v>0</v>
      </c>
      <c r="H46" s="500"/>
      <c r="I46" s="439"/>
      <c r="J46" s="539">
        <f>IFERROR(J5/J26,0)</f>
        <v>0</v>
      </c>
      <c r="K46" s="500"/>
      <c r="L46" s="537"/>
      <c r="M46" s="539">
        <f>IFERROR(M5/M26,0)</f>
        <v>0</v>
      </c>
      <c r="N46" s="500"/>
    </row>
    <row r="47" spans="2:14">
      <c r="B47" s="445" t="s">
        <v>387</v>
      </c>
      <c r="C47" s="437"/>
      <c r="D47" s="540"/>
      <c r="E47" s="437"/>
      <c r="F47" s="437"/>
      <c r="G47" s="541">
        <f>IFERROR(G7/G26,0)</f>
        <v>0</v>
      </c>
      <c r="H47" s="542"/>
      <c r="I47" s="453"/>
      <c r="J47" s="541">
        <f>IFERROR(J7/J26,0)</f>
        <v>0</v>
      </c>
      <c r="K47" s="542"/>
      <c r="L47" s="543"/>
      <c r="M47" s="541">
        <f>IFERROR(M7/M26,0)</f>
        <v>0</v>
      </c>
      <c r="N47" s="542"/>
    </row>
    <row r="48" spans="2:14">
      <c r="B48" s="445" t="s">
        <v>388</v>
      </c>
      <c r="C48" s="437"/>
      <c r="D48" s="540"/>
      <c r="E48" s="437"/>
      <c r="F48" s="437"/>
      <c r="G48" s="544" t="e">
        <f>+G5/G19</f>
        <v>#DIV/0!</v>
      </c>
      <c r="H48" s="542"/>
      <c r="I48" s="453"/>
      <c r="J48" s="544" t="e">
        <f>+J5/J19</f>
        <v>#DIV/0!</v>
      </c>
      <c r="K48" s="542"/>
      <c r="L48" s="543"/>
      <c r="M48" s="544" t="e">
        <f>+M5/M19</f>
        <v>#DIV/0!</v>
      </c>
      <c r="N48" s="542"/>
    </row>
    <row r="49" spans="2:14">
      <c r="B49" s="445" t="s">
        <v>389</v>
      </c>
      <c r="C49" s="445"/>
      <c r="D49" s="544"/>
      <c r="E49" s="508"/>
      <c r="F49" s="445"/>
      <c r="G49" s="544" t="e">
        <f>J49</f>
        <v>#DIV/0!</v>
      </c>
      <c r="H49" s="508"/>
      <c r="I49" s="445"/>
      <c r="J49" s="545" t="e">
        <f>+J7/J19</f>
        <v>#DIV/0!</v>
      </c>
      <c r="K49" s="546"/>
      <c r="L49" s="547"/>
      <c r="M49" s="545" t="e">
        <f>+M7/M19</f>
        <v>#DIV/0!</v>
      </c>
      <c r="N49" s="548"/>
    </row>
    <row r="50" spans="2:14">
      <c r="B50" s="549"/>
      <c r="C50" s="549"/>
      <c r="D50" s="549"/>
      <c r="E50" s="549"/>
      <c r="F50" s="549"/>
      <c r="G50" s="549"/>
      <c r="H50" s="549"/>
      <c r="I50" s="549"/>
      <c r="J50" s="549"/>
      <c r="K50" s="549"/>
      <c r="L50" s="550"/>
      <c r="M50" s="550"/>
      <c r="N50" s="551"/>
    </row>
    <row r="51" spans="2:14" ht="20">
      <c r="B51" s="552" t="s">
        <v>390</v>
      </c>
      <c r="C51" s="553"/>
      <c r="D51" s="554"/>
      <c r="E51" s="555"/>
      <c r="F51" s="553"/>
      <c r="G51" s="554"/>
      <c r="H51" s="555"/>
      <c r="I51" s="553"/>
      <c r="J51" s="556"/>
      <c r="K51" s="557"/>
      <c r="L51" s="558"/>
      <c r="M51" s="559"/>
      <c r="N51" s="551"/>
    </row>
    <row r="52" spans="2:14">
      <c r="B52" s="560"/>
      <c r="C52" s="561"/>
      <c r="D52" s="562"/>
      <c r="E52" s="563"/>
      <c r="F52" s="561"/>
      <c r="G52" s="562"/>
      <c r="H52" s="563"/>
      <c r="I52" s="561"/>
      <c r="J52" s="564"/>
      <c r="K52" s="565"/>
      <c r="L52" s="566"/>
      <c r="M52" s="564"/>
      <c r="N52" s="565"/>
    </row>
    <row r="53" spans="2:14">
      <c r="B53" s="560"/>
      <c r="C53" s="567"/>
      <c r="D53" s="567"/>
      <c r="E53" s="560"/>
      <c r="F53" s="567"/>
      <c r="G53" s="567"/>
      <c r="H53" s="560"/>
      <c r="I53" s="567"/>
      <c r="J53" s="568"/>
      <c r="K53" s="569"/>
      <c r="L53" s="568"/>
      <c r="M53" s="568"/>
      <c r="N53" s="569"/>
    </row>
    <row r="54" spans="2:14">
      <c r="B54" s="567"/>
      <c r="C54" s="570"/>
      <c r="D54" s="567"/>
      <c r="E54" s="571"/>
      <c r="F54" s="570"/>
      <c r="G54" s="567"/>
      <c r="H54" s="571"/>
      <c r="I54" s="570"/>
      <c r="J54" s="568"/>
      <c r="K54" s="572"/>
      <c r="L54" s="573"/>
      <c r="M54" s="568"/>
      <c r="N54" s="572"/>
    </row>
    <row r="55" spans="2:14">
      <c r="B55" s="560"/>
      <c r="C55" s="567"/>
      <c r="D55" s="567"/>
      <c r="E55" s="560"/>
      <c r="F55" s="567"/>
      <c r="G55" s="567"/>
      <c r="H55" s="560"/>
      <c r="I55" s="567"/>
      <c r="J55" s="568"/>
      <c r="K55" s="569"/>
      <c r="L55" s="568"/>
      <c r="M55" s="568"/>
      <c r="N55" s="569"/>
    </row>
    <row r="56" spans="2:14">
      <c r="B56" s="560"/>
      <c r="C56" s="567"/>
      <c r="D56" s="567"/>
      <c r="E56" s="560"/>
      <c r="F56" s="567"/>
      <c r="G56" s="567"/>
      <c r="H56" s="560"/>
      <c r="I56" s="567"/>
      <c r="J56" s="568"/>
      <c r="K56" s="569"/>
      <c r="L56" s="566"/>
      <c r="M56" s="574"/>
      <c r="N56" s="575"/>
    </row>
    <row r="57" spans="2:14" ht="17" thickBot="1">
      <c r="B57" s="560"/>
      <c r="C57" s="561"/>
      <c r="D57" s="576"/>
      <c r="E57" s="577"/>
      <c r="F57" s="561"/>
      <c r="G57" s="576"/>
      <c r="H57" s="577"/>
      <c r="I57" s="561"/>
      <c r="J57" s="574"/>
      <c r="K57" s="575"/>
      <c r="L57" s="578"/>
      <c r="M57" s="579"/>
      <c r="N57" s="580"/>
    </row>
  </sheetData>
  <pageMargins left="0.25" right="0.25" top="0.25" bottom="0.25" header="0" footer="0"/>
  <pageSetup paperSize="0" scale="77"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4335-0931-3247-9981-64706CF62D74}">
  <sheetPr>
    <tabColor theme="7" tint="0.59999389629810485"/>
    <pageSetUpPr fitToPage="1"/>
  </sheetPr>
  <dimension ref="A2:BZ80"/>
  <sheetViews>
    <sheetView showGridLines="0" topLeftCell="H42" workbookViewId="0">
      <selection activeCell="P43" sqref="P43:AT77"/>
    </sheetView>
  </sheetViews>
  <sheetFormatPr baseColWidth="10" defaultRowHeight="16"/>
  <cols>
    <col min="1" max="1" width="4" customWidth="1"/>
    <col min="2" max="2" width="21.6640625" customWidth="1"/>
    <col min="3" max="3" width="16" customWidth="1"/>
    <col min="9" max="9" width="14" customWidth="1"/>
    <col min="10" max="10" width="12.5" customWidth="1"/>
    <col min="11" max="11" width="13.83203125" customWidth="1"/>
    <col min="12" max="12" width="12.6640625" customWidth="1"/>
    <col min="13" max="13" width="0.1640625" customWidth="1"/>
    <col min="14" max="14" width="13.83203125" customWidth="1"/>
    <col min="16" max="16" width="20.83203125" customWidth="1"/>
    <col min="17" max="17" width="7" bestFit="1" customWidth="1"/>
    <col min="18" max="18" width="6.6640625" bestFit="1" customWidth="1"/>
    <col min="19" max="20" width="7" bestFit="1" customWidth="1"/>
    <col min="21" max="23" width="6.6640625" bestFit="1" customWidth="1"/>
    <col min="24" max="25" width="6.33203125" bestFit="1" customWidth="1"/>
    <col min="26" max="26" width="6.6640625" bestFit="1" customWidth="1"/>
    <col min="27" max="30" width="7" bestFit="1" customWidth="1"/>
    <col min="31" max="31" width="6.6640625" bestFit="1" customWidth="1"/>
    <col min="32" max="32" width="7" bestFit="1" customWidth="1"/>
    <col min="33" max="34" width="6.6640625" bestFit="1" customWidth="1"/>
    <col min="35" max="35" width="3.5" customWidth="1"/>
    <col min="36" max="38" width="7.6640625" bestFit="1" customWidth="1"/>
    <col min="39" max="39" width="3" customWidth="1"/>
    <col min="40" max="42" width="7.6640625" bestFit="1" customWidth="1"/>
    <col min="43" max="43" width="3" customWidth="1"/>
    <col min="44" max="46" width="7.6640625" bestFit="1" customWidth="1"/>
    <col min="49" max="55" width="10.83203125" customWidth="1"/>
    <col min="56" max="56" width="18.5" customWidth="1"/>
    <col min="58" max="58" width="15.33203125" customWidth="1"/>
    <col min="59" max="59" width="14" customWidth="1"/>
    <col min="60" max="60" width="12.6640625" bestFit="1" customWidth="1"/>
    <col min="64" max="64" width="11.1640625" customWidth="1"/>
    <col min="65" max="66" width="10.83203125" customWidth="1"/>
    <col min="67" max="67" width="12.1640625" customWidth="1"/>
    <col min="68" max="71" width="10.83203125" customWidth="1"/>
  </cols>
  <sheetData>
    <row r="2" spans="1:78" s="415" customFormat="1" ht="28" customHeight="1" thickBot="1">
      <c r="B2" s="415" t="s">
        <v>69</v>
      </c>
      <c r="AV2" s="664"/>
      <c r="AW2" s="664"/>
      <c r="AX2" s="664"/>
      <c r="AY2" s="664"/>
      <c r="AZ2" s="664"/>
      <c r="BA2" s="664"/>
      <c r="BB2" s="664"/>
      <c r="BC2" s="664"/>
      <c r="BD2" s="664"/>
      <c r="BE2" s="664"/>
      <c r="BF2" s="664"/>
      <c r="BG2" s="664"/>
      <c r="BH2" s="664"/>
      <c r="BI2" s="664"/>
      <c r="BJ2" s="664"/>
      <c r="BK2" s="664"/>
      <c r="BL2" s="664" t="s">
        <v>70</v>
      </c>
      <c r="BM2" s="664"/>
      <c r="BN2" s="664"/>
      <c r="BO2" s="664"/>
      <c r="BP2" s="664" t="s">
        <v>335</v>
      </c>
      <c r="BQ2" s="664"/>
      <c r="BR2" s="664"/>
      <c r="BS2" s="664"/>
      <c r="BT2" s="664"/>
      <c r="BU2" s="664"/>
      <c r="BV2" s="664"/>
      <c r="BW2" s="664"/>
      <c r="BX2" s="664"/>
      <c r="BY2" s="664"/>
      <c r="BZ2" s="664"/>
    </row>
    <row r="3" spans="1:78" ht="17" thickBot="1">
      <c r="BL3" s="408" t="s">
        <v>357</v>
      </c>
      <c r="BM3" s="408" t="s">
        <v>336</v>
      </c>
      <c r="BN3" s="408" t="s">
        <v>358</v>
      </c>
      <c r="BO3" s="408" t="s">
        <v>337</v>
      </c>
      <c r="BP3" s="408" t="s">
        <v>357</v>
      </c>
      <c r="BQ3" s="408" t="s">
        <v>336</v>
      </c>
      <c r="BR3" s="408" t="s">
        <v>358</v>
      </c>
      <c r="BS3" s="408" t="s">
        <v>337</v>
      </c>
    </row>
    <row r="4" spans="1:78" ht="20" thickBot="1">
      <c r="B4" s="196" t="s">
        <v>320</v>
      </c>
      <c r="C4" s="197"/>
      <c r="D4" s="198"/>
      <c r="P4" s="196" t="s">
        <v>329</v>
      </c>
      <c r="Q4" s="197"/>
      <c r="R4" s="197"/>
      <c r="S4" s="197"/>
      <c r="T4" s="197"/>
      <c r="U4" s="197"/>
      <c r="V4" s="197"/>
      <c r="W4" s="197"/>
      <c r="X4" s="197"/>
      <c r="Y4" s="197"/>
      <c r="Z4" s="197"/>
      <c r="AA4" s="197"/>
      <c r="AB4" s="198"/>
      <c r="AW4" s="16"/>
      <c r="AX4" s="16"/>
      <c r="AY4" s="16"/>
      <c r="AZ4" s="16"/>
      <c r="BA4" s="16"/>
      <c r="BB4" s="16"/>
      <c r="BC4" s="16"/>
      <c r="BD4" s="16"/>
      <c r="BE4" s="16"/>
      <c r="BF4" s="16" t="s">
        <v>334</v>
      </c>
      <c r="BG4" s="16" t="s">
        <v>336</v>
      </c>
      <c r="BH4" s="16"/>
      <c r="BI4" s="16"/>
      <c r="BJ4" s="16"/>
      <c r="BK4" s="16"/>
      <c r="BL4" s="408">
        <f>BF8</f>
        <v>0</v>
      </c>
      <c r="BM4" s="409">
        <f>AR8</f>
        <v>0</v>
      </c>
      <c r="BN4" s="406">
        <f>AR20</f>
        <v>0</v>
      </c>
      <c r="BO4" s="409">
        <f>AR32</f>
        <v>0</v>
      </c>
      <c r="BP4" s="406">
        <f t="shared" ref="BP4:BP5" si="0">BL4</f>
        <v>0</v>
      </c>
      <c r="BQ4" s="409">
        <f>AR9</f>
        <v>0</v>
      </c>
      <c r="BR4" s="406">
        <f>AR21</f>
        <v>0</v>
      </c>
      <c r="BS4" s="409">
        <f>AR33</f>
        <v>0</v>
      </c>
    </row>
    <row r="5" spans="1:78">
      <c r="P5" s="1176" t="s">
        <v>330</v>
      </c>
      <c r="Q5" s="1177"/>
      <c r="AW5" s="16"/>
      <c r="AX5" s="16"/>
      <c r="AY5" s="16"/>
      <c r="AZ5" s="16"/>
      <c r="BA5" s="16"/>
      <c r="BB5" s="16"/>
      <c r="BC5" s="16"/>
      <c r="BD5" s="16"/>
      <c r="BE5" s="16"/>
      <c r="BF5" s="16" t="s">
        <v>67</v>
      </c>
      <c r="BG5" s="16" t="s">
        <v>70</v>
      </c>
      <c r="BH5" s="16" t="s">
        <v>335</v>
      </c>
      <c r="BI5" s="16"/>
      <c r="BJ5" s="16"/>
      <c r="BK5" s="16"/>
      <c r="BL5" s="408">
        <f>BF14</f>
        <v>0</v>
      </c>
      <c r="BM5" s="409">
        <f>AS8</f>
        <v>0</v>
      </c>
      <c r="BN5" s="409">
        <f>AS20</f>
        <v>0</v>
      </c>
      <c r="BO5" s="409">
        <f>AS32</f>
        <v>0</v>
      </c>
      <c r="BP5" s="406">
        <f t="shared" si="0"/>
        <v>0</v>
      </c>
      <c r="BQ5" s="409">
        <f>AS9</f>
        <v>0</v>
      </c>
      <c r="BR5" s="409">
        <f>AS21</f>
        <v>0</v>
      </c>
      <c r="BS5" s="409">
        <f>AS33</f>
        <v>0</v>
      </c>
    </row>
    <row r="6" spans="1:78">
      <c r="B6" s="280" t="s">
        <v>321</v>
      </c>
      <c r="C6" s="281" t="s">
        <v>254</v>
      </c>
      <c r="D6" s="282" t="s">
        <v>322</v>
      </c>
      <c r="E6" s="283" t="s">
        <v>323</v>
      </c>
      <c r="F6" s="283" t="s">
        <v>324</v>
      </c>
      <c r="G6" s="283" t="s">
        <v>52</v>
      </c>
      <c r="H6" s="283"/>
      <c r="I6" s="283"/>
      <c r="J6" s="283"/>
      <c r="K6" s="1170" t="s">
        <v>325</v>
      </c>
      <c r="L6" s="1170"/>
      <c r="M6" s="1170"/>
      <c r="N6" s="1171"/>
      <c r="P6" s="1150"/>
      <c r="Q6" s="1178"/>
      <c r="R6" s="1160"/>
      <c r="S6" s="1160"/>
      <c r="T6" s="1160"/>
      <c r="U6" s="1160"/>
      <c r="V6" s="1161"/>
      <c r="W6" s="1159"/>
      <c r="X6" s="1160"/>
      <c r="Y6" s="1160"/>
      <c r="Z6" s="1160"/>
      <c r="AA6" s="1160"/>
      <c r="AB6" s="1160"/>
      <c r="AC6" s="1160"/>
      <c r="AD6" s="1160"/>
      <c r="AE6" s="1160"/>
      <c r="AF6" s="1160"/>
      <c r="AG6" s="1160"/>
      <c r="AH6" s="1161"/>
      <c r="AI6" s="349"/>
      <c r="AJ6" s="1162"/>
      <c r="AK6" s="1163"/>
      <c r="AL6" s="1164"/>
      <c r="AM6" s="349"/>
      <c r="AN6" s="1162"/>
      <c r="AO6" s="1163"/>
      <c r="AP6" s="1164"/>
      <c r="AQ6" s="349"/>
      <c r="AR6" s="1162"/>
      <c r="AS6" s="1163"/>
      <c r="AT6" s="1165"/>
      <c r="AW6" s="16"/>
      <c r="AX6" s="16" t="s">
        <v>360</v>
      </c>
      <c r="AY6" s="16" t="s">
        <v>361</v>
      </c>
      <c r="AZ6" s="16" t="s">
        <v>360</v>
      </c>
      <c r="BA6" s="16" t="s">
        <v>361</v>
      </c>
      <c r="BB6" s="16" t="s">
        <v>360</v>
      </c>
      <c r="BC6" s="16" t="s">
        <v>361</v>
      </c>
      <c r="BD6" s="16"/>
      <c r="BE6" s="16"/>
      <c r="BF6" s="406">
        <f>$AT$44</f>
        <v>0</v>
      </c>
      <c r="BG6" s="407">
        <f>$AT$45/100</f>
        <v>0</v>
      </c>
      <c r="BH6" s="407">
        <f>$AT$46/100</f>
        <v>0</v>
      </c>
      <c r="BI6" s="16"/>
      <c r="BJ6" s="406"/>
      <c r="BK6" s="408"/>
      <c r="BL6" s="406">
        <f>BF13</f>
        <v>0</v>
      </c>
      <c r="BM6" s="409">
        <f>AT8</f>
        <v>0</v>
      </c>
      <c r="BN6" s="409">
        <f>AT20</f>
        <v>0</v>
      </c>
      <c r="BO6" s="409">
        <f>AT32</f>
        <v>0</v>
      </c>
      <c r="BP6" s="406">
        <f>BL6</f>
        <v>0</v>
      </c>
      <c r="BQ6" s="409">
        <f>AT9</f>
        <v>0</v>
      </c>
      <c r="BR6" s="409">
        <f>AT21</f>
        <v>0</v>
      </c>
      <c r="BS6" s="409">
        <f>AT33</f>
        <v>0</v>
      </c>
    </row>
    <row r="7" spans="1:78">
      <c r="A7" s="300" t="s">
        <v>326</v>
      </c>
      <c r="B7" s="284"/>
      <c r="C7" s="284"/>
      <c r="D7" s="284"/>
      <c r="E7" s="284"/>
      <c r="F7" s="284"/>
      <c r="G7" s="1175"/>
      <c r="H7" s="1175"/>
      <c r="I7" s="1175"/>
      <c r="J7" s="1175"/>
      <c r="K7" s="1172"/>
      <c r="L7" s="1173"/>
      <c r="M7" s="1173"/>
      <c r="N7" s="1174"/>
      <c r="P7" s="1136"/>
      <c r="Q7" s="327"/>
      <c r="R7" s="328"/>
      <c r="S7" s="328"/>
      <c r="T7" s="328"/>
      <c r="U7" s="328"/>
      <c r="V7" s="329"/>
      <c r="W7" s="328"/>
      <c r="X7" s="328"/>
      <c r="Y7" s="328"/>
      <c r="Z7" s="328"/>
      <c r="AA7" s="328"/>
      <c r="AB7" s="328"/>
      <c r="AC7" s="328"/>
      <c r="AD7" s="328"/>
      <c r="AE7" s="328"/>
      <c r="AF7" s="328"/>
      <c r="AG7" s="328"/>
      <c r="AH7" s="329"/>
      <c r="AI7" s="330"/>
      <c r="AJ7" s="327"/>
      <c r="AK7" s="328"/>
      <c r="AL7" s="339"/>
      <c r="AM7" s="330"/>
      <c r="AN7" s="327"/>
      <c r="AO7" s="328"/>
      <c r="AP7" s="339"/>
      <c r="AQ7" s="330"/>
      <c r="AR7" s="327"/>
      <c r="AS7" s="328"/>
      <c r="AT7" s="350"/>
      <c r="AW7" s="679">
        <f>'STR PERFORMANCE'!B25</f>
        <v>-2</v>
      </c>
      <c r="AX7" s="679">
        <f>AR50</f>
        <v>0</v>
      </c>
      <c r="AY7" s="679">
        <f>AR51</f>
        <v>0</v>
      </c>
      <c r="AZ7" s="679">
        <f>AR62</f>
        <v>0</v>
      </c>
      <c r="BA7" s="679">
        <f>AR63</f>
        <v>0</v>
      </c>
      <c r="BB7" s="679">
        <f>AR74</f>
        <v>0</v>
      </c>
      <c r="BC7" s="679">
        <f>AR75</f>
        <v>0</v>
      </c>
      <c r="BD7" s="16"/>
      <c r="BE7" s="16"/>
      <c r="BF7" s="408">
        <f>AS44</f>
        <v>0</v>
      </c>
      <c r="BG7" s="407">
        <f>AS45/100</f>
        <v>0</v>
      </c>
      <c r="BH7" s="407">
        <f>AS46/100</f>
        <v>0</v>
      </c>
      <c r="BI7" s="16"/>
      <c r="BJ7" s="407"/>
      <c r="BK7" s="407"/>
      <c r="BL7" s="407" t="s">
        <v>359</v>
      </c>
      <c r="BM7" s="407" t="s">
        <v>336</v>
      </c>
      <c r="BN7" s="408" t="s">
        <v>85</v>
      </c>
      <c r="BO7" s="407" t="s">
        <v>337</v>
      </c>
      <c r="BP7" s="407" t="s">
        <v>359</v>
      </c>
      <c r="BQ7" s="407" t="s">
        <v>336</v>
      </c>
      <c r="BR7" s="408" t="s">
        <v>85</v>
      </c>
      <c r="BS7" s="407" t="s">
        <v>337</v>
      </c>
    </row>
    <row r="8" spans="1:78">
      <c r="A8" s="300">
        <v>1</v>
      </c>
      <c r="B8" s="285"/>
      <c r="C8" s="285"/>
      <c r="D8" s="285"/>
      <c r="E8" s="285"/>
      <c r="F8" s="285"/>
      <c r="G8" s="1166"/>
      <c r="H8" s="1166"/>
      <c r="I8" s="1166"/>
      <c r="J8" s="1166"/>
      <c r="K8" s="1167"/>
      <c r="L8" s="1168"/>
      <c r="M8" s="1168"/>
      <c r="N8" s="1169"/>
      <c r="O8" s="16"/>
      <c r="P8" s="351"/>
      <c r="Q8" s="308"/>
      <c r="R8" s="309"/>
      <c r="S8" s="309"/>
      <c r="T8" s="309"/>
      <c r="U8" s="309"/>
      <c r="V8" s="310"/>
      <c r="W8" s="309"/>
      <c r="X8" s="309"/>
      <c r="Y8" s="309"/>
      <c r="Z8" s="309"/>
      <c r="AA8" s="309"/>
      <c r="AB8" s="309"/>
      <c r="AC8" s="309"/>
      <c r="AD8" s="309"/>
      <c r="AE8" s="309"/>
      <c r="AF8" s="309"/>
      <c r="AG8" s="309"/>
      <c r="AH8" s="310"/>
      <c r="AI8" s="311"/>
      <c r="AJ8" s="308"/>
      <c r="AK8" s="309"/>
      <c r="AL8" s="312"/>
      <c r="AM8" s="311"/>
      <c r="AN8" s="308"/>
      <c r="AO8" s="309"/>
      <c r="AP8" s="312"/>
      <c r="AQ8" s="311"/>
      <c r="AR8" s="308"/>
      <c r="AS8" s="309"/>
      <c r="AT8" s="352"/>
      <c r="AW8" s="679">
        <f>'STR PERFORMANCE'!B26</f>
        <v>-1</v>
      </c>
      <c r="AX8" s="679">
        <f>AS50</f>
        <v>0</v>
      </c>
      <c r="AY8" s="679">
        <f>AS51</f>
        <v>0</v>
      </c>
      <c r="AZ8" s="679">
        <f>AS62</f>
        <v>0</v>
      </c>
      <c r="BA8" s="679">
        <f>AS63</f>
        <v>0</v>
      </c>
      <c r="BB8" s="679">
        <f>AS74</f>
        <v>0</v>
      </c>
      <c r="BC8" s="679">
        <f>AS75</f>
        <v>0</v>
      </c>
      <c r="BD8" s="16"/>
      <c r="BE8" s="16"/>
      <c r="BF8" s="408">
        <f>AR44</f>
        <v>0</v>
      </c>
      <c r="BG8" s="407">
        <f>AR45/100</f>
        <v>0</v>
      </c>
      <c r="BH8" s="407">
        <f>AR46/100</f>
        <v>0</v>
      </c>
      <c r="BI8" s="16"/>
      <c r="BJ8" s="407"/>
      <c r="BK8" s="407"/>
      <c r="BL8" s="408">
        <f>BL4</f>
        <v>0</v>
      </c>
      <c r="BM8" s="409">
        <f>AJ8</f>
        <v>0</v>
      </c>
      <c r="BN8" s="406">
        <f>AN20</f>
        <v>0</v>
      </c>
      <c r="BO8" s="409">
        <f>AJ32</f>
        <v>0</v>
      </c>
      <c r="BP8" s="406">
        <f>BP4</f>
        <v>0</v>
      </c>
      <c r="BQ8" s="679">
        <f>AJ9</f>
        <v>0</v>
      </c>
      <c r="BR8" s="679">
        <f>AJ21</f>
        <v>0</v>
      </c>
      <c r="BS8" s="679">
        <f>AJ33</f>
        <v>0</v>
      </c>
    </row>
    <row r="9" spans="1:78">
      <c r="A9" s="300">
        <v>2</v>
      </c>
      <c r="B9" s="284"/>
      <c r="C9" s="284"/>
      <c r="D9" s="284"/>
      <c r="E9" s="284"/>
      <c r="F9" s="284"/>
      <c r="G9" s="1175"/>
      <c r="H9" s="1175"/>
      <c r="I9" s="1175"/>
      <c r="J9" s="1175"/>
      <c r="K9" s="1172"/>
      <c r="L9" s="1173"/>
      <c r="M9" s="1173"/>
      <c r="N9" s="1174"/>
      <c r="O9" s="16"/>
      <c r="P9" s="353"/>
      <c r="Q9" s="313"/>
      <c r="R9" s="354"/>
      <c r="S9" s="354"/>
      <c r="T9" s="354"/>
      <c r="U9" s="354"/>
      <c r="V9" s="314"/>
      <c r="W9" s="354"/>
      <c r="X9" s="354"/>
      <c r="Y9" s="354"/>
      <c r="Z9" s="354"/>
      <c r="AA9" s="354"/>
      <c r="AB9" s="354"/>
      <c r="AC9" s="354"/>
      <c r="AD9" s="354"/>
      <c r="AE9" s="354"/>
      <c r="AF9" s="354"/>
      <c r="AG9" s="354"/>
      <c r="AH9" s="314"/>
      <c r="AI9" s="311"/>
      <c r="AJ9" s="313"/>
      <c r="AK9" s="354"/>
      <c r="AL9" s="315"/>
      <c r="AM9" s="311"/>
      <c r="AN9" s="313"/>
      <c r="AO9" s="354"/>
      <c r="AP9" s="315"/>
      <c r="AQ9" s="311"/>
      <c r="AR9" s="313"/>
      <c r="AS9" s="354"/>
      <c r="AT9" s="355"/>
      <c r="AW9" s="679">
        <f>'STR PERFORMANCE'!B27</f>
        <v>0</v>
      </c>
      <c r="AX9" s="679">
        <f>AT50</f>
        <v>0</v>
      </c>
      <c r="AY9" s="679">
        <f>AT51</f>
        <v>0</v>
      </c>
      <c r="AZ9" s="679">
        <f>AT62</f>
        <v>0</v>
      </c>
      <c r="BA9" s="679">
        <f>AT63</f>
        <v>0</v>
      </c>
      <c r="BB9" s="679">
        <f>AT74</f>
        <v>0</v>
      </c>
      <c r="BC9" s="679">
        <f>AT75</f>
        <v>0</v>
      </c>
      <c r="BD9" s="16"/>
      <c r="BE9" s="16"/>
      <c r="BF9" s="408">
        <f>BF8-1</f>
        <v>-1</v>
      </c>
      <c r="BG9" s="407">
        <f>($AR$45/(1+($AR$50/100)))/100</f>
        <v>0</v>
      </c>
      <c r="BH9" s="407">
        <f>($AR$46/(1+($AR$51/100))/100)</f>
        <v>0</v>
      </c>
      <c r="BI9" s="16"/>
      <c r="BJ9" s="16"/>
      <c r="BK9" s="16"/>
      <c r="BL9" s="408">
        <f t="shared" ref="BL9:BL10" si="1">BL5</f>
        <v>0</v>
      </c>
      <c r="BM9" s="409">
        <f>AK8</f>
        <v>0</v>
      </c>
      <c r="BN9" s="409">
        <f>AK20</f>
        <v>0</v>
      </c>
      <c r="BO9" s="409">
        <f>AK32</f>
        <v>0</v>
      </c>
      <c r="BP9" s="406">
        <f t="shared" ref="BP9:BP10" si="2">BP5</f>
        <v>0</v>
      </c>
      <c r="BQ9" s="679">
        <f>AK9</f>
        <v>0</v>
      </c>
      <c r="BR9" s="679">
        <f>AK21</f>
        <v>0</v>
      </c>
      <c r="BS9" s="679">
        <f>AK33</f>
        <v>0</v>
      </c>
    </row>
    <row r="10" spans="1:78">
      <c r="A10" s="300">
        <v>3</v>
      </c>
      <c r="B10" s="285"/>
      <c r="C10" s="285"/>
      <c r="D10" s="285"/>
      <c r="E10" s="285"/>
      <c r="F10" s="285"/>
      <c r="G10" s="1166"/>
      <c r="H10" s="1166"/>
      <c r="I10" s="1166"/>
      <c r="J10" s="1166"/>
      <c r="K10" s="1167"/>
      <c r="L10" s="1168"/>
      <c r="M10" s="1168"/>
      <c r="N10" s="1169"/>
      <c r="O10" s="16"/>
      <c r="P10" s="356"/>
      <c r="Q10" s="316"/>
      <c r="R10" s="357"/>
      <c r="S10" s="357"/>
      <c r="T10" s="357"/>
      <c r="U10" s="357"/>
      <c r="V10" s="317"/>
      <c r="W10" s="357"/>
      <c r="X10" s="357"/>
      <c r="Y10" s="357"/>
      <c r="Z10" s="357"/>
      <c r="AA10" s="357"/>
      <c r="AB10" s="357"/>
      <c r="AC10" s="357"/>
      <c r="AD10" s="357"/>
      <c r="AE10" s="357"/>
      <c r="AF10" s="357"/>
      <c r="AG10" s="357"/>
      <c r="AH10" s="317"/>
      <c r="AI10" s="311"/>
      <c r="AJ10" s="316"/>
      <c r="AK10" s="357"/>
      <c r="AL10" s="318"/>
      <c r="AM10" s="311"/>
      <c r="AN10" s="316"/>
      <c r="AO10" s="357"/>
      <c r="AP10" s="318"/>
      <c r="AQ10" s="311"/>
      <c r="AR10" s="316"/>
      <c r="AS10" s="357"/>
      <c r="AT10" s="358"/>
      <c r="AW10" s="679" t="str">
        <f>'STR PERFORMANCE'!B28</f>
        <v xml:space="preserve">TTM  </v>
      </c>
      <c r="AX10" s="679">
        <f>AR13</f>
        <v>0</v>
      </c>
      <c r="AY10" s="679">
        <f>AR14</f>
        <v>0</v>
      </c>
      <c r="AZ10" s="679">
        <f>AR25</f>
        <v>0</v>
      </c>
      <c r="BA10" s="679">
        <f>AR26</f>
        <v>0</v>
      </c>
      <c r="BB10" s="679">
        <f>AR37</f>
        <v>0</v>
      </c>
      <c r="BC10" s="679">
        <f>AR38</f>
        <v>0</v>
      </c>
      <c r="BD10" s="16"/>
      <c r="BE10" s="16"/>
      <c r="BF10" s="16"/>
      <c r="BG10" s="16"/>
      <c r="BH10" s="16"/>
      <c r="BI10" s="16"/>
      <c r="BJ10" s="16"/>
      <c r="BK10" s="16"/>
      <c r="BL10" s="406">
        <f t="shared" si="1"/>
        <v>0</v>
      </c>
      <c r="BM10" s="409">
        <f>AL8</f>
        <v>0</v>
      </c>
      <c r="BN10" s="409">
        <f>AL20</f>
        <v>0</v>
      </c>
      <c r="BO10" s="409">
        <f>AL32</f>
        <v>0</v>
      </c>
      <c r="BP10" s="406">
        <f t="shared" si="2"/>
        <v>0</v>
      </c>
      <c r="BQ10" s="679">
        <f>AL9</f>
        <v>0</v>
      </c>
      <c r="BR10" s="679">
        <f>AL21</f>
        <v>0</v>
      </c>
      <c r="BS10" s="679">
        <f>AL33</f>
        <v>0</v>
      </c>
    </row>
    <row r="11" spans="1:78">
      <c r="A11" s="300">
        <v>4</v>
      </c>
      <c r="B11" s="284"/>
      <c r="C11" s="284"/>
      <c r="D11" s="284"/>
      <c r="E11" s="284"/>
      <c r="F11" s="284"/>
      <c r="G11" s="1175"/>
      <c r="H11" s="1175"/>
      <c r="I11" s="1175"/>
      <c r="J11" s="1175"/>
      <c r="K11" s="1172"/>
      <c r="L11" s="1173"/>
      <c r="M11" s="1173"/>
      <c r="N11" s="1174"/>
      <c r="O11" s="16"/>
      <c r="P11" s="359"/>
      <c r="Q11" s="319"/>
      <c r="R11" s="320"/>
      <c r="S11" s="320"/>
      <c r="T11" s="320"/>
      <c r="U11" s="320"/>
      <c r="V11" s="321"/>
      <c r="W11" s="320"/>
      <c r="X11" s="320"/>
      <c r="Y11" s="320"/>
      <c r="Z11" s="320"/>
      <c r="AA11" s="320"/>
      <c r="AB11" s="320"/>
      <c r="AC11" s="320"/>
      <c r="AD11" s="320"/>
      <c r="AE11" s="320"/>
      <c r="AF11" s="320"/>
      <c r="AG11" s="320"/>
      <c r="AH11" s="321"/>
      <c r="AI11" s="311"/>
      <c r="AJ11" s="319"/>
      <c r="AK11" s="320"/>
      <c r="AL11" s="322"/>
      <c r="AM11" s="311"/>
      <c r="AN11" s="319"/>
      <c r="AO11" s="320"/>
      <c r="AP11" s="322"/>
      <c r="AQ11" s="311"/>
      <c r="AR11" s="319"/>
      <c r="AS11" s="320"/>
      <c r="AT11" s="360"/>
      <c r="AW11" s="679" t="str">
        <f>'STR PERFORMANCE'!B29</f>
        <v xml:space="preserve">TTM  </v>
      </c>
      <c r="AX11" s="679">
        <f>AS13</f>
        <v>0</v>
      </c>
      <c r="AY11" s="679">
        <f>AS14</f>
        <v>0</v>
      </c>
      <c r="AZ11" s="679">
        <f>AS25</f>
        <v>0</v>
      </c>
      <c r="BA11" s="679">
        <f>AS26</f>
        <v>0</v>
      </c>
      <c r="BB11" s="679">
        <f>AS37</f>
        <v>0</v>
      </c>
      <c r="BC11" s="679">
        <f>AS38</f>
        <v>0</v>
      </c>
      <c r="BD11" s="16"/>
      <c r="BE11" s="16"/>
      <c r="BF11" s="16" t="s">
        <v>334</v>
      </c>
      <c r="BG11" s="16" t="s">
        <v>85</v>
      </c>
      <c r="BH11" s="16"/>
      <c r="BI11" s="16"/>
      <c r="BJ11" s="16"/>
      <c r="BK11" s="16"/>
      <c r="BL11" s="408"/>
      <c r="BM11" s="408"/>
      <c r="BN11" s="408"/>
      <c r="BO11" s="408"/>
      <c r="BP11" s="16"/>
      <c r="BQ11" s="16"/>
      <c r="BR11" s="16"/>
      <c r="BS11" s="16"/>
    </row>
    <row r="12" spans="1:78" ht="18">
      <c r="A12" s="300">
        <v>5</v>
      </c>
      <c r="B12" s="285"/>
      <c r="C12" s="285"/>
      <c r="D12" s="285"/>
      <c r="E12" s="285"/>
      <c r="F12" s="285"/>
      <c r="G12" s="1166"/>
      <c r="H12" s="1166"/>
      <c r="I12" s="1166"/>
      <c r="J12" s="1166"/>
      <c r="K12" s="1167"/>
      <c r="L12" s="1168"/>
      <c r="M12" s="1168"/>
      <c r="N12" s="1169"/>
      <c r="O12" s="16"/>
      <c r="P12" s="361"/>
      <c r="Q12" s="323"/>
      <c r="R12" s="323"/>
      <c r="S12" s="323"/>
      <c r="T12" s="323"/>
      <c r="U12" s="323"/>
      <c r="V12" s="323"/>
      <c r="W12" s="323"/>
      <c r="X12" s="323"/>
      <c r="Y12" s="323"/>
      <c r="Z12" s="323"/>
      <c r="AA12" s="323"/>
      <c r="AB12" s="323"/>
      <c r="AC12" s="323"/>
      <c r="AD12" s="323"/>
      <c r="AE12" s="323"/>
      <c r="AF12" s="324"/>
      <c r="AG12" s="324"/>
      <c r="AH12" s="324"/>
      <c r="AI12" s="325"/>
      <c r="AJ12" s="324"/>
      <c r="AK12" s="324"/>
      <c r="AL12" s="324"/>
      <c r="AM12" s="325"/>
      <c r="AN12" s="324"/>
      <c r="AO12" s="324"/>
      <c r="AP12" s="324"/>
      <c r="AQ12" s="325"/>
      <c r="AR12" s="324"/>
      <c r="AS12" s="324"/>
      <c r="AT12" s="362"/>
      <c r="AW12" s="679" t="str">
        <f>'STR PERFORMANCE'!B30</f>
        <v xml:space="preserve">TTM  </v>
      </c>
      <c r="AX12" s="679">
        <f>AT13</f>
        <v>0</v>
      </c>
      <c r="AY12" s="679">
        <f>AT14</f>
        <v>0</v>
      </c>
      <c r="AZ12" s="679">
        <f>AT25</f>
        <v>0</v>
      </c>
      <c r="BA12" s="679">
        <f>AT26</f>
        <v>0</v>
      </c>
      <c r="BB12" s="679">
        <f>AT37</f>
        <v>0</v>
      </c>
      <c r="BC12" s="679">
        <f>AT38</f>
        <v>0</v>
      </c>
      <c r="BD12" s="16"/>
      <c r="BE12" s="16"/>
      <c r="BF12" s="16" t="s">
        <v>67</v>
      </c>
      <c r="BG12" s="16" t="s">
        <v>70</v>
      </c>
      <c r="BH12" s="16" t="s">
        <v>335</v>
      </c>
      <c r="BI12" s="16"/>
      <c r="BJ12" s="16"/>
      <c r="BK12" s="16"/>
      <c r="BL12" s="408"/>
      <c r="BM12" s="408"/>
      <c r="BN12" s="408"/>
      <c r="BO12" s="408"/>
      <c r="BP12" s="16"/>
      <c r="BQ12" s="16"/>
      <c r="BR12" s="16"/>
      <c r="BS12" s="16"/>
    </row>
    <row r="13" spans="1:78">
      <c r="A13" s="300">
        <v>6</v>
      </c>
      <c r="B13" s="286"/>
      <c r="C13" s="287"/>
      <c r="D13" s="287"/>
      <c r="E13" s="288"/>
      <c r="F13" s="288"/>
      <c r="G13" s="289"/>
      <c r="H13" s="289"/>
      <c r="I13" s="289"/>
      <c r="J13" s="289"/>
      <c r="K13" s="1172"/>
      <c r="L13" s="1173"/>
      <c r="M13" s="1173"/>
      <c r="N13" s="1174"/>
      <c r="O13" s="16"/>
      <c r="P13" s="363"/>
      <c r="Q13" s="308"/>
      <c r="R13" s="309"/>
      <c r="S13" s="309"/>
      <c r="T13" s="309"/>
      <c r="U13" s="309"/>
      <c r="V13" s="310"/>
      <c r="W13" s="309"/>
      <c r="X13" s="309"/>
      <c r="Y13" s="309"/>
      <c r="Z13" s="309"/>
      <c r="AA13" s="309"/>
      <c r="AB13" s="309"/>
      <c r="AC13" s="309"/>
      <c r="AD13" s="309"/>
      <c r="AE13" s="309"/>
      <c r="AF13" s="309"/>
      <c r="AG13" s="309"/>
      <c r="AH13" s="310"/>
      <c r="AI13" s="311"/>
      <c r="AJ13" s="308"/>
      <c r="AK13" s="309"/>
      <c r="AL13" s="312"/>
      <c r="AM13" s="311"/>
      <c r="AN13" s="308"/>
      <c r="AO13" s="309"/>
      <c r="AP13" s="312"/>
      <c r="AQ13" s="311"/>
      <c r="AR13" s="308"/>
      <c r="AS13" s="309"/>
      <c r="AT13" s="352"/>
      <c r="AW13" s="679" t="str">
        <f>'STR PERFORMANCE'!B31</f>
        <v xml:space="preserve">YTD  </v>
      </c>
      <c r="AX13" s="679">
        <f>AJ13</f>
        <v>0</v>
      </c>
      <c r="AY13" s="679">
        <f>AJ14</f>
        <v>0</v>
      </c>
      <c r="AZ13" s="679">
        <f>AJ25</f>
        <v>0</v>
      </c>
      <c r="BA13" s="679">
        <f>AJ26</f>
        <v>0</v>
      </c>
      <c r="BB13" s="679">
        <f>AJ37</f>
        <v>0</v>
      </c>
      <c r="BC13" s="679">
        <f>AJ38</f>
        <v>0</v>
      </c>
      <c r="BD13" s="16"/>
      <c r="BE13" s="16"/>
      <c r="BF13" s="406">
        <f>BF6</f>
        <v>0</v>
      </c>
      <c r="BG13" s="409">
        <f>AT57</f>
        <v>0</v>
      </c>
      <c r="BH13" s="410">
        <f>AT58</f>
        <v>0</v>
      </c>
      <c r="BI13" s="16"/>
      <c r="BJ13" s="16"/>
      <c r="BK13" s="16"/>
      <c r="BL13" s="408"/>
      <c r="BM13" s="408"/>
      <c r="BN13" s="408"/>
      <c r="BO13" s="408"/>
      <c r="BP13" s="16"/>
      <c r="BQ13" s="16"/>
      <c r="BR13" s="16"/>
      <c r="BS13" s="16"/>
    </row>
    <row r="14" spans="1:78">
      <c r="A14" s="300">
        <v>7</v>
      </c>
      <c r="B14" s="286"/>
      <c r="C14" s="287"/>
      <c r="D14" s="287"/>
      <c r="E14" s="290"/>
      <c r="F14" s="288"/>
      <c r="G14" s="289"/>
      <c r="H14" s="289"/>
      <c r="I14" s="289"/>
      <c r="J14" s="289"/>
      <c r="K14" s="1172"/>
      <c r="L14" s="1173"/>
      <c r="M14" s="1173"/>
      <c r="N14" s="1174"/>
      <c r="O14" s="16"/>
      <c r="P14" s="353"/>
      <c r="Q14" s="313"/>
      <c r="R14" s="354"/>
      <c r="S14" s="354"/>
      <c r="T14" s="354"/>
      <c r="U14" s="354"/>
      <c r="V14" s="314"/>
      <c r="W14" s="354"/>
      <c r="X14" s="354"/>
      <c r="Y14" s="354"/>
      <c r="Z14" s="354"/>
      <c r="AA14" s="354"/>
      <c r="AB14" s="354"/>
      <c r="AC14" s="354"/>
      <c r="AD14" s="354"/>
      <c r="AE14" s="354"/>
      <c r="AF14" s="354"/>
      <c r="AG14" s="354"/>
      <c r="AH14" s="314"/>
      <c r="AI14" s="311"/>
      <c r="AJ14" s="313"/>
      <c r="AK14" s="354"/>
      <c r="AL14" s="315"/>
      <c r="AM14" s="311"/>
      <c r="AN14" s="313"/>
      <c r="AO14" s="354"/>
      <c r="AP14" s="315"/>
      <c r="AQ14" s="311"/>
      <c r="AR14" s="313"/>
      <c r="AS14" s="354"/>
      <c r="AT14" s="355"/>
      <c r="AW14" s="679" t="str">
        <f>'STR PERFORMANCE'!B32</f>
        <v xml:space="preserve">YTD  </v>
      </c>
      <c r="AX14" s="679">
        <f>AK13</f>
        <v>0</v>
      </c>
      <c r="AY14" s="679">
        <f>AK14</f>
        <v>0</v>
      </c>
      <c r="AZ14" s="679">
        <f>AK25</f>
        <v>0</v>
      </c>
      <c r="BA14" s="679">
        <f>AK26</f>
        <v>0</v>
      </c>
      <c r="BB14" s="679">
        <f>AK37</f>
        <v>0</v>
      </c>
      <c r="BC14" s="679">
        <f>AK38</f>
        <v>0</v>
      </c>
      <c r="BD14" s="16"/>
      <c r="BE14" s="16"/>
      <c r="BF14" s="408">
        <f>BF7</f>
        <v>0</v>
      </c>
      <c r="BG14" s="409">
        <f>AS57</f>
        <v>0</v>
      </c>
      <c r="BH14" s="410">
        <f>AS58</f>
        <v>0</v>
      </c>
      <c r="BI14" s="16"/>
      <c r="BJ14" s="16"/>
      <c r="BK14" s="16"/>
      <c r="BL14" s="16"/>
      <c r="BM14" s="16"/>
      <c r="BN14" s="16"/>
      <c r="BO14" s="16"/>
      <c r="BP14" s="16"/>
      <c r="BQ14" s="16"/>
      <c r="BR14" s="16"/>
      <c r="BS14" s="16"/>
    </row>
    <row r="15" spans="1:78">
      <c r="A15" s="300">
        <v>8</v>
      </c>
      <c r="B15" s="291"/>
      <c r="C15" s="287"/>
      <c r="D15" s="287"/>
      <c r="E15" s="292"/>
      <c r="F15" s="293"/>
      <c r="G15" s="294"/>
      <c r="H15" s="294"/>
      <c r="I15" s="294"/>
      <c r="J15" s="294"/>
      <c r="K15" s="1172"/>
      <c r="L15" s="1173"/>
      <c r="M15" s="1173"/>
      <c r="N15" s="1174"/>
      <c r="O15" s="16"/>
      <c r="P15" s="356"/>
      <c r="Q15" s="316"/>
      <c r="R15" s="357"/>
      <c r="S15" s="357"/>
      <c r="T15" s="357"/>
      <c r="U15" s="357"/>
      <c r="V15" s="317"/>
      <c r="W15" s="357"/>
      <c r="X15" s="357"/>
      <c r="Y15" s="357"/>
      <c r="Z15" s="357"/>
      <c r="AA15" s="357"/>
      <c r="AB15" s="357"/>
      <c r="AC15" s="357"/>
      <c r="AD15" s="357"/>
      <c r="AE15" s="357"/>
      <c r="AF15" s="357"/>
      <c r="AG15" s="357"/>
      <c r="AH15" s="317"/>
      <c r="AI15" s="311"/>
      <c r="AJ15" s="316"/>
      <c r="AK15" s="357"/>
      <c r="AL15" s="318"/>
      <c r="AM15" s="311"/>
      <c r="AN15" s="316"/>
      <c r="AO15" s="357"/>
      <c r="AP15" s="318"/>
      <c r="AQ15" s="311"/>
      <c r="AR15" s="316"/>
      <c r="AS15" s="357"/>
      <c r="AT15" s="358"/>
      <c r="AW15" s="679" t="str">
        <f>'STR PERFORMANCE'!B33</f>
        <v xml:space="preserve">YTD  </v>
      </c>
      <c r="AX15" s="679">
        <f>AL13</f>
        <v>0</v>
      </c>
      <c r="AY15" s="679">
        <f>AL14</f>
        <v>0</v>
      </c>
      <c r="AZ15" s="679">
        <f>AL25</f>
        <v>0</v>
      </c>
      <c r="BA15" s="679">
        <f>AL26</f>
        <v>0</v>
      </c>
      <c r="BB15" s="679">
        <f>AL37</f>
        <v>0</v>
      </c>
      <c r="BC15" s="679">
        <f>AL38</f>
        <v>0</v>
      </c>
      <c r="BD15" s="16"/>
      <c r="BE15" s="16"/>
      <c r="BF15" s="408">
        <f>BF8</f>
        <v>0</v>
      </c>
      <c r="BG15" s="409">
        <f>AR57</f>
        <v>0</v>
      </c>
      <c r="BH15" s="410">
        <f>AR58</f>
        <v>0</v>
      </c>
      <c r="BI15" s="16"/>
      <c r="BJ15" s="16"/>
      <c r="BK15" s="16"/>
      <c r="BL15" s="16"/>
      <c r="BM15" s="16"/>
      <c r="BN15" s="16"/>
      <c r="BO15" s="16"/>
      <c r="BP15" s="16"/>
      <c r="BQ15" s="16"/>
      <c r="BR15" s="16"/>
      <c r="BS15" s="16"/>
    </row>
    <row r="16" spans="1:78" ht="18" customHeight="1">
      <c r="A16" s="300">
        <v>9</v>
      </c>
      <c r="B16" s="291"/>
      <c r="C16" s="287"/>
      <c r="D16" s="287"/>
      <c r="E16" s="292"/>
      <c r="F16" s="293"/>
      <c r="G16" s="294"/>
      <c r="H16" s="294"/>
      <c r="I16" s="294"/>
      <c r="J16" s="294"/>
      <c r="K16" s="1172"/>
      <c r="L16" s="1173"/>
      <c r="M16" s="1173"/>
      <c r="N16" s="1174"/>
      <c r="O16" s="16"/>
      <c r="P16" s="359"/>
      <c r="Q16" s="319"/>
      <c r="R16" s="320"/>
      <c r="S16" s="320"/>
      <c r="T16" s="320"/>
      <c r="U16" s="320"/>
      <c r="V16" s="321"/>
      <c r="W16" s="320"/>
      <c r="X16" s="320"/>
      <c r="Y16" s="320"/>
      <c r="Z16" s="320"/>
      <c r="AA16" s="320"/>
      <c r="AB16" s="320"/>
      <c r="AC16" s="320"/>
      <c r="AD16" s="320"/>
      <c r="AE16" s="320"/>
      <c r="AF16" s="320"/>
      <c r="AG16" s="320"/>
      <c r="AH16" s="321"/>
      <c r="AI16" s="311"/>
      <c r="AJ16" s="319"/>
      <c r="AK16" s="320"/>
      <c r="AL16" s="322"/>
      <c r="AM16" s="311"/>
      <c r="AN16" s="319"/>
      <c r="AO16" s="320"/>
      <c r="AP16" s="322"/>
      <c r="AQ16" s="311"/>
      <c r="AR16" s="319"/>
      <c r="AS16" s="320"/>
      <c r="AT16" s="360"/>
      <c r="AW16" s="679"/>
      <c r="AX16" s="16"/>
      <c r="AY16" s="16"/>
      <c r="AZ16" s="16"/>
      <c r="BA16" s="16"/>
      <c r="BB16" s="16"/>
      <c r="BC16" s="16"/>
      <c r="BD16" s="16"/>
      <c r="BE16" s="16"/>
      <c r="BF16" s="408">
        <f>BF9</f>
        <v>-1</v>
      </c>
      <c r="BG16" s="409">
        <f>AR57/(1+(AR62/100))</f>
        <v>0</v>
      </c>
      <c r="BH16" s="410">
        <f>AR58/(1+(AR63/100))</f>
        <v>0</v>
      </c>
      <c r="BI16" s="16"/>
      <c r="BJ16" s="16"/>
      <c r="BK16" s="16"/>
      <c r="BL16" s="16"/>
      <c r="BM16" s="16"/>
      <c r="BN16" s="16"/>
      <c r="BO16" s="16"/>
      <c r="BP16" s="16"/>
      <c r="BQ16" s="16"/>
      <c r="BR16" s="16"/>
      <c r="BS16" s="16"/>
    </row>
    <row r="17" spans="1:71" ht="18">
      <c r="A17" s="300">
        <v>10</v>
      </c>
      <c r="B17" s="295"/>
      <c r="C17" s="296"/>
      <c r="D17" s="296"/>
      <c r="E17" s="297"/>
      <c r="F17" s="298"/>
      <c r="G17" s="299"/>
      <c r="H17" s="299"/>
      <c r="I17" s="299"/>
      <c r="J17" s="299"/>
      <c r="K17" s="1172"/>
      <c r="L17" s="1173"/>
      <c r="M17" s="1173"/>
      <c r="N17" s="1174"/>
      <c r="O17" s="16"/>
      <c r="P17" s="361"/>
      <c r="Q17" s="323"/>
      <c r="R17" s="323"/>
      <c r="S17" s="323"/>
      <c r="T17" s="323"/>
      <c r="U17" s="323"/>
      <c r="V17" s="323"/>
      <c r="W17" s="323"/>
      <c r="X17" s="323"/>
      <c r="Y17" s="323"/>
      <c r="Z17" s="323"/>
      <c r="AA17" s="323"/>
      <c r="AB17" s="323"/>
      <c r="AC17" s="323"/>
      <c r="AD17" s="323"/>
      <c r="AE17" s="323"/>
      <c r="AF17" s="324"/>
      <c r="AG17" s="324"/>
      <c r="AH17" s="324"/>
      <c r="AI17" s="325"/>
      <c r="AJ17" s="324"/>
      <c r="AK17" s="324"/>
      <c r="AL17" s="324"/>
      <c r="AM17" s="325"/>
      <c r="AN17" s="324"/>
      <c r="AO17" s="324"/>
      <c r="AP17" s="324"/>
      <c r="AQ17" s="325"/>
      <c r="AR17" s="324"/>
      <c r="AS17" s="324"/>
      <c r="AT17" s="362"/>
      <c r="AW17" s="679"/>
      <c r="AX17" s="16"/>
      <c r="AY17" s="16"/>
      <c r="AZ17" s="16"/>
      <c r="BA17" s="16"/>
      <c r="BB17" s="16"/>
      <c r="BC17" s="16"/>
      <c r="BD17" s="16"/>
      <c r="BE17" s="16"/>
      <c r="BF17" s="16"/>
      <c r="BG17" s="16"/>
      <c r="BH17" s="16"/>
      <c r="BI17" s="16"/>
      <c r="BJ17" s="16"/>
      <c r="BK17" s="16"/>
      <c r="BL17" s="16"/>
      <c r="BM17" s="16"/>
      <c r="BN17" s="16"/>
      <c r="BO17" s="16"/>
      <c r="BP17" s="16"/>
      <c r="BQ17" s="16"/>
      <c r="BR17" s="16"/>
      <c r="BS17" s="16"/>
    </row>
    <row r="18" spans="1:71">
      <c r="O18" s="16"/>
      <c r="P18" s="1136"/>
      <c r="Q18" s="1155"/>
      <c r="R18" s="1156"/>
      <c r="S18" s="1156"/>
      <c r="T18" s="1156"/>
      <c r="U18" s="1156"/>
      <c r="V18" s="1157"/>
      <c r="W18" s="1158"/>
      <c r="X18" s="1156"/>
      <c r="Y18" s="1156"/>
      <c r="Z18" s="1156"/>
      <c r="AA18" s="1156"/>
      <c r="AB18" s="1156"/>
      <c r="AC18" s="1156"/>
      <c r="AD18" s="1156"/>
      <c r="AE18" s="1156"/>
      <c r="AF18" s="1156"/>
      <c r="AG18" s="1156"/>
      <c r="AH18" s="1157"/>
      <c r="AI18" s="326"/>
      <c r="AJ18" s="1141"/>
      <c r="AK18" s="1142"/>
      <c r="AL18" s="1143"/>
      <c r="AM18" s="326"/>
      <c r="AN18" s="1141"/>
      <c r="AO18" s="1142"/>
      <c r="AP18" s="1143"/>
      <c r="AQ18" s="326"/>
      <c r="AR18" s="1133"/>
      <c r="AS18" s="1134"/>
      <c r="AT18" s="1135"/>
      <c r="AW18" s="679"/>
      <c r="AX18" s="16"/>
      <c r="AY18" s="16"/>
      <c r="AZ18" s="16"/>
      <c r="BA18" s="16"/>
      <c r="BB18" s="16"/>
      <c r="BC18" s="16"/>
      <c r="BD18" s="16"/>
      <c r="BE18" s="16"/>
      <c r="BF18" s="16" t="s">
        <v>334</v>
      </c>
      <c r="BG18" s="16" t="s">
        <v>337</v>
      </c>
      <c r="BH18" s="16"/>
      <c r="BI18" s="16"/>
      <c r="BJ18" s="16"/>
      <c r="BK18" s="16"/>
      <c r="BL18" s="16"/>
      <c r="BM18" s="16"/>
      <c r="BN18" s="16"/>
      <c r="BO18" s="16"/>
      <c r="BP18" s="16"/>
      <c r="BQ18" s="16"/>
      <c r="BR18" s="16"/>
      <c r="BS18" s="16"/>
    </row>
    <row r="19" spans="1:71">
      <c r="B19" t="s">
        <v>327</v>
      </c>
      <c r="C19" s="302">
        <v>46022</v>
      </c>
      <c r="O19" s="16"/>
      <c r="P19" s="1136"/>
      <c r="Q19" s="327"/>
      <c r="R19" s="328"/>
      <c r="S19" s="328"/>
      <c r="T19" s="328"/>
      <c r="U19" s="328"/>
      <c r="V19" s="329"/>
      <c r="W19" s="328"/>
      <c r="X19" s="328"/>
      <c r="Y19" s="328"/>
      <c r="Z19" s="328"/>
      <c r="AA19" s="328"/>
      <c r="AB19" s="328"/>
      <c r="AC19" s="328"/>
      <c r="AD19" s="328"/>
      <c r="AE19" s="328"/>
      <c r="AF19" s="328"/>
      <c r="AG19" s="328"/>
      <c r="AH19" s="329"/>
      <c r="AI19" s="330"/>
      <c r="AJ19" s="327"/>
      <c r="AK19" s="328"/>
      <c r="AL19" s="339"/>
      <c r="AM19" s="330"/>
      <c r="AN19" s="327"/>
      <c r="AO19" s="328"/>
      <c r="AP19" s="339"/>
      <c r="AQ19" s="330"/>
      <c r="AR19" s="327"/>
      <c r="AS19" s="328"/>
      <c r="AT19" s="350"/>
      <c r="AW19" s="679"/>
      <c r="AX19" s="16"/>
      <c r="AY19" s="16"/>
      <c r="AZ19" s="16"/>
      <c r="BA19" s="16"/>
      <c r="BB19" s="16"/>
      <c r="BC19" s="16"/>
      <c r="BD19" s="16"/>
      <c r="BE19" s="16"/>
      <c r="BF19" s="16" t="s">
        <v>67</v>
      </c>
      <c r="BG19" s="16" t="s">
        <v>70</v>
      </c>
      <c r="BH19" s="16" t="s">
        <v>335</v>
      </c>
      <c r="BI19" s="16"/>
      <c r="BJ19" s="16"/>
      <c r="BK19" s="16"/>
      <c r="BL19" s="16"/>
      <c r="BM19" s="16"/>
      <c r="BN19" s="16"/>
      <c r="BO19" s="16"/>
      <c r="BP19" s="16"/>
      <c r="BQ19" s="16"/>
      <c r="BR19" s="16"/>
      <c r="BS19" s="16"/>
    </row>
    <row r="20" spans="1:71">
      <c r="B20" t="s">
        <v>328</v>
      </c>
      <c r="C20" s="302">
        <v>46022</v>
      </c>
      <c r="P20" s="351"/>
      <c r="Q20" s="308"/>
      <c r="R20" s="309"/>
      <c r="S20" s="309"/>
      <c r="T20" s="309"/>
      <c r="U20" s="309"/>
      <c r="V20" s="310"/>
      <c r="W20" s="309"/>
      <c r="X20" s="309"/>
      <c r="Y20" s="309"/>
      <c r="Z20" s="309"/>
      <c r="AA20" s="309"/>
      <c r="AB20" s="309"/>
      <c r="AC20" s="309"/>
      <c r="AD20" s="309"/>
      <c r="AE20" s="309"/>
      <c r="AF20" s="309"/>
      <c r="AG20" s="309"/>
      <c r="AH20" s="310"/>
      <c r="AI20" s="311"/>
      <c r="AJ20" s="308"/>
      <c r="AK20" s="309"/>
      <c r="AL20" s="312"/>
      <c r="AM20" s="311"/>
      <c r="AN20" s="308"/>
      <c r="AO20" s="309"/>
      <c r="AP20" s="312"/>
      <c r="AQ20" s="311"/>
      <c r="AR20" s="308"/>
      <c r="AS20" s="309"/>
      <c r="AT20" s="352"/>
      <c r="AW20" s="679"/>
      <c r="AX20" s="16"/>
      <c r="AY20" s="16"/>
      <c r="AZ20" s="16"/>
      <c r="BA20" s="16"/>
      <c r="BB20" s="16"/>
      <c r="BC20" s="16"/>
      <c r="BD20" s="16"/>
      <c r="BE20" s="16"/>
      <c r="BF20" s="406">
        <f>BF6</f>
        <v>0</v>
      </c>
      <c r="BG20" s="411">
        <f>AT69</f>
        <v>0</v>
      </c>
      <c r="BH20" s="411">
        <f>AT70</f>
        <v>0</v>
      </c>
      <c r="BI20" s="16"/>
      <c r="BJ20" s="16"/>
      <c r="BK20" s="16"/>
      <c r="BL20" s="16"/>
      <c r="BM20" s="16"/>
      <c r="BN20" s="16"/>
      <c r="BO20" s="16"/>
      <c r="BP20" s="16"/>
      <c r="BQ20" s="16"/>
      <c r="BR20" s="16"/>
      <c r="BS20" s="16"/>
    </row>
    <row r="21" spans="1:71">
      <c r="P21" s="353"/>
      <c r="Q21" s="313"/>
      <c r="R21" s="354"/>
      <c r="S21" s="354"/>
      <c r="T21" s="354"/>
      <c r="U21" s="354"/>
      <c r="V21" s="314"/>
      <c r="W21" s="354"/>
      <c r="X21" s="354"/>
      <c r="Y21" s="354"/>
      <c r="Z21" s="354"/>
      <c r="AA21" s="354"/>
      <c r="AB21" s="354"/>
      <c r="AC21" s="354"/>
      <c r="AD21" s="354"/>
      <c r="AE21" s="354"/>
      <c r="AF21" s="354"/>
      <c r="AG21" s="354"/>
      <c r="AH21" s="314"/>
      <c r="AI21" s="311"/>
      <c r="AJ21" s="313"/>
      <c r="AK21" s="354"/>
      <c r="AL21" s="315"/>
      <c r="AM21" s="311"/>
      <c r="AN21" s="313"/>
      <c r="AO21" s="354"/>
      <c r="AP21" s="315"/>
      <c r="AQ21" s="311"/>
      <c r="AR21" s="313"/>
      <c r="AS21" s="354"/>
      <c r="AT21" s="355"/>
      <c r="AW21" s="679"/>
      <c r="AX21" s="16"/>
      <c r="AY21" s="16"/>
      <c r="AZ21" s="16"/>
      <c r="BA21" s="16"/>
      <c r="BB21" s="16"/>
      <c r="BC21" s="16"/>
      <c r="BD21" s="16"/>
      <c r="BE21" s="16"/>
      <c r="BF21" s="406">
        <f t="shared" ref="BF21:BF23" si="3">BF7</f>
        <v>0</v>
      </c>
      <c r="BG21" s="411">
        <f>AS69</f>
        <v>0</v>
      </c>
      <c r="BH21" s="411">
        <f>AS70</f>
        <v>0</v>
      </c>
      <c r="BI21" s="16"/>
      <c r="BJ21" s="16"/>
      <c r="BK21" s="16"/>
      <c r="BL21" s="16"/>
      <c r="BM21" s="16"/>
      <c r="BN21" s="16"/>
      <c r="BO21" s="16"/>
      <c r="BP21" s="16"/>
      <c r="BQ21" s="16"/>
      <c r="BR21" s="16"/>
      <c r="BS21" s="16"/>
    </row>
    <row r="22" spans="1:71">
      <c r="P22" s="356"/>
      <c r="Q22" s="316"/>
      <c r="R22" s="357"/>
      <c r="S22" s="357"/>
      <c r="T22" s="357"/>
      <c r="U22" s="357"/>
      <c r="V22" s="317"/>
      <c r="W22" s="357"/>
      <c r="X22" s="357"/>
      <c r="Y22" s="357"/>
      <c r="Z22" s="357"/>
      <c r="AA22" s="357"/>
      <c r="AB22" s="357"/>
      <c r="AC22" s="357"/>
      <c r="AD22" s="357"/>
      <c r="AE22" s="357"/>
      <c r="AF22" s="357"/>
      <c r="AG22" s="357"/>
      <c r="AH22" s="317"/>
      <c r="AI22" s="311"/>
      <c r="AJ22" s="316"/>
      <c r="AK22" s="357"/>
      <c r="AL22" s="318"/>
      <c r="AM22" s="311"/>
      <c r="AN22" s="316"/>
      <c r="AO22" s="357"/>
      <c r="AP22" s="318"/>
      <c r="AQ22" s="311"/>
      <c r="AR22" s="316"/>
      <c r="AS22" s="357"/>
      <c r="AT22" s="358"/>
      <c r="AW22" s="16"/>
      <c r="AX22" s="16"/>
      <c r="AY22" s="16"/>
      <c r="AZ22" s="16"/>
      <c r="BA22" s="16"/>
      <c r="BB22" s="16"/>
      <c r="BC22" s="16"/>
      <c r="BD22" s="16"/>
      <c r="BE22" s="16"/>
      <c r="BF22" s="406">
        <f t="shared" si="3"/>
        <v>0</v>
      </c>
      <c r="BG22" s="411">
        <f>AR69</f>
        <v>0</v>
      </c>
      <c r="BH22" s="411">
        <f>AR70</f>
        <v>0</v>
      </c>
      <c r="BI22" s="16"/>
      <c r="BJ22" s="16"/>
      <c r="BK22" s="16"/>
      <c r="BL22" s="16"/>
      <c r="BM22" s="16"/>
      <c r="BN22" s="16"/>
      <c r="BO22" s="16"/>
      <c r="BP22" s="16"/>
      <c r="BQ22" s="16"/>
      <c r="BR22" s="16"/>
      <c r="BS22" s="16"/>
    </row>
    <row r="23" spans="1:71">
      <c r="P23" s="359"/>
      <c r="Q23" s="319"/>
      <c r="R23" s="320"/>
      <c r="S23" s="320"/>
      <c r="T23" s="320"/>
      <c r="U23" s="320"/>
      <c r="V23" s="321"/>
      <c r="W23" s="320"/>
      <c r="X23" s="320"/>
      <c r="Y23" s="320"/>
      <c r="Z23" s="320"/>
      <c r="AA23" s="320"/>
      <c r="AB23" s="320"/>
      <c r="AC23" s="320"/>
      <c r="AD23" s="320"/>
      <c r="AE23" s="320"/>
      <c r="AF23" s="320"/>
      <c r="AG23" s="320"/>
      <c r="AH23" s="321"/>
      <c r="AI23" s="311"/>
      <c r="AJ23" s="319"/>
      <c r="AK23" s="320"/>
      <c r="AL23" s="322"/>
      <c r="AM23" s="311"/>
      <c r="AN23" s="319"/>
      <c r="AO23" s="320"/>
      <c r="AP23" s="322"/>
      <c r="AQ23" s="311"/>
      <c r="AR23" s="319"/>
      <c r="AS23" s="320"/>
      <c r="AT23" s="360"/>
      <c r="AW23" s="16"/>
      <c r="AX23" s="16"/>
      <c r="AY23" s="16"/>
      <c r="AZ23" s="16"/>
      <c r="BA23" s="16"/>
      <c r="BB23" s="16"/>
      <c r="BC23" s="16"/>
      <c r="BD23" s="16"/>
      <c r="BE23" s="16"/>
      <c r="BF23" s="406">
        <f t="shared" si="3"/>
        <v>-1</v>
      </c>
      <c r="BG23" s="411">
        <f>AR69/(1+(AR74/100))</f>
        <v>0</v>
      </c>
      <c r="BH23" s="411">
        <f>AR70/(1+(AR75/100))</f>
        <v>0</v>
      </c>
      <c r="BI23" s="16"/>
      <c r="BJ23" s="16"/>
      <c r="BK23" s="16"/>
      <c r="BL23" s="16"/>
      <c r="BM23" s="16"/>
      <c r="BN23" s="16"/>
      <c r="BO23" s="16"/>
      <c r="BP23" s="16"/>
      <c r="BQ23" s="16"/>
      <c r="BR23" s="16"/>
      <c r="BS23" s="16"/>
    </row>
    <row r="24" spans="1:71" ht="18">
      <c r="P24" s="361"/>
      <c r="Q24" s="323"/>
      <c r="R24" s="323"/>
      <c r="S24" s="323"/>
      <c r="T24" s="323"/>
      <c r="U24" s="323"/>
      <c r="V24" s="323"/>
      <c r="W24" s="323"/>
      <c r="X24" s="323"/>
      <c r="Y24" s="323"/>
      <c r="Z24" s="323"/>
      <c r="AA24" s="323"/>
      <c r="AB24" s="323"/>
      <c r="AC24" s="323"/>
      <c r="AD24" s="323"/>
      <c r="AE24" s="323"/>
      <c r="AF24" s="324"/>
      <c r="AG24" s="324"/>
      <c r="AH24" s="324"/>
      <c r="AI24" s="325"/>
      <c r="AJ24" s="324"/>
      <c r="AK24" s="324"/>
      <c r="AL24" s="324"/>
      <c r="AM24" s="325"/>
      <c r="AN24" s="324"/>
      <c r="AO24" s="324"/>
      <c r="AP24" s="324"/>
      <c r="AQ24" s="325"/>
      <c r="AR24" s="324"/>
      <c r="AS24" s="324"/>
      <c r="AT24" s="362"/>
      <c r="AW24" s="16"/>
      <c r="AX24" s="16"/>
      <c r="AY24" s="16"/>
      <c r="AZ24" s="16"/>
      <c r="BA24" s="16"/>
      <c r="BB24" s="16"/>
      <c r="BC24" s="16"/>
      <c r="BD24" s="16"/>
      <c r="BE24" s="16"/>
      <c r="BF24" s="16"/>
      <c r="BG24" s="411"/>
      <c r="BH24" s="16"/>
      <c r="BI24" s="16"/>
      <c r="BJ24" s="16"/>
      <c r="BK24" s="16"/>
      <c r="BL24" s="16"/>
      <c r="BM24" s="16"/>
      <c r="BN24" s="16"/>
      <c r="BO24" s="16"/>
      <c r="BP24" s="16"/>
      <c r="BQ24" s="16"/>
      <c r="BR24" s="16"/>
      <c r="BS24" s="16"/>
    </row>
    <row r="25" spans="1:71">
      <c r="P25" s="363"/>
      <c r="Q25" s="308"/>
      <c r="R25" s="309"/>
      <c r="S25" s="309"/>
      <c r="T25" s="309"/>
      <c r="U25" s="309"/>
      <c r="V25" s="310"/>
      <c r="W25" s="309"/>
      <c r="X25" s="309"/>
      <c r="Y25" s="309"/>
      <c r="Z25" s="309"/>
      <c r="AA25" s="309"/>
      <c r="AB25" s="309"/>
      <c r="AC25" s="309"/>
      <c r="AD25" s="309"/>
      <c r="AE25" s="309"/>
      <c r="AF25" s="309"/>
      <c r="AG25" s="309"/>
      <c r="AH25" s="310"/>
      <c r="AI25" s="311"/>
      <c r="AJ25" s="308"/>
      <c r="AK25" s="309"/>
      <c r="AL25" s="312"/>
      <c r="AM25" s="311"/>
      <c r="AN25" s="308"/>
      <c r="AO25" s="309"/>
      <c r="AP25" s="312"/>
      <c r="AQ25" s="311"/>
      <c r="AR25" s="308"/>
      <c r="AS25" s="309"/>
      <c r="AT25" s="352"/>
      <c r="AW25" s="16"/>
      <c r="AX25" s="16"/>
      <c r="AY25" s="16"/>
      <c r="AZ25" s="16"/>
      <c r="BA25" s="16"/>
      <c r="BB25" s="16"/>
      <c r="BC25" s="16"/>
      <c r="BD25" s="16"/>
      <c r="BE25" s="16"/>
      <c r="BF25" s="16" t="s">
        <v>334</v>
      </c>
      <c r="BG25" s="16" t="s">
        <v>27</v>
      </c>
      <c r="BH25" s="16"/>
      <c r="BI25" s="16"/>
      <c r="BJ25" s="16"/>
      <c r="BK25" s="16"/>
      <c r="BL25" s="16"/>
      <c r="BM25" s="16"/>
      <c r="BN25" s="16"/>
      <c r="BO25" s="16"/>
      <c r="BP25" s="16"/>
      <c r="BQ25" s="16"/>
      <c r="BR25" s="16"/>
      <c r="BS25" s="16"/>
    </row>
    <row r="26" spans="1:71">
      <c r="P26" s="353"/>
      <c r="Q26" s="313"/>
      <c r="R26" s="354"/>
      <c r="S26" s="354"/>
      <c r="T26" s="354"/>
      <c r="U26" s="354"/>
      <c r="V26" s="314"/>
      <c r="W26" s="354"/>
      <c r="X26" s="354"/>
      <c r="Y26" s="354"/>
      <c r="Z26" s="354"/>
      <c r="AA26" s="354"/>
      <c r="AB26" s="354"/>
      <c r="AC26" s="354"/>
      <c r="AD26" s="354"/>
      <c r="AE26" s="354"/>
      <c r="AF26" s="354"/>
      <c r="AG26" s="354"/>
      <c r="AH26" s="314"/>
      <c r="AI26" s="311"/>
      <c r="AJ26" s="313"/>
      <c r="AK26" s="354"/>
      <c r="AL26" s="315"/>
      <c r="AM26" s="311"/>
      <c r="AN26" s="313"/>
      <c r="AO26" s="354"/>
      <c r="AP26" s="315"/>
      <c r="AQ26" s="311"/>
      <c r="AR26" s="313"/>
      <c r="AS26" s="354"/>
      <c r="AT26" s="355"/>
      <c r="AW26" s="16"/>
      <c r="AX26" s="16"/>
      <c r="AY26" s="16"/>
      <c r="AZ26" s="16"/>
      <c r="BA26" s="16"/>
      <c r="BB26" s="16"/>
      <c r="BC26" s="16"/>
      <c r="BD26" s="16"/>
      <c r="BE26" s="16"/>
      <c r="BF26" s="16" t="s">
        <v>67</v>
      </c>
      <c r="BG26" s="16" t="s">
        <v>70</v>
      </c>
      <c r="BH26" s="16"/>
      <c r="BI26" s="16"/>
      <c r="BJ26" s="16"/>
      <c r="BK26" s="16"/>
      <c r="BL26" s="16"/>
      <c r="BM26" s="16"/>
      <c r="BN26" s="16"/>
      <c r="BO26" s="16"/>
      <c r="BP26" s="16"/>
      <c r="BQ26" s="16"/>
      <c r="BR26" s="16"/>
      <c r="BS26" s="16"/>
    </row>
    <row r="27" spans="1:71">
      <c r="P27" s="356"/>
      <c r="Q27" s="316"/>
      <c r="R27" s="357"/>
      <c r="S27" s="357"/>
      <c r="T27" s="357"/>
      <c r="U27" s="357"/>
      <c r="V27" s="317"/>
      <c r="W27" s="357"/>
      <c r="X27" s="357"/>
      <c r="Y27" s="357"/>
      <c r="Z27" s="357"/>
      <c r="AA27" s="357"/>
      <c r="AB27" s="357"/>
      <c r="AC27" s="357"/>
      <c r="AD27" s="357"/>
      <c r="AE27" s="357"/>
      <c r="AF27" s="357"/>
      <c r="AG27" s="357"/>
      <c r="AH27" s="317"/>
      <c r="AI27" s="311"/>
      <c r="AJ27" s="316"/>
      <c r="AK27" s="357"/>
      <c r="AL27" s="318"/>
      <c r="AM27" s="311"/>
      <c r="AN27" s="316"/>
      <c r="AO27" s="357"/>
      <c r="AP27" s="318"/>
      <c r="AQ27" s="311"/>
      <c r="AR27" s="316"/>
      <c r="AS27" s="357"/>
      <c r="AT27" s="358"/>
      <c r="AW27" s="16"/>
      <c r="AX27" s="16"/>
      <c r="AY27" s="16"/>
      <c r="AZ27" s="16"/>
      <c r="BA27" s="16"/>
      <c r="BB27" s="16"/>
      <c r="BC27" s="16"/>
      <c r="BD27" s="16"/>
      <c r="BE27" s="16"/>
      <c r="BF27" s="406">
        <f>BF6</f>
        <v>0</v>
      </c>
      <c r="BG27" s="412">
        <f>BG20*365*INPUTS!$C$7</f>
        <v>0</v>
      </c>
      <c r="BH27" s="16"/>
      <c r="BI27" s="16"/>
      <c r="BJ27" s="16"/>
      <c r="BK27" s="16"/>
      <c r="BL27" s="16"/>
      <c r="BM27" s="16"/>
      <c r="BN27" s="16"/>
      <c r="BO27" s="16"/>
      <c r="BP27" s="16"/>
      <c r="BQ27" s="16"/>
      <c r="BR27" s="16"/>
      <c r="BS27" s="16"/>
    </row>
    <row r="28" spans="1:71">
      <c r="P28" s="359"/>
      <c r="Q28" s="319"/>
      <c r="R28" s="320"/>
      <c r="S28" s="320"/>
      <c r="T28" s="320"/>
      <c r="U28" s="320"/>
      <c r="V28" s="321"/>
      <c r="W28" s="320"/>
      <c r="X28" s="320"/>
      <c r="Y28" s="320"/>
      <c r="Z28" s="320"/>
      <c r="AA28" s="320"/>
      <c r="AB28" s="320"/>
      <c r="AC28" s="320"/>
      <c r="AD28" s="320"/>
      <c r="AE28" s="320"/>
      <c r="AF28" s="320"/>
      <c r="AG28" s="320"/>
      <c r="AH28" s="321"/>
      <c r="AI28" s="311"/>
      <c r="AJ28" s="319"/>
      <c r="AK28" s="320"/>
      <c r="AL28" s="322"/>
      <c r="AM28" s="311"/>
      <c r="AN28" s="319"/>
      <c r="AO28" s="320"/>
      <c r="AP28" s="322"/>
      <c r="AQ28" s="311"/>
      <c r="AR28" s="319"/>
      <c r="AS28" s="320"/>
      <c r="AT28" s="360"/>
      <c r="AW28" s="16"/>
      <c r="AX28" s="16"/>
      <c r="AY28" s="16"/>
      <c r="AZ28" s="16"/>
      <c r="BA28" s="16"/>
      <c r="BB28" s="16"/>
      <c r="BC28" s="16"/>
      <c r="BD28" s="16"/>
      <c r="BE28" s="16"/>
      <c r="BF28" s="406">
        <f t="shared" ref="BF28:BF30" si="4">BF7</f>
        <v>0</v>
      </c>
      <c r="BG28" s="412">
        <f>BG21*365*INPUTS!$C$7</f>
        <v>0</v>
      </c>
      <c r="BH28" s="16"/>
      <c r="BI28" s="16"/>
      <c r="BJ28" s="16"/>
      <c r="BK28" s="16"/>
      <c r="BL28" s="16"/>
      <c r="BM28" s="16"/>
      <c r="BN28" s="16"/>
      <c r="BO28" s="16"/>
      <c r="BP28" s="16"/>
      <c r="BQ28" s="16"/>
      <c r="BR28" s="16"/>
      <c r="BS28" s="16"/>
    </row>
    <row r="29" spans="1:71" ht="18">
      <c r="P29" s="361"/>
      <c r="Q29" s="323"/>
      <c r="R29" s="323"/>
      <c r="S29" s="323"/>
      <c r="T29" s="323"/>
      <c r="U29" s="323"/>
      <c r="V29" s="323"/>
      <c r="W29" s="323"/>
      <c r="X29" s="323"/>
      <c r="Y29" s="323"/>
      <c r="Z29" s="323"/>
      <c r="AA29" s="323"/>
      <c r="AB29" s="323"/>
      <c r="AC29" s="323"/>
      <c r="AD29" s="323"/>
      <c r="AE29" s="323"/>
      <c r="AF29" s="324"/>
      <c r="AG29" s="324"/>
      <c r="AH29" s="324"/>
      <c r="AI29" s="325"/>
      <c r="AJ29" s="324"/>
      <c r="AK29" s="324"/>
      <c r="AL29" s="324"/>
      <c r="AM29" s="325"/>
      <c r="AN29" s="324"/>
      <c r="AO29" s="324"/>
      <c r="AP29" s="324"/>
      <c r="AQ29" s="325"/>
      <c r="AR29" s="324"/>
      <c r="AS29" s="324"/>
      <c r="AT29" s="362"/>
      <c r="AW29" s="16"/>
      <c r="AX29" s="16"/>
      <c r="AY29" s="16"/>
      <c r="AZ29" s="16"/>
      <c r="BA29" s="16"/>
      <c r="BB29" s="16"/>
      <c r="BC29" s="16"/>
      <c r="BD29" s="16"/>
      <c r="BE29" s="16"/>
      <c r="BF29" s="406">
        <f t="shared" si="4"/>
        <v>0</v>
      </c>
      <c r="BG29" s="412">
        <f>BG22*365*INPUTS!$C$7</f>
        <v>0</v>
      </c>
      <c r="BH29" s="16"/>
      <c r="BI29" s="16"/>
      <c r="BJ29" s="16"/>
      <c r="BK29" s="16"/>
      <c r="BL29" s="16"/>
      <c r="BM29" s="16"/>
      <c r="BN29" s="16"/>
      <c r="BO29" s="16"/>
      <c r="BP29" s="16"/>
      <c r="BQ29" s="16"/>
      <c r="BR29" s="16"/>
      <c r="BS29" s="16"/>
    </row>
    <row r="30" spans="1:71">
      <c r="P30" s="1136"/>
      <c r="Q30" s="1155"/>
      <c r="R30" s="1156"/>
      <c r="S30" s="1156"/>
      <c r="T30" s="1156"/>
      <c r="U30" s="1156"/>
      <c r="V30" s="1157"/>
      <c r="W30" s="1158"/>
      <c r="X30" s="1156"/>
      <c r="Y30" s="1156"/>
      <c r="Z30" s="1156"/>
      <c r="AA30" s="1156"/>
      <c r="AB30" s="1156"/>
      <c r="AC30" s="1156"/>
      <c r="AD30" s="1156"/>
      <c r="AE30" s="1156"/>
      <c r="AF30" s="1156"/>
      <c r="AG30" s="1156"/>
      <c r="AH30" s="1157"/>
      <c r="AI30" s="326"/>
      <c r="AJ30" s="1141"/>
      <c r="AK30" s="1142"/>
      <c r="AL30" s="1143"/>
      <c r="AM30" s="326"/>
      <c r="AN30" s="1141"/>
      <c r="AO30" s="1142"/>
      <c r="AP30" s="1143"/>
      <c r="AQ30" s="326"/>
      <c r="AR30" s="1133"/>
      <c r="AS30" s="1134"/>
      <c r="AT30" s="1135"/>
      <c r="AW30" s="16"/>
      <c r="AX30" s="16"/>
      <c r="AY30" s="16"/>
      <c r="AZ30" s="16"/>
      <c r="BA30" s="16"/>
      <c r="BB30" s="16"/>
      <c r="BC30" s="16"/>
      <c r="BD30" s="16"/>
      <c r="BE30" s="16"/>
      <c r="BF30" s="406">
        <f t="shared" si="4"/>
        <v>-1</v>
      </c>
      <c r="BG30" s="412">
        <f>BG23*365*INPUTS!$C$7</f>
        <v>0</v>
      </c>
      <c r="BH30" s="16"/>
      <c r="BI30" s="16"/>
      <c r="BJ30" s="16"/>
      <c r="BK30" s="16"/>
      <c r="BL30" s="16"/>
      <c r="BM30" s="16"/>
      <c r="BN30" s="16"/>
      <c r="BO30" s="16"/>
      <c r="BP30" s="16"/>
      <c r="BQ30" s="16"/>
      <c r="BR30" s="16"/>
      <c r="BS30" s="16"/>
    </row>
    <row r="31" spans="1:71">
      <c r="P31" s="1136"/>
      <c r="Q31" s="327"/>
      <c r="R31" s="328"/>
      <c r="S31" s="328"/>
      <c r="T31" s="328"/>
      <c r="U31" s="328"/>
      <c r="V31" s="329"/>
      <c r="W31" s="328"/>
      <c r="X31" s="328"/>
      <c r="Y31" s="328"/>
      <c r="Z31" s="328"/>
      <c r="AA31" s="328"/>
      <c r="AB31" s="328"/>
      <c r="AC31" s="328"/>
      <c r="AD31" s="328"/>
      <c r="AE31" s="328"/>
      <c r="AF31" s="328"/>
      <c r="AG31" s="328"/>
      <c r="AH31" s="329"/>
      <c r="AI31" s="330"/>
      <c r="AJ31" s="327"/>
      <c r="AK31" s="328"/>
      <c r="AL31" s="339"/>
      <c r="AM31" s="330"/>
      <c r="AN31" s="327"/>
      <c r="AO31" s="328"/>
      <c r="AP31" s="339"/>
      <c r="AQ31" s="330"/>
      <c r="AR31" s="327"/>
      <c r="AS31" s="328"/>
      <c r="AT31" s="350"/>
      <c r="AW31" s="16"/>
      <c r="AX31" s="16"/>
      <c r="AY31" s="16"/>
      <c r="AZ31" s="16"/>
      <c r="BA31" s="16"/>
      <c r="BB31" s="16"/>
      <c r="BC31" s="16"/>
      <c r="BD31" s="16"/>
      <c r="BE31" s="16"/>
      <c r="BF31" s="16"/>
      <c r="BG31" s="16"/>
      <c r="BH31" s="16"/>
      <c r="BI31" s="16"/>
      <c r="BJ31" s="16"/>
      <c r="BK31" s="16"/>
      <c r="BL31" s="16"/>
      <c r="BM31" s="16"/>
      <c r="BN31" s="16"/>
      <c r="BO31" s="16"/>
      <c r="BP31" s="16"/>
      <c r="BQ31" s="16"/>
      <c r="BR31" s="16"/>
      <c r="BS31" s="16"/>
    </row>
    <row r="32" spans="1:71">
      <c r="P32" s="351"/>
      <c r="Q32" s="308"/>
      <c r="R32" s="309"/>
      <c r="S32" s="309"/>
      <c r="T32" s="309"/>
      <c r="U32" s="309"/>
      <c r="V32" s="310"/>
      <c r="W32" s="309"/>
      <c r="X32" s="309"/>
      <c r="Y32" s="309"/>
      <c r="Z32" s="309"/>
      <c r="AA32" s="309"/>
      <c r="AB32" s="309"/>
      <c r="AC32" s="309"/>
      <c r="AD32" s="309"/>
      <c r="AE32" s="309"/>
      <c r="AF32" s="309"/>
      <c r="AG32" s="309"/>
      <c r="AH32" s="310"/>
      <c r="AI32" s="311"/>
      <c r="AJ32" s="308"/>
      <c r="AK32" s="309"/>
      <c r="AL32" s="312"/>
      <c r="AM32" s="311"/>
      <c r="AN32" s="308"/>
      <c r="AO32" s="309"/>
      <c r="AP32" s="312"/>
      <c r="AQ32" s="311"/>
      <c r="AR32" s="308"/>
      <c r="AS32" s="309"/>
      <c r="AT32" s="352"/>
      <c r="AW32" s="16"/>
      <c r="AX32" s="16"/>
      <c r="AY32" s="16"/>
      <c r="AZ32" s="16"/>
      <c r="BA32" s="16"/>
      <c r="BB32" s="16"/>
      <c r="BC32" s="16"/>
      <c r="BD32" s="16"/>
      <c r="BE32" s="16"/>
      <c r="BF32" s="16"/>
      <c r="BG32" s="16"/>
      <c r="BH32" s="16"/>
      <c r="BI32" s="16"/>
      <c r="BJ32" s="16"/>
      <c r="BK32" s="16"/>
      <c r="BL32" s="16"/>
      <c r="BM32" s="16"/>
      <c r="BN32" s="16"/>
      <c r="BO32" s="16"/>
      <c r="BP32" s="16"/>
      <c r="BQ32" s="16"/>
      <c r="BR32" s="16"/>
      <c r="BS32" s="16"/>
    </row>
    <row r="33" spans="16:71">
      <c r="P33" s="353"/>
      <c r="Q33" s="313"/>
      <c r="R33" s="354"/>
      <c r="S33" s="354"/>
      <c r="T33" s="354"/>
      <c r="U33" s="354"/>
      <c r="V33" s="314"/>
      <c r="W33" s="354"/>
      <c r="X33" s="354"/>
      <c r="Y33" s="354"/>
      <c r="Z33" s="354"/>
      <c r="AA33" s="354"/>
      <c r="AB33" s="354"/>
      <c r="AC33" s="354"/>
      <c r="AD33" s="354"/>
      <c r="AE33" s="354"/>
      <c r="AF33" s="354"/>
      <c r="AG33" s="354"/>
      <c r="AH33" s="314"/>
      <c r="AI33" s="311"/>
      <c r="AJ33" s="313"/>
      <c r="AK33" s="354"/>
      <c r="AL33" s="315"/>
      <c r="AM33" s="311"/>
      <c r="AN33" s="313"/>
      <c r="AO33" s="354"/>
      <c r="AP33" s="315"/>
      <c r="AQ33" s="311"/>
      <c r="AR33" s="313"/>
      <c r="AS33" s="354"/>
      <c r="AT33" s="355"/>
      <c r="AW33" s="16"/>
      <c r="AX33" s="16"/>
      <c r="AY33" s="16"/>
      <c r="AZ33" s="16"/>
      <c r="BA33" s="16"/>
      <c r="BB33" s="16"/>
      <c r="BC33" s="16"/>
      <c r="BD33" s="16"/>
      <c r="BE33" s="16"/>
      <c r="BF33" s="16"/>
      <c r="BG33" s="16"/>
      <c r="BH33" s="16"/>
      <c r="BI33" s="16"/>
      <c r="BJ33" s="16"/>
      <c r="BK33" s="16"/>
      <c r="BL33" s="16"/>
      <c r="BM33" s="16"/>
      <c r="BN33" s="16"/>
      <c r="BO33" s="16"/>
      <c r="BP33" s="16"/>
      <c r="BQ33" s="16"/>
      <c r="BR33" s="16"/>
      <c r="BS33" s="16"/>
    </row>
    <row r="34" spans="16:71">
      <c r="P34" s="356"/>
      <c r="Q34" s="316"/>
      <c r="R34" s="357"/>
      <c r="S34" s="357"/>
      <c r="T34" s="357"/>
      <c r="U34" s="357"/>
      <c r="V34" s="317"/>
      <c r="W34" s="357"/>
      <c r="X34" s="357"/>
      <c r="Y34" s="357"/>
      <c r="Z34" s="357"/>
      <c r="AA34" s="357"/>
      <c r="AB34" s="357"/>
      <c r="AC34" s="357"/>
      <c r="AD34" s="357"/>
      <c r="AE34" s="357"/>
      <c r="AF34" s="357"/>
      <c r="AG34" s="357"/>
      <c r="AH34" s="317"/>
      <c r="AI34" s="311"/>
      <c r="AJ34" s="316"/>
      <c r="AK34" s="357"/>
      <c r="AL34" s="318"/>
      <c r="AM34" s="311"/>
      <c r="AN34" s="316"/>
      <c r="AO34" s="357"/>
      <c r="AP34" s="318"/>
      <c r="AQ34" s="311"/>
      <c r="AR34" s="316"/>
      <c r="AS34" s="357"/>
      <c r="AT34" s="358"/>
    </row>
    <row r="35" spans="16:71">
      <c r="P35" s="359"/>
      <c r="Q35" s="319"/>
      <c r="R35" s="320"/>
      <c r="S35" s="320"/>
      <c r="T35" s="320"/>
      <c r="U35" s="320"/>
      <c r="V35" s="321"/>
      <c r="W35" s="320"/>
      <c r="X35" s="320"/>
      <c r="Y35" s="320"/>
      <c r="Z35" s="320"/>
      <c r="AA35" s="320"/>
      <c r="AB35" s="320"/>
      <c r="AC35" s="320"/>
      <c r="AD35" s="320"/>
      <c r="AE35" s="320"/>
      <c r="AF35" s="320"/>
      <c r="AG35" s="320"/>
      <c r="AH35" s="321"/>
      <c r="AI35" s="311"/>
      <c r="AJ35" s="319"/>
      <c r="AK35" s="320"/>
      <c r="AL35" s="322"/>
      <c r="AM35" s="311"/>
      <c r="AN35" s="319"/>
      <c r="AO35" s="320"/>
      <c r="AP35" s="322"/>
      <c r="AQ35" s="311"/>
      <c r="AR35" s="319"/>
      <c r="AS35" s="320"/>
      <c r="AT35" s="360"/>
    </row>
    <row r="36" spans="16:71" ht="18">
      <c r="P36" s="361"/>
      <c r="Q36" s="323"/>
      <c r="R36" s="323"/>
      <c r="S36" s="323"/>
      <c r="T36" s="323"/>
      <c r="U36" s="323"/>
      <c r="V36" s="323"/>
      <c r="W36" s="323"/>
      <c r="X36" s="323"/>
      <c r="Y36" s="323"/>
      <c r="Z36" s="323"/>
      <c r="AA36" s="323"/>
      <c r="AB36" s="323"/>
      <c r="AC36" s="323"/>
      <c r="AD36" s="323"/>
      <c r="AE36" s="323"/>
      <c r="AF36" s="324"/>
      <c r="AG36" s="324"/>
      <c r="AH36" s="324"/>
      <c r="AI36" s="325"/>
      <c r="AJ36" s="324"/>
      <c r="AK36" s="324"/>
      <c r="AL36" s="324"/>
      <c r="AM36" s="325"/>
      <c r="AN36" s="324"/>
      <c r="AO36" s="324"/>
      <c r="AP36" s="324"/>
      <c r="AQ36" s="325"/>
      <c r="AR36" s="324"/>
      <c r="AS36" s="324"/>
      <c r="AT36" s="362"/>
    </row>
    <row r="37" spans="16:71">
      <c r="P37" s="363"/>
      <c r="Q37" s="308"/>
      <c r="R37" s="309"/>
      <c r="S37" s="309"/>
      <c r="T37" s="309"/>
      <c r="U37" s="309"/>
      <c r="V37" s="310"/>
      <c r="W37" s="309"/>
      <c r="X37" s="309"/>
      <c r="Y37" s="309"/>
      <c r="Z37" s="309"/>
      <c r="AA37" s="309"/>
      <c r="AB37" s="309"/>
      <c r="AC37" s="309"/>
      <c r="AD37" s="309"/>
      <c r="AE37" s="309"/>
      <c r="AF37" s="309"/>
      <c r="AG37" s="309"/>
      <c r="AH37" s="310"/>
      <c r="AI37" s="311"/>
      <c r="AJ37" s="308"/>
      <c r="AK37" s="309"/>
      <c r="AL37" s="312"/>
      <c r="AM37" s="311"/>
      <c r="AN37" s="308"/>
      <c r="AO37" s="309"/>
      <c r="AP37" s="312"/>
      <c r="AQ37" s="311"/>
      <c r="AR37" s="308"/>
      <c r="AS37" s="309"/>
      <c r="AT37" s="352"/>
    </row>
    <row r="38" spans="16:71">
      <c r="P38" s="353"/>
      <c r="Q38" s="313"/>
      <c r="R38" s="354"/>
      <c r="S38" s="354"/>
      <c r="T38" s="354"/>
      <c r="U38" s="354"/>
      <c r="V38" s="314"/>
      <c r="W38" s="354"/>
      <c r="X38" s="354"/>
      <c r="Y38" s="354"/>
      <c r="Z38" s="354"/>
      <c r="AA38" s="354"/>
      <c r="AB38" s="354"/>
      <c r="AC38" s="354"/>
      <c r="AD38" s="354"/>
      <c r="AE38" s="354"/>
      <c r="AF38" s="354"/>
      <c r="AG38" s="354"/>
      <c r="AH38" s="314"/>
      <c r="AI38" s="311"/>
      <c r="AJ38" s="313"/>
      <c r="AK38" s="354"/>
      <c r="AL38" s="315"/>
      <c r="AM38" s="311"/>
      <c r="AN38" s="313"/>
      <c r="AO38" s="354"/>
      <c r="AP38" s="315"/>
      <c r="AQ38" s="311"/>
      <c r="AR38" s="313"/>
      <c r="AS38" s="354"/>
      <c r="AT38" s="355"/>
    </row>
    <row r="39" spans="16:71">
      <c r="P39" s="356"/>
      <c r="Q39" s="316"/>
      <c r="R39" s="357"/>
      <c r="S39" s="357"/>
      <c r="T39" s="357"/>
      <c r="U39" s="357"/>
      <c r="V39" s="317"/>
      <c r="W39" s="357"/>
      <c r="X39" s="357"/>
      <c r="Y39" s="357"/>
      <c r="Z39" s="357"/>
      <c r="AA39" s="357"/>
      <c r="AB39" s="357"/>
      <c r="AC39" s="357"/>
      <c r="AD39" s="357"/>
      <c r="AE39" s="357"/>
      <c r="AF39" s="357"/>
      <c r="AG39" s="357"/>
      <c r="AH39" s="317"/>
      <c r="AI39" s="311"/>
      <c r="AJ39" s="316"/>
      <c r="AK39" s="357"/>
      <c r="AL39" s="318"/>
      <c r="AM39" s="311"/>
      <c r="AN39" s="316"/>
      <c r="AO39" s="357"/>
      <c r="AP39" s="318"/>
      <c r="AQ39" s="311"/>
      <c r="AR39" s="316"/>
      <c r="AS39" s="357"/>
      <c r="AT39" s="358"/>
    </row>
    <row r="40" spans="16:71">
      <c r="P40" s="364"/>
      <c r="Q40" s="365"/>
      <c r="R40" s="366"/>
      <c r="S40" s="366"/>
      <c r="T40" s="366"/>
      <c r="U40" s="366"/>
      <c r="V40" s="367"/>
      <c r="W40" s="366"/>
      <c r="X40" s="366"/>
      <c r="Y40" s="366"/>
      <c r="Z40" s="366"/>
      <c r="AA40" s="366"/>
      <c r="AB40" s="366"/>
      <c r="AC40" s="366"/>
      <c r="AD40" s="366"/>
      <c r="AE40" s="366"/>
      <c r="AF40" s="366"/>
      <c r="AG40" s="366"/>
      <c r="AH40" s="367"/>
      <c r="AI40" s="368"/>
      <c r="AJ40" s="365"/>
      <c r="AK40" s="366"/>
      <c r="AL40" s="369"/>
      <c r="AM40" s="368"/>
      <c r="AN40" s="365"/>
      <c r="AO40" s="366"/>
      <c r="AP40" s="369"/>
      <c r="AQ40" s="368"/>
      <c r="AR40" s="365"/>
      <c r="AS40" s="366"/>
      <c r="AT40" s="370"/>
    </row>
    <row r="42" spans="16:71">
      <c r="P42" s="1148" t="s">
        <v>331</v>
      </c>
      <c r="Q42" s="1149"/>
    </row>
    <row r="43" spans="16:71">
      <c r="P43" s="1150"/>
      <c r="Q43" s="1151"/>
      <c r="R43" s="1152"/>
      <c r="S43" s="1152"/>
      <c r="T43" s="1152"/>
      <c r="U43" s="1152"/>
      <c r="V43" s="1153"/>
      <c r="W43" s="1154"/>
      <c r="X43" s="1152"/>
      <c r="Y43" s="1152"/>
      <c r="Z43" s="1152"/>
      <c r="AA43" s="1152"/>
      <c r="AB43" s="1152"/>
      <c r="AC43" s="1152"/>
      <c r="AD43" s="1152"/>
      <c r="AE43" s="1152"/>
      <c r="AF43" s="1152"/>
      <c r="AG43" s="1152"/>
      <c r="AH43" s="1153"/>
      <c r="AI43" s="371"/>
      <c r="AJ43" s="1144"/>
      <c r="AK43" s="1145"/>
      <c r="AL43" s="1146"/>
      <c r="AM43" s="371"/>
      <c r="AN43" s="1144"/>
      <c r="AO43" s="1145"/>
      <c r="AP43" s="1146"/>
      <c r="AQ43" s="371"/>
      <c r="AR43" s="1144"/>
      <c r="AS43" s="1145"/>
      <c r="AT43" s="1147"/>
    </row>
    <row r="44" spans="16:71">
      <c r="P44" s="1136"/>
      <c r="Q44" s="303"/>
      <c r="R44" s="304"/>
      <c r="S44" s="304"/>
      <c r="T44" s="304"/>
      <c r="U44" s="304"/>
      <c r="V44" s="305"/>
      <c r="W44" s="304"/>
      <c r="X44" s="304"/>
      <c r="Y44" s="304"/>
      <c r="Z44" s="304"/>
      <c r="AA44" s="304"/>
      <c r="AB44" s="304"/>
      <c r="AC44" s="304"/>
      <c r="AD44" s="304"/>
      <c r="AE44" s="304"/>
      <c r="AF44" s="304"/>
      <c r="AG44" s="304"/>
      <c r="AH44" s="305"/>
      <c r="AI44" s="306"/>
      <c r="AJ44" s="303"/>
      <c r="AK44" s="304"/>
      <c r="AL44" s="307"/>
      <c r="AM44" s="306"/>
      <c r="AN44" s="303"/>
      <c r="AO44" s="304"/>
      <c r="AP44" s="307"/>
      <c r="AQ44" s="306"/>
      <c r="AR44" s="303"/>
      <c r="AS44" s="304"/>
      <c r="AT44" s="372"/>
    </row>
    <row r="45" spans="16:71">
      <c r="P45" s="351"/>
      <c r="Q45" s="308"/>
      <c r="R45" s="309"/>
      <c r="S45" s="309"/>
      <c r="T45" s="309"/>
      <c r="U45" s="309"/>
      <c r="V45" s="310"/>
      <c r="W45" s="309"/>
      <c r="X45" s="309"/>
      <c r="Y45" s="309"/>
      <c r="Z45" s="309"/>
      <c r="AA45" s="309"/>
      <c r="AB45" s="309"/>
      <c r="AC45" s="309"/>
      <c r="AD45" s="309"/>
      <c r="AE45" s="309"/>
      <c r="AF45" s="309"/>
      <c r="AG45" s="309"/>
      <c r="AH45" s="310"/>
      <c r="AI45" s="311"/>
      <c r="AJ45" s="308"/>
      <c r="AK45" s="309"/>
      <c r="AL45" s="312"/>
      <c r="AM45" s="311"/>
      <c r="AN45" s="308"/>
      <c r="AO45" s="309"/>
      <c r="AP45" s="312"/>
      <c r="AQ45" s="311"/>
      <c r="AR45" s="308"/>
      <c r="AS45" s="309"/>
      <c r="AT45" s="352"/>
    </row>
    <row r="46" spans="16:71">
      <c r="P46" s="353"/>
      <c r="Q46" s="313"/>
      <c r="R46" s="354"/>
      <c r="S46" s="354"/>
      <c r="T46" s="354"/>
      <c r="U46" s="354"/>
      <c r="V46" s="314"/>
      <c r="W46" s="354"/>
      <c r="X46" s="354"/>
      <c r="Y46" s="354"/>
      <c r="Z46" s="354"/>
      <c r="AA46" s="354"/>
      <c r="AB46" s="354"/>
      <c r="AC46" s="354"/>
      <c r="AD46" s="354"/>
      <c r="AE46" s="354"/>
      <c r="AF46" s="354"/>
      <c r="AG46" s="354"/>
      <c r="AH46" s="314"/>
      <c r="AI46" s="311"/>
      <c r="AJ46" s="313"/>
      <c r="AK46" s="354"/>
      <c r="AL46" s="315"/>
      <c r="AM46" s="311"/>
      <c r="AN46" s="313"/>
      <c r="AO46" s="354"/>
      <c r="AP46" s="315"/>
      <c r="AQ46" s="311"/>
      <c r="AR46" s="313"/>
      <c r="AS46" s="354"/>
      <c r="AT46" s="355"/>
    </row>
    <row r="47" spans="16:71">
      <c r="P47" s="356"/>
      <c r="Q47" s="316"/>
      <c r="R47" s="357"/>
      <c r="S47" s="357"/>
      <c r="T47" s="357"/>
      <c r="U47" s="357"/>
      <c r="V47" s="317"/>
      <c r="W47" s="357"/>
      <c r="X47" s="357"/>
      <c r="Y47" s="357"/>
      <c r="Z47" s="357"/>
      <c r="AA47" s="357"/>
      <c r="AB47" s="357"/>
      <c r="AC47" s="357"/>
      <c r="AD47" s="357"/>
      <c r="AE47" s="357"/>
      <c r="AF47" s="357"/>
      <c r="AG47" s="357"/>
      <c r="AH47" s="317"/>
      <c r="AI47" s="311"/>
      <c r="AJ47" s="316"/>
      <c r="AK47" s="357"/>
      <c r="AL47" s="318"/>
      <c r="AM47" s="311"/>
      <c r="AN47" s="316"/>
      <c r="AO47" s="357"/>
      <c r="AP47" s="318"/>
      <c r="AQ47" s="311"/>
      <c r="AR47" s="316"/>
      <c r="AS47" s="357"/>
      <c r="AT47" s="358"/>
    </row>
    <row r="48" spans="16:71">
      <c r="P48" s="359"/>
      <c r="Q48" s="319"/>
      <c r="R48" s="320"/>
      <c r="S48" s="320"/>
      <c r="T48" s="320"/>
      <c r="U48" s="320"/>
      <c r="V48" s="321"/>
      <c r="W48" s="320"/>
      <c r="X48" s="320"/>
      <c r="Y48" s="320"/>
      <c r="Z48" s="320"/>
      <c r="AA48" s="320"/>
      <c r="AB48" s="320"/>
      <c r="AC48" s="320"/>
      <c r="AD48" s="320"/>
      <c r="AE48" s="320"/>
      <c r="AF48" s="320"/>
      <c r="AG48" s="320"/>
      <c r="AH48" s="321"/>
      <c r="AI48" s="311"/>
      <c r="AJ48" s="319"/>
      <c r="AK48" s="320"/>
      <c r="AL48" s="322"/>
      <c r="AM48" s="311"/>
      <c r="AN48" s="319"/>
      <c r="AO48" s="320"/>
      <c r="AP48" s="322"/>
      <c r="AQ48" s="311"/>
      <c r="AR48" s="319"/>
      <c r="AS48" s="320"/>
      <c r="AT48" s="360"/>
    </row>
    <row r="49" spans="16:46" ht="18">
      <c r="P49" s="361"/>
      <c r="Q49" s="323"/>
      <c r="R49" s="323"/>
      <c r="S49" s="323"/>
      <c r="T49" s="323"/>
      <c r="U49" s="323"/>
      <c r="V49" s="323"/>
      <c r="W49" s="323"/>
      <c r="X49" s="323"/>
      <c r="Y49" s="323"/>
      <c r="Z49" s="323"/>
      <c r="AA49" s="323"/>
      <c r="AB49" s="323"/>
      <c r="AC49" s="323"/>
      <c r="AD49" s="323"/>
      <c r="AE49" s="323"/>
      <c r="AF49" s="324"/>
      <c r="AG49" s="324"/>
      <c r="AH49" s="324"/>
      <c r="AI49" s="325"/>
      <c r="AJ49" s="324"/>
      <c r="AK49" s="324"/>
      <c r="AL49" s="324"/>
      <c r="AM49" s="325"/>
      <c r="AN49" s="324"/>
      <c r="AO49" s="324"/>
      <c r="AP49" s="324"/>
      <c r="AQ49" s="325"/>
      <c r="AR49" s="324"/>
      <c r="AS49" s="324"/>
      <c r="AT49" s="362"/>
    </row>
    <row r="50" spans="16:46">
      <c r="P50" s="363"/>
      <c r="Q50" s="308"/>
      <c r="R50" s="309"/>
      <c r="S50" s="309"/>
      <c r="T50" s="309"/>
      <c r="U50" s="309"/>
      <c r="V50" s="310"/>
      <c r="W50" s="309"/>
      <c r="X50" s="309"/>
      <c r="Y50" s="309"/>
      <c r="Z50" s="309"/>
      <c r="AA50" s="309"/>
      <c r="AB50" s="309"/>
      <c r="AC50" s="309"/>
      <c r="AD50" s="309"/>
      <c r="AE50" s="309"/>
      <c r="AF50" s="309"/>
      <c r="AG50" s="309"/>
      <c r="AH50" s="310"/>
      <c r="AI50" s="311"/>
      <c r="AJ50" s="308"/>
      <c r="AK50" s="309"/>
      <c r="AL50" s="312"/>
      <c r="AM50" s="311"/>
      <c r="AN50" s="308"/>
      <c r="AO50" s="309"/>
      <c r="AP50" s="312"/>
      <c r="AQ50" s="311"/>
      <c r="AR50" s="308"/>
      <c r="AS50" s="309"/>
      <c r="AT50" s="352"/>
    </row>
    <row r="51" spans="16:46">
      <c r="P51" s="353"/>
      <c r="Q51" s="313"/>
      <c r="R51" s="354"/>
      <c r="S51" s="354"/>
      <c r="T51" s="354"/>
      <c r="U51" s="354"/>
      <c r="V51" s="314"/>
      <c r="W51" s="354"/>
      <c r="X51" s="354"/>
      <c r="Y51" s="354"/>
      <c r="Z51" s="354"/>
      <c r="AA51" s="354"/>
      <c r="AB51" s="354"/>
      <c r="AC51" s="354"/>
      <c r="AD51" s="354"/>
      <c r="AE51" s="354"/>
      <c r="AF51" s="354"/>
      <c r="AG51" s="354"/>
      <c r="AH51" s="314"/>
      <c r="AI51" s="311"/>
      <c r="AJ51" s="313"/>
      <c r="AK51" s="354"/>
      <c r="AL51" s="315"/>
      <c r="AM51" s="311"/>
      <c r="AN51" s="313"/>
      <c r="AO51" s="354"/>
      <c r="AP51" s="315"/>
      <c r="AQ51" s="311"/>
      <c r="AR51" s="313"/>
      <c r="AS51" s="354"/>
      <c r="AT51" s="355"/>
    </row>
    <row r="52" spans="16:46">
      <c r="P52" s="356"/>
      <c r="Q52" s="316"/>
      <c r="R52" s="357"/>
      <c r="S52" s="357"/>
      <c r="T52" s="357"/>
      <c r="U52" s="357"/>
      <c r="V52" s="317"/>
      <c r="W52" s="357"/>
      <c r="X52" s="357"/>
      <c r="Y52" s="357"/>
      <c r="Z52" s="357"/>
      <c r="AA52" s="357"/>
      <c r="AB52" s="357"/>
      <c r="AC52" s="357"/>
      <c r="AD52" s="357"/>
      <c r="AE52" s="357"/>
      <c r="AF52" s="357"/>
      <c r="AG52" s="357"/>
      <c r="AH52" s="317"/>
      <c r="AI52" s="311"/>
      <c r="AJ52" s="316"/>
      <c r="AK52" s="357"/>
      <c r="AL52" s="318"/>
      <c r="AM52" s="311"/>
      <c r="AN52" s="316"/>
      <c r="AO52" s="357"/>
      <c r="AP52" s="318"/>
      <c r="AQ52" s="311"/>
      <c r="AR52" s="316"/>
      <c r="AS52" s="357"/>
      <c r="AT52" s="358"/>
    </row>
    <row r="53" spans="16:46">
      <c r="P53" s="359"/>
      <c r="Q53" s="319"/>
      <c r="R53" s="320"/>
      <c r="S53" s="320"/>
      <c r="T53" s="320"/>
      <c r="U53" s="320"/>
      <c r="V53" s="321"/>
      <c r="W53" s="320"/>
      <c r="X53" s="320"/>
      <c r="Y53" s="320"/>
      <c r="Z53" s="320"/>
      <c r="AA53" s="320"/>
      <c r="AB53" s="320"/>
      <c r="AC53" s="320"/>
      <c r="AD53" s="320"/>
      <c r="AE53" s="320"/>
      <c r="AF53" s="320"/>
      <c r="AG53" s="320"/>
      <c r="AH53" s="321"/>
      <c r="AI53" s="311"/>
      <c r="AJ53" s="319"/>
      <c r="AK53" s="320"/>
      <c r="AL53" s="322"/>
      <c r="AM53" s="311"/>
      <c r="AN53" s="319"/>
      <c r="AO53" s="320"/>
      <c r="AP53" s="322"/>
      <c r="AQ53" s="311"/>
      <c r="AR53" s="319"/>
      <c r="AS53" s="320"/>
      <c r="AT53" s="360"/>
    </row>
    <row r="54" spans="16:46" ht="18">
      <c r="P54" s="361"/>
      <c r="Q54" s="323"/>
      <c r="R54" s="323"/>
      <c r="S54" s="323"/>
      <c r="T54" s="323"/>
      <c r="U54" s="323"/>
      <c r="V54" s="323"/>
      <c r="W54" s="323"/>
      <c r="X54" s="323"/>
      <c r="Y54" s="323"/>
      <c r="Z54" s="323"/>
      <c r="AA54" s="323"/>
      <c r="AB54" s="323"/>
      <c r="AC54" s="323"/>
      <c r="AD54" s="323"/>
      <c r="AE54" s="323"/>
      <c r="AF54" s="324"/>
      <c r="AG54" s="324"/>
      <c r="AH54" s="324"/>
      <c r="AI54" s="325"/>
      <c r="AJ54" s="324"/>
      <c r="AK54" s="324"/>
      <c r="AL54" s="324"/>
      <c r="AM54" s="325"/>
      <c r="AN54" s="324"/>
      <c r="AO54" s="324"/>
      <c r="AP54" s="324"/>
      <c r="AQ54" s="325"/>
      <c r="AR54" s="324"/>
      <c r="AS54" s="324"/>
      <c r="AT54" s="362"/>
    </row>
    <row r="55" spans="16:46">
      <c r="P55" s="1136"/>
      <c r="Q55" s="1137"/>
      <c r="R55" s="1138"/>
      <c r="S55" s="1138"/>
      <c r="T55" s="1138"/>
      <c r="U55" s="1138"/>
      <c r="V55" s="1139"/>
      <c r="W55" s="1140"/>
      <c r="X55" s="1138"/>
      <c r="Y55" s="1138"/>
      <c r="Z55" s="1138"/>
      <c r="AA55" s="1138"/>
      <c r="AB55" s="1138"/>
      <c r="AC55" s="1138"/>
      <c r="AD55" s="1138"/>
      <c r="AE55" s="1138"/>
      <c r="AF55" s="1138"/>
      <c r="AG55" s="1138"/>
      <c r="AH55" s="1139"/>
      <c r="AI55" s="326"/>
      <c r="AJ55" s="1141"/>
      <c r="AK55" s="1142"/>
      <c r="AL55" s="1143"/>
      <c r="AM55" s="326"/>
      <c r="AN55" s="1141"/>
      <c r="AO55" s="1142"/>
      <c r="AP55" s="1143"/>
      <c r="AQ55" s="326"/>
      <c r="AR55" s="1133"/>
      <c r="AS55" s="1134"/>
      <c r="AT55" s="1135"/>
    </row>
    <row r="56" spans="16:46">
      <c r="P56" s="1136"/>
      <c r="Q56" s="327"/>
      <c r="R56" s="328"/>
      <c r="S56" s="328"/>
      <c r="T56" s="328"/>
      <c r="U56" s="328"/>
      <c r="V56" s="329"/>
      <c r="W56" s="328"/>
      <c r="X56" s="328"/>
      <c r="Y56" s="328"/>
      <c r="Z56" s="328"/>
      <c r="AA56" s="328"/>
      <c r="AB56" s="328"/>
      <c r="AC56" s="328"/>
      <c r="AD56" s="328"/>
      <c r="AE56" s="328"/>
      <c r="AF56" s="328"/>
      <c r="AG56" s="328"/>
      <c r="AH56" s="329"/>
      <c r="AI56" s="330"/>
      <c r="AJ56" s="303"/>
      <c r="AK56" s="304"/>
      <c r="AL56" s="307"/>
      <c r="AM56" s="330"/>
      <c r="AN56" s="303"/>
      <c r="AO56" s="304"/>
      <c r="AP56" s="307"/>
      <c r="AQ56" s="330"/>
      <c r="AR56" s="303"/>
      <c r="AS56" s="304"/>
      <c r="AT56" s="372"/>
    </row>
    <row r="57" spans="16:46">
      <c r="P57" s="351"/>
      <c r="Q57" s="331"/>
      <c r="R57" s="332"/>
      <c r="S57" s="332"/>
      <c r="T57" s="332"/>
      <c r="U57" s="332"/>
      <c r="V57" s="333"/>
      <c r="W57" s="332"/>
      <c r="X57" s="332"/>
      <c r="Y57" s="332"/>
      <c r="Z57" s="332"/>
      <c r="AA57" s="332"/>
      <c r="AB57" s="332"/>
      <c r="AC57" s="332"/>
      <c r="AD57" s="332"/>
      <c r="AE57" s="332"/>
      <c r="AF57" s="332"/>
      <c r="AG57" s="332"/>
      <c r="AH57" s="333"/>
      <c r="AI57" s="334"/>
      <c r="AJ57" s="331"/>
      <c r="AK57" s="332"/>
      <c r="AL57" s="335"/>
      <c r="AM57" s="334"/>
      <c r="AN57" s="331"/>
      <c r="AO57" s="332"/>
      <c r="AP57" s="335"/>
      <c r="AQ57" s="334"/>
      <c r="AR57" s="331"/>
      <c r="AS57" s="332"/>
      <c r="AT57" s="373"/>
    </row>
    <row r="58" spans="16:46">
      <c r="P58" s="353"/>
      <c r="Q58" s="336"/>
      <c r="R58" s="374"/>
      <c r="S58" s="374"/>
      <c r="T58" s="374"/>
      <c r="U58" s="374"/>
      <c r="V58" s="337"/>
      <c r="W58" s="374"/>
      <c r="X58" s="374"/>
      <c r="Y58" s="374"/>
      <c r="Z58" s="374"/>
      <c r="AA58" s="374"/>
      <c r="AB58" s="374"/>
      <c r="AC58" s="374"/>
      <c r="AD58" s="374"/>
      <c r="AE58" s="374"/>
      <c r="AF58" s="374"/>
      <c r="AG58" s="374"/>
      <c r="AH58" s="337"/>
      <c r="AI58" s="334"/>
      <c r="AJ58" s="336"/>
      <c r="AK58" s="374"/>
      <c r="AL58" s="338"/>
      <c r="AM58" s="334"/>
      <c r="AN58" s="336"/>
      <c r="AO58" s="374"/>
      <c r="AP58" s="338"/>
      <c r="AQ58" s="334"/>
      <c r="AR58" s="336"/>
      <c r="AS58" s="374"/>
      <c r="AT58" s="375"/>
    </row>
    <row r="59" spans="16:46">
      <c r="P59" s="356"/>
      <c r="Q59" s="316"/>
      <c r="R59" s="357"/>
      <c r="S59" s="357"/>
      <c r="T59" s="357"/>
      <c r="U59" s="357"/>
      <c r="V59" s="317"/>
      <c r="W59" s="357"/>
      <c r="X59" s="357"/>
      <c r="Y59" s="357"/>
      <c r="Z59" s="357"/>
      <c r="AA59" s="357"/>
      <c r="AB59" s="357"/>
      <c r="AC59" s="357"/>
      <c r="AD59" s="357"/>
      <c r="AE59" s="357"/>
      <c r="AF59" s="357"/>
      <c r="AG59" s="357"/>
      <c r="AH59" s="317"/>
      <c r="AI59" s="311"/>
      <c r="AJ59" s="316"/>
      <c r="AK59" s="357"/>
      <c r="AL59" s="318"/>
      <c r="AM59" s="311"/>
      <c r="AN59" s="316"/>
      <c r="AO59" s="357"/>
      <c r="AP59" s="318"/>
      <c r="AQ59" s="311"/>
      <c r="AR59" s="316"/>
      <c r="AS59" s="357"/>
      <c r="AT59" s="358"/>
    </row>
    <row r="60" spans="16:46">
      <c r="P60" s="359"/>
      <c r="Q60" s="319"/>
      <c r="R60" s="320"/>
      <c r="S60" s="320"/>
      <c r="T60" s="320"/>
      <c r="U60" s="320"/>
      <c r="V60" s="321"/>
      <c r="W60" s="320"/>
      <c r="X60" s="320"/>
      <c r="Y60" s="320"/>
      <c r="Z60" s="320"/>
      <c r="AA60" s="320"/>
      <c r="AB60" s="320"/>
      <c r="AC60" s="320"/>
      <c r="AD60" s="320"/>
      <c r="AE60" s="320"/>
      <c r="AF60" s="320"/>
      <c r="AG60" s="320"/>
      <c r="AH60" s="321"/>
      <c r="AI60" s="311"/>
      <c r="AJ60" s="319"/>
      <c r="AK60" s="320"/>
      <c r="AL60" s="322"/>
      <c r="AM60" s="311"/>
      <c r="AN60" s="319"/>
      <c r="AO60" s="320"/>
      <c r="AP60" s="322"/>
      <c r="AQ60" s="311"/>
      <c r="AR60" s="319"/>
      <c r="AS60" s="320"/>
      <c r="AT60" s="360"/>
    </row>
    <row r="61" spans="16:46" ht="18">
      <c r="P61" s="361"/>
      <c r="Q61" s="323"/>
      <c r="R61" s="323"/>
      <c r="S61" s="323"/>
      <c r="T61" s="323"/>
      <c r="U61" s="323"/>
      <c r="V61" s="323"/>
      <c r="W61" s="323"/>
      <c r="X61" s="323"/>
      <c r="Y61" s="323"/>
      <c r="Z61" s="323"/>
      <c r="AA61" s="323"/>
      <c r="AB61" s="323"/>
      <c r="AC61" s="323"/>
      <c r="AD61" s="323"/>
      <c r="AE61" s="323"/>
      <c r="AF61" s="324"/>
      <c r="AG61" s="324"/>
      <c r="AH61" s="324"/>
      <c r="AI61" s="325"/>
      <c r="AJ61" s="324"/>
      <c r="AK61" s="324"/>
      <c r="AL61" s="324"/>
      <c r="AM61" s="325"/>
      <c r="AN61" s="324"/>
      <c r="AO61" s="324"/>
      <c r="AP61" s="324"/>
      <c r="AQ61" s="325"/>
      <c r="AR61" s="324"/>
      <c r="AS61" s="324"/>
      <c r="AT61" s="362"/>
    </row>
    <row r="62" spans="16:46">
      <c r="P62" s="363"/>
      <c r="Q62" s="308"/>
      <c r="R62" s="309"/>
      <c r="S62" s="309"/>
      <c r="T62" s="309"/>
      <c r="U62" s="309"/>
      <c r="V62" s="310"/>
      <c r="W62" s="309"/>
      <c r="X62" s="309"/>
      <c r="Y62" s="309"/>
      <c r="Z62" s="309"/>
      <c r="AA62" s="309"/>
      <c r="AB62" s="309"/>
      <c r="AC62" s="309"/>
      <c r="AD62" s="309"/>
      <c r="AE62" s="309"/>
      <c r="AF62" s="309"/>
      <c r="AG62" s="309"/>
      <c r="AH62" s="310"/>
      <c r="AI62" s="311"/>
      <c r="AJ62" s="308"/>
      <c r="AK62" s="309"/>
      <c r="AL62" s="312"/>
      <c r="AM62" s="311"/>
      <c r="AN62" s="308"/>
      <c r="AO62" s="309"/>
      <c r="AP62" s="312"/>
      <c r="AQ62" s="311"/>
      <c r="AR62" s="308"/>
      <c r="AS62" s="309"/>
      <c r="AT62" s="352"/>
    </row>
    <row r="63" spans="16:46">
      <c r="P63" s="353"/>
      <c r="Q63" s="313"/>
      <c r="R63" s="354"/>
      <c r="S63" s="354"/>
      <c r="T63" s="354"/>
      <c r="U63" s="354"/>
      <c r="V63" s="314"/>
      <c r="W63" s="354"/>
      <c r="X63" s="354"/>
      <c r="Y63" s="354"/>
      <c r="Z63" s="354"/>
      <c r="AA63" s="354"/>
      <c r="AB63" s="354"/>
      <c r="AC63" s="354"/>
      <c r="AD63" s="354"/>
      <c r="AE63" s="354"/>
      <c r="AF63" s="354"/>
      <c r="AG63" s="354"/>
      <c r="AH63" s="314"/>
      <c r="AI63" s="311"/>
      <c r="AJ63" s="313"/>
      <c r="AK63" s="354"/>
      <c r="AL63" s="315"/>
      <c r="AM63" s="311"/>
      <c r="AN63" s="313"/>
      <c r="AO63" s="354"/>
      <c r="AP63" s="315"/>
      <c r="AQ63" s="311"/>
      <c r="AR63" s="313"/>
      <c r="AS63" s="354"/>
      <c r="AT63" s="355"/>
    </row>
    <row r="64" spans="16:46">
      <c r="P64" s="356"/>
      <c r="Q64" s="316"/>
      <c r="R64" s="357"/>
      <c r="S64" s="357"/>
      <c r="T64" s="357"/>
      <c r="U64" s="357"/>
      <c r="V64" s="317"/>
      <c r="W64" s="357"/>
      <c r="X64" s="357"/>
      <c r="Y64" s="357"/>
      <c r="Z64" s="357"/>
      <c r="AA64" s="357"/>
      <c r="AB64" s="357"/>
      <c r="AC64" s="357"/>
      <c r="AD64" s="357"/>
      <c r="AE64" s="357"/>
      <c r="AF64" s="357"/>
      <c r="AG64" s="357"/>
      <c r="AH64" s="317"/>
      <c r="AI64" s="311"/>
      <c r="AJ64" s="316"/>
      <c r="AK64" s="357"/>
      <c r="AL64" s="318"/>
      <c r="AM64" s="311"/>
      <c r="AN64" s="316"/>
      <c r="AO64" s="357"/>
      <c r="AP64" s="318"/>
      <c r="AQ64" s="311"/>
      <c r="AR64" s="316"/>
      <c r="AS64" s="357"/>
      <c r="AT64" s="358"/>
    </row>
    <row r="65" spans="16:46">
      <c r="P65" s="359"/>
      <c r="Q65" s="319"/>
      <c r="R65" s="320"/>
      <c r="S65" s="320"/>
      <c r="T65" s="320"/>
      <c r="U65" s="320"/>
      <c r="V65" s="321"/>
      <c r="W65" s="320"/>
      <c r="X65" s="320"/>
      <c r="Y65" s="320"/>
      <c r="Z65" s="320"/>
      <c r="AA65" s="320"/>
      <c r="AB65" s="320"/>
      <c r="AC65" s="320"/>
      <c r="AD65" s="320"/>
      <c r="AE65" s="320"/>
      <c r="AF65" s="320"/>
      <c r="AG65" s="320"/>
      <c r="AH65" s="321"/>
      <c r="AI65" s="311"/>
      <c r="AJ65" s="319"/>
      <c r="AK65" s="320"/>
      <c r="AL65" s="322"/>
      <c r="AM65" s="311"/>
      <c r="AN65" s="319"/>
      <c r="AO65" s="320"/>
      <c r="AP65" s="322"/>
      <c r="AQ65" s="311"/>
      <c r="AR65" s="319"/>
      <c r="AS65" s="320"/>
      <c r="AT65" s="360"/>
    </row>
    <row r="66" spans="16:46" ht="18">
      <c r="P66" s="361"/>
      <c r="Q66" s="323"/>
      <c r="R66" s="323"/>
      <c r="S66" s="323"/>
      <c r="T66" s="323"/>
      <c r="U66" s="323"/>
      <c r="V66" s="323"/>
      <c r="W66" s="323"/>
      <c r="X66" s="323"/>
      <c r="Y66" s="323"/>
      <c r="Z66" s="323"/>
      <c r="AA66" s="323"/>
      <c r="AB66" s="323"/>
      <c r="AC66" s="323"/>
      <c r="AD66" s="323"/>
      <c r="AE66" s="323"/>
      <c r="AF66" s="324"/>
      <c r="AG66" s="324"/>
      <c r="AH66" s="324"/>
      <c r="AI66" s="325"/>
      <c r="AJ66" s="324"/>
      <c r="AK66" s="324"/>
      <c r="AL66" s="324"/>
      <c r="AM66" s="325"/>
      <c r="AN66" s="324"/>
      <c r="AO66" s="324"/>
      <c r="AP66" s="324"/>
      <c r="AQ66" s="325"/>
      <c r="AR66" s="324"/>
      <c r="AS66" s="324"/>
      <c r="AT66" s="362"/>
    </row>
    <row r="67" spans="16:46">
      <c r="P67" s="1136"/>
      <c r="Q67" s="1137"/>
      <c r="R67" s="1138"/>
      <c r="S67" s="1138"/>
      <c r="T67" s="1138"/>
      <c r="U67" s="1138"/>
      <c r="V67" s="1139"/>
      <c r="W67" s="1140"/>
      <c r="X67" s="1138"/>
      <c r="Y67" s="1138"/>
      <c r="Z67" s="1138"/>
      <c r="AA67" s="1138"/>
      <c r="AB67" s="1138"/>
      <c r="AC67" s="1138"/>
      <c r="AD67" s="1138"/>
      <c r="AE67" s="1138"/>
      <c r="AF67" s="1138"/>
      <c r="AG67" s="1138"/>
      <c r="AH67" s="1139"/>
      <c r="AI67" s="326"/>
      <c r="AJ67" s="1141"/>
      <c r="AK67" s="1142"/>
      <c r="AL67" s="1143"/>
      <c r="AM67" s="326"/>
      <c r="AN67" s="1141"/>
      <c r="AO67" s="1142"/>
      <c r="AP67" s="1143"/>
      <c r="AQ67" s="326"/>
      <c r="AR67" s="1133"/>
      <c r="AS67" s="1134"/>
      <c r="AT67" s="1135"/>
    </row>
    <row r="68" spans="16:46">
      <c r="P68" s="1136"/>
      <c r="Q68" s="327"/>
      <c r="R68" s="328"/>
      <c r="S68" s="328"/>
      <c r="T68" s="328"/>
      <c r="U68" s="328"/>
      <c r="V68" s="329"/>
      <c r="W68" s="328"/>
      <c r="X68" s="328"/>
      <c r="Y68" s="328"/>
      <c r="Z68" s="328"/>
      <c r="AA68" s="328"/>
      <c r="AB68" s="328"/>
      <c r="AC68" s="328"/>
      <c r="AD68" s="328"/>
      <c r="AE68" s="328"/>
      <c r="AF68" s="328"/>
      <c r="AG68" s="328"/>
      <c r="AH68" s="329"/>
      <c r="AI68" s="330"/>
      <c r="AJ68" s="303"/>
      <c r="AK68" s="304"/>
      <c r="AL68" s="307"/>
      <c r="AM68" s="330"/>
      <c r="AN68" s="303"/>
      <c r="AO68" s="304"/>
      <c r="AP68" s="307"/>
      <c r="AQ68" s="330"/>
      <c r="AR68" s="303"/>
      <c r="AS68" s="304"/>
      <c r="AT68" s="372"/>
    </row>
    <row r="69" spans="16:46">
      <c r="P69" s="351"/>
      <c r="Q69" s="331"/>
      <c r="R69" s="332"/>
      <c r="S69" s="332"/>
      <c r="T69" s="332"/>
      <c r="U69" s="332"/>
      <c r="V69" s="333"/>
      <c r="W69" s="332"/>
      <c r="X69" s="332"/>
      <c r="Y69" s="332"/>
      <c r="Z69" s="332"/>
      <c r="AA69" s="332"/>
      <c r="AB69" s="332"/>
      <c r="AC69" s="332"/>
      <c r="AD69" s="332"/>
      <c r="AE69" s="332"/>
      <c r="AF69" s="332"/>
      <c r="AG69" s="332"/>
      <c r="AH69" s="333"/>
      <c r="AI69" s="334"/>
      <c r="AJ69" s="331"/>
      <c r="AK69" s="332"/>
      <c r="AL69" s="335"/>
      <c r="AM69" s="334"/>
      <c r="AN69" s="331"/>
      <c r="AO69" s="332"/>
      <c r="AP69" s="335"/>
      <c r="AQ69" s="334"/>
      <c r="AR69" s="331"/>
      <c r="AS69" s="332"/>
      <c r="AT69" s="373"/>
    </row>
    <row r="70" spans="16:46">
      <c r="P70" s="353"/>
      <c r="Q70" s="336"/>
      <c r="R70" s="374"/>
      <c r="S70" s="374"/>
      <c r="T70" s="374"/>
      <c r="U70" s="374"/>
      <c r="V70" s="337"/>
      <c r="W70" s="374"/>
      <c r="X70" s="374"/>
      <c r="Y70" s="374"/>
      <c r="Z70" s="374"/>
      <c r="AA70" s="374"/>
      <c r="AB70" s="374"/>
      <c r="AC70" s="374"/>
      <c r="AD70" s="374"/>
      <c r="AE70" s="374"/>
      <c r="AF70" s="374"/>
      <c r="AG70" s="374"/>
      <c r="AH70" s="337"/>
      <c r="AI70" s="334"/>
      <c r="AJ70" s="336"/>
      <c r="AK70" s="374"/>
      <c r="AL70" s="338"/>
      <c r="AM70" s="334"/>
      <c r="AN70" s="336"/>
      <c r="AO70" s="374"/>
      <c r="AP70" s="338"/>
      <c r="AQ70" s="334"/>
      <c r="AR70" s="336"/>
      <c r="AS70" s="374"/>
      <c r="AT70" s="375"/>
    </row>
    <row r="71" spans="16:46">
      <c r="P71" s="356"/>
      <c r="Q71" s="316"/>
      <c r="R71" s="357"/>
      <c r="S71" s="357"/>
      <c r="T71" s="357"/>
      <c r="U71" s="357"/>
      <c r="V71" s="317"/>
      <c r="W71" s="357"/>
      <c r="X71" s="357"/>
      <c r="Y71" s="357"/>
      <c r="Z71" s="357"/>
      <c r="AA71" s="357"/>
      <c r="AB71" s="357"/>
      <c r="AC71" s="357"/>
      <c r="AD71" s="357"/>
      <c r="AE71" s="357"/>
      <c r="AF71" s="357"/>
      <c r="AG71" s="357"/>
      <c r="AH71" s="317"/>
      <c r="AI71" s="311"/>
      <c r="AJ71" s="316"/>
      <c r="AK71" s="357"/>
      <c r="AL71" s="318"/>
      <c r="AM71" s="311"/>
      <c r="AN71" s="316"/>
      <c r="AO71" s="357"/>
      <c r="AP71" s="318"/>
      <c r="AQ71" s="311"/>
      <c r="AR71" s="316"/>
      <c r="AS71" s="357"/>
      <c r="AT71" s="358"/>
    </row>
    <row r="72" spans="16:46">
      <c r="P72" s="359"/>
      <c r="Q72" s="319"/>
      <c r="R72" s="320"/>
      <c r="S72" s="320"/>
      <c r="T72" s="320"/>
      <c r="U72" s="320"/>
      <c r="V72" s="321"/>
      <c r="W72" s="320"/>
      <c r="X72" s="320"/>
      <c r="Y72" s="320"/>
      <c r="Z72" s="320"/>
      <c r="AA72" s="320"/>
      <c r="AB72" s="320"/>
      <c r="AC72" s="320"/>
      <c r="AD72" s="320"/>
      <c r="AE72" s="320"/>
      <c r="AF72" s="320"/>
      <c r="AG72" s="320"/>
      <c r="AH72" s="321"/>
      <c r="AI72" s="311"/>
      <c r="AJ72" s="319"/>
      <c r="AK72" s="320"/>
      <c r="AL72" s="322"/>
      <c r="AM72" s="311"/>
      <c r="AN72" s="319"/>
      <c r="AO72" s="320"/>
      <c r="AP72" s="322"/>
      <c r="AQ72" s="311"/>
      <c r="AR72" s="319"/>
      <c r="AS72" s="320"/>
      <c r="AT72" s="360"/>
    </row>
    <row r="73" spans="16:46" ht="18">
      <c r="P73" s="361"/>
      <c r="Q73" s="323"/>
      <c r="R73" s="323"/>
      <c r="S73" s="323"/>
      <c r="T73" s="323"/>
      <c r="U73" s="323"/>
      <c r="V73" s="323"/>
      <c r="W73" s="323"/>
      <c r="X73" s="323"/>
      <c r="Y73" s="323"/>
      <c r="Z73" s="323"/>
      <c r="AA73" s="323"/>
      <c r="AB73" s="323"/>
      <c r="AC73" s="323"/>
      <c r="AD73" s="323"/>
      <c r="AE73" s="323"/>
      <c r="AF73" s="324"/>
      <c r="AG73" s="324"/>
      <c r="AH73" s="324"/>
      <c r="AI73" s="325"/>
      <c r="AJ73" s="324"/>
      <c r="AK73" s="324"/>
      <c r="AL73" s="324"/>
      <c r="AM73" s="325"/>
      <c r="AN73" s="324"/>
      <c r="AO73" s="324"/>
      <c r="AP73" s="324"/>
      <c r="AQ73" s="325"/>
      <c r="AR73" s="324"/>
      <c r="AS73" s="324"/>
      <c r="AT73" s="362"/>
    </row>
    <row r="74" spans="16:46">
      <c r="P74" s="363"/>
      <c r="Q74" s="308"/>
      <c r="R74" s="309"/>
      <c r="S74" s="309"/>
      <c r="T74" s="309"/>
      <c r="U74" s="309"/>
      <c r="V74" s="310"/>
      <c r="W74" s="309"/>
      <c r="X74" s="309"/>
      <c r="Y74" s="309"/>
      <c r="Z74" s="309"/>
      <c r="AA74" s="309"/>
      <c r="AB74" s="309"/>
      <c r="AC74" s="309"/>
      <c r="AD74" s="309"/>
      <c r="AE74" s="309"/>
      <c r="AF74" s="309"/>
      <c r="AG74" s="309"/>
      <c r="AH74" s="310"/>
      <c r="AI74" s="311"/>
      <c r="AJ74" s="308"/>
      <c r="AK74" s="309"/>
      <c r="AL74" s="312"/>
      <c r="AM74" s="311"/>
      <c r="AN74" s="308"/>
      <c r="AO74" s="309"/>
      <c r="AP74" s="312"/>
      <c r="AQ74" s="311"/>
      <c r="AR74" s="308"/>
      <c r="AS74" s="309"/>
      <c r="AT74" s="352"/>
    </row>
    <row r="75" spans="16:46">
      <c r="P75" s="353"/>
      <c r="Q75" s="313"/>
      <c r="R75" s="354"/>
      <c r="S75" s="354"/>
      <c r="T75" s="354"/>
      <c r="U75" s="354"/>
      <c r="V75" s="314"/>
      <c r="W75" s="354"/>
      <c r="X75" s="354"/>
      <c r="Y75" s="354"/>
      <c r="Z75" s="354"/>
      <c r="AA75" s="354"/>
      <c r="AB75" s="354"/>
      <c r="AC75" s="354"/>
      <c r="AD75" s="354"/>
      <c r="AE75" s="354"/>
      <c r="AF75" s="354"/>
      <c r="AG75" s="354"/>
      <c r="AH75" s="314"/>
      <c r="AI75" s="311"/>
      <c r="AJ75" s="313"/>
      <c r="AK75" s="354"/>
      <c r="AL75" s="315"/>
      <c r="AM75" s="311"/>
      <c r="AN75" s="313"/>
      <c r="AO75" s="354"/>
      <c r="AP75" s="315"/>
      <c r="AQ75" s="311"/>
      <c r="AR75" s="313"/>
      <c r="AS75" s="354"/>
      <c r="AT75" s="355"/>
    </row>
    <row r="76" spans="16:46">
      <c r="P76" s="356"/>
      <c r="Q76" s="316"/>
      <c r="R76" s="357"/>
      <c r="S76" s="357"/>
      <c r="T76" s="357"/>
      <c r="U76" s="357"/>
      <c r="V76" s="317"/>
      <c r="W76" s="357"/>
      <c r="X76" s="357"/>
      <c r="Y76" s="357"/>
      <c r="Z76" s="357"/>
      <c r="AA76" s="357"/>
      <c r="AB76" s="357"/>
      <c r="AC76" s="357"/>
      <c r="AD76" s="357"/>
      <c r="AE76" s="357"/>
      <c r="AF76" s="357"/>
      <c r="AG76" s="357"/>
      <c r="AH76" s="317"/>
      <c r="AI76" s="311"/>
      <c r="AJ76" s="316"/>
      <c r="AK76" s="357"/>
      <c r="AL76" s="318"/>
      <c r="AM76" s="311"/>
      <c r="AN76" s="316"/>
      <c r="AO76" s="357"/>
      <c r="AP76" s="318"/>
      <c r="AQ76" s="311"/>
      <c r="AR76" s="316"/>
      <c r="AS76" s="357"/>
      <c r="AT76" s="358"/>
    </row>
    <row r="77" spans="16:46">
      <c r="P77" s="364"/>
      <c r="Q77" s="365"/>
      <c r="R77" s="366"/>
      <c r="S77" s="366"/>
      <c r="T77" s="366"/>
      <c r="U77" s="366"/>
      <c r="V77" s="367"/>
      <c r="W77" s="366"/>
      <c r="X77" s="366"/>
      <c r="Y77" s="366"/>
      <c r="Z77" s="366"/>
      <c r="AA77" s="366"/>
      <c r="AB77" s="366"/>
      <c r="AC77" s="366"/>
      <c r="AD77" s="366"/>
      <c r="AE77" s="366"/>
      <c r="AF77" s="366"/>
      <c r="AG77" s="366"/>
      <c r="AH77" s="367"/>
      <c r="AI77" s="368"/>
      <c r="AJ77" s="365"/>
      <c r="AK77" s="366"/>
      <c r="AL77" s="369"/>
      <c r="AM77" s="368"/>
      <c r="AN77" s="365"/>
      <c r="AO77" s="366"/>
      <c r="AP77" s="369"/>
      <c r="AQ77" s="368"/>
      <c r="AR77" s="365"/>
      <c r="AS77" s="366"/>
      <c r="AT77" s="370"/>
    </row>
    <row r="80" spans="16:46">
      <c r="AJ80" s="340"/>
    </row>
  </sheetData>
  <mergeCells count="56">
    <mergeCell ref="P6:P7"/>
    <mergeCell ref="P5:Q5"/>
    <mergeCell ref="K15:N15"/>
    <mergeCell ref="K16:N16"/>
    <mergeCell ref="K17:N17"/>
    <mergeCell ref="Q6:V6"/>
    <mergeCell ref="G12:J12"/>
    <mergeCell ref="K12:N12"/>
    <mergeCell ref="K6:N6"/>
    <mergeCell ref="K13:N13"/>
    <mergeCell ref="K14:N14"/>
    <mergeCell ref="G7:J7"/>
    <mergeCell ref="K7:N7"/>
    <mergeCell ref="G8:J8"/>
    <mergeCell ref="K8:N8"/>
    <mergeCell ref="G9:J9"/>
    <mergeCell ref="K9:N9"/>
    <mergeCell ref="G10:J10"/>
    <mergeCell ref="K10:N10"/>
    <mergeCell ref="G11:J11"/>
    <mergeCell ref="K11:N11"/>
    <mergeCell ref="W6:AH6"/>
    <mergeCell ref="AJ6:AL6"/>
    <mergeCell ref="AN6:AP6"/>
    <mergeCell ref="AR6:AT6"/>
    <mergeCell ref="AR18:AT18"/>
    <mergeCell ref="AR30:AT30"/>
    <mergeCell ref="P18:P19"/>
    <mergeCell ref="Q18:V18"/>
    <mergeCell ref="W18:AH18"/>
    <mergeCell ref="AJ18:AL18"/>
    <mergeCell ref="AN18:AP18"/>
    <mergeCell ref="P30:P31"/>
    <mergeCell ref="Q30:V30"/>
    <mergeCell ref="W30:AH30"/>
    <mergeCell ref="AJ30:AL30"/>
    <mergeCell ref="AN30:AP30"/>
    <mergeCell ref="P42:Q42"/>
    <mergeCell ref="P43:P44"/>
    <mergeCell ref="Q43:V43"/>
    <mergeCell ref="W43:AH43"/>
    <mergeCell ref="AJ43:AL43"/>
    <mergeCell ref="AN43:AP43"/>
    <mergeCell ref="AR43:AT43"/>
    <mergeCell ref="P55:P56"/>
    <mergeCell ref="Q55:V55"/>
    <mergeCell ref="W55:AH55"/>
    <mergeCell ref="AJ55:AL55"/>
    <mergeCell ref="AN55:AP55"/>
    <mergeCell ref="AR55:AT55"/>
    <mergeCell ref="AR67:AT67"/>
    <mergeCell ref="P67:P68"/>
    <mergeCell ref="Q67:V67"/>
    <mergeCell ref="W67:AH67"/>
    <mergeCell ref="AJ67:AL67"/>
    <mergeCell ref="AN67:AP67"/>
  </mergeCells>
  <pageMargins left="0.25" right="0.25" top="0.25" bottom="0.25" header="0" footer="0"/>
  <pageSetup scale="16"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4D9C-F619-0C42-97B9-495CD8FC0B87}">
  <sheetPr>
    <tabColor theme="5" tint="0.59999389629810485"/>
    <pageSetUpPr fitToPage="1"/>
  </sheetPr>
  <dimension ref="B2:N36"/>
  <sheetViews>
    <sheetView showGridLines="0" topLeftCell="A6" workbookViewId="0">
      <selection activeCell="T33" sqref="T33"/>
    </sheetView>
  </sheetViews>
  <sheetFormatPr baseColWidth="10" defaultRowHeight="16"/>
  <cols>
    <col min="1" max="1" width="2.6640625" customWidth="1"/>
    <col min="2" max="2" width="13" bestFit="1" customWidth="1"/>
    <col min="3" max="3" width="0.83203125" customWidth="1"/>
    <col min="4" max="5" width="10.6640625" customWidth="1"/>
    <col min="6" max="6" width="11.6640625" customWidth="1"/>
    <col min="7" max="7" width="0.83203125" customWidth="1"/>
    <col min="8" max="10" width="10.6640625" customWidth="1"/>
    <col min="11" max="11" width="0.83203125" customWidth="1"/>
    <col min="12" max="14" width="10.6640625" customWidth="1"/>
  </cols>
  <sheetData>
    <row r="2" spans="2:14" s="415" customFormat="1" ht="28" customHeight="1" thickBot="1">
      <c r="B2" s="415" t="s">
        <v>348</v>
      </c>
    </row>
    <row r="4" spans="2:14" ht="17" thickBot="1"/>
    <row r="5" spans="2:14" ht="30" customHeight="1">
      <c r="B5" s="1180">
        <f>INPUTS!C5</f>
        <v>0</v>
      </c>
      <c r="C5" s="1181"/>
      <c r="D5" s="1181"/>
      <c r="E5" s="1181"/>
      <c r="F5" s="1181"/>
      <c r="G5" s="1181"/>
      <c r="H5" s="1181"/>
      <c r="I5" s="1181"/>
      <c r="J5" s="1181"/>
      <c r="K5" s="1181"/>
      <c r="L5" s="1181"/>
      <c r="M5" s="1181"/>
      <c r="N5" s="1182"/>
    </row>
    <row r="6" spans="2:14" ht="30" customHeight="1" thickBot="1">
      <c r="B6" s="1183" t="s">
        <v>349</v>
      </c>
      <c r="C6" s="1184"/>
      <c r="D6" s="1184"/>
      <c r="E6" s="1184"/>
      <c r="F6" s="1184"/>
      <c r="G6" s="1184"/>
      <c r="H6" s="1184"/>
      <c r="I6" s="1184"/>
      <c r="J6" s="1184"/>
      <c r="K6" s="1184"/>
      <c r="L6" s="1184"/>
      <c r="M6" s="1184"/>
      <c r="N6" s="1185"/>
    </row>
    <row r="7" spans="2:14" ht="25" customHeight="1">
      <c r="B7" s="376"/>
      <c r="C7" s="376"/>
      <c r="D7" s="1186" t="s">
        <v>71</v>
      </c>
      <c r="E7" s="1186"/>
      <c r="F7" s="1186"/>
      <c r="G7" s="376"/>
      <c r="H7" s="1186" t="s">
        <v>85</v>
      </c>
      <c r="I7" s="1186"/>
      <c r="J7" s="1186"/>
      <c r="K7" s="376"/>
      <c r="L7" s="1186" t="s">
        <v>86</v>
      </c>
      <c r="M7" s="1186"/>
      <c r="N7" s="1186"/>
    </row>
    <row r="8" spans="2:14" ht="25" customHeight="1">
      <c r="B8" s="413" t="s">
        <v>135</v>
      </c>
      <c r="C8" s="376"/>
      <c r="D8" s="414" t="s">
        <v>70</v>
      </c>
      <c r="E8" s="414" t="s">
        <v>350</v>
      </c>
      <c r="F8" s="414" t="s">
        <v>351</v>
      </c>
      <c r="G8" s="376"/>
      <c r="H8" s="414" t="s">
        <v>70</v>
      </c>
      <c r="I8" s="414" t="s">
        <v>350</v>
      </c>
      <c r="J8" s="414" t="s">
        <v>352</v>
      </c>
      <c r="K8" s="376"/>
      <c r="L8" s="414" t="s">
        <v>70</v>
      </c>
      <c r="M8" s="414" t="s">
        <v>350</v>
      </c>
      <c r="N8" s="414" t="s">
        <v>353</v>
      </c>
    </row>
    <row r="9" spans="2:14" ht="25" customHeight="1">
      <c r="B9" s="377">
        <f>B10-1</f>
        <v>-1</v>
      </c>
      <c r="C9" s="378"/>
      <c r="D9" s="379">
        <f>'STR INPUT'!BG9</f>
        <v>0</v>
      </c>
      <c r="E9" s="380">
        <f>'STR INPUT'!BH9</f>
        <v>0</v>
      </c>
      <c r="F9" s="380" t="str">
        <f>IF(E9=0,"N/A",D9/E9)</f>
        <v>N/A</v>
      </c>
      <c r="G9" s="381"/>
      <c r="H9" s="382">
        <f>'STR INPUT'!BG16</f>
        <v>0</v>
      </c>
      <c r="I9" s="383">
        <f>'STR INPUT'!BH16</f>
        <v>0</v>
      </c>
      <c r="J9" s="380" t="str">
        <f>IF(I9=0,"N/A",H9/I9)</f>
        <v>N/A</v>
      </c>
      <c r="K9" s="381"/>
      <c r="L9" s="382">
        <f>'STR INPUT'!BG23</f>
        <v>0</v>
      </c>
      <c r="M9" s="383">
        <f>'STR INPUT'!BH23</f>
        <v>0</v>
      </c>
      <c r="N9" s="384" t="str">
        <f>IF(M9=0,"N/A",L9/M9)</f>
        <v>N/A</v>
      </c>
    </row>
    <row r="10" spans="2:14" ht="25" customHeight="1">
      <c r="B10" s="385">
        <f>'STR INPUT'!AR44</f>
        <v>0</v>
      </c>
      <c r="C10" s="378"/>
      <c r="D10" s="386">
        <f>'STR INPUT'!BG8</f>
        <v>0</v>
      </c>
      <c r="E10" s="380">
        <f>'STR INPUT'!BH8</f>
        <v>0</v>
      </c>
      <c r="F10" s="380" t="str">
        <f>IF(E10=0,"N/A",D10/E10)</f>
        <v>N/A</v>
      </c>
      <c r="G10" s="381"/>
      <c r="H10" s="387">
        <f>'STR INPUT'!BG15</f>
        <v>0</v>
      </c>
      <c r="I10" s="388">
        <f>'STR INPUT'!BH15</f>
        <v>0</v>
      </c>
      <c r="J10" s="380" t="str">
        <f>IF(I10=0,"N/A",H10/I10)</f>
        <v>N/A</v>
      </c>
      <c r="K10" s="381"/>
      <c r="L10" s="387">
        <f>'STR INPUT'!BG22</f>
        <v>0</v>
      </c>
      <c r="M10" s="388">
        <f>'STR INPUT'!BH22</f>
        <v>0</v>
      </c>
      <c r="N10" s="380" t="str">
        <f>IF(M10=0,"N/A",L10/M10)</f>
        <v>N/A</v>
      </c>
    </row>
    <row r="11" spans="2:14" ht="25" customHeight="1">
      <c r="B11" s="385">
        <f>'STR INPUT'!AS44</f>
        <v>0</v>
      </c>
      <c r="C11" s="378"/>
      <c r="D11" s="386">
        <f>'STR INPUT'!BG7</f>
        <v>0</v>
      </c>
      <c r="E11" s="380">
        <f>'STR INPUT'!BH7</f>
        <v>0</v>
      </c>
      <c r="F11" s="380" t="str">
        <f>IF(E11=0,"N/A",D11/E11)</f>
        <v>N/A</v>
      </c>
      <c r="G11" s="381"/>
      <c r="H11" s="387">
        <f>'STR INPUT'!BG14</f>
        <v>0</v>
      </c>
      <c r="I11" s="388">
        <f>'STR INPUT'!BH14</f>
        <v>0</v>
      </c>
      <c r="J11" s="380" t="str">
        <f>IF(I11=0,"N/A",H11/I11)</f>
        <v>N/A</v>
      </c>
      <c r="K11" s="381"/>
      <c r="L11" s="387">
        <f>'STR INPUT'!BG21</f>
        <v>0</v>
      </c>
      <c r="M11" s="388">
        <f>'STR INPUT'!BH21</f>
        <v>0</v>
      </c>
      <c r="N11" s="380" t="str">
        <f>IF(M11=0,"N/A",L11/M11)</f>
        <v>N/A</v>
      </c>
    </row>
    <row r="12" spans="2:14" ht="25" customHeight="1">
      <c r="B12" s="389">
        <f>'STR INPUT'!AT44</f>
        <v>0</v>
      </c>
      <c r="C12" s="378"/>
      <c r="D12" s="390">
        <f>'STR INPUT'!BG6</f>
        <v>0</v>
      </c>
      <c r="E12" s="391">
        <f>'STR INPUT'!BH6</f>
        <v>0</v>
      </c>
      <c r="F12" s="391" t="str">
        <f>IF(E12=0,"N/A",D12/E12)</f>
        <v>N/A</v>
      </c>
      <c r="G12" s="381"/>
      <c r="H12" s="392">
        <f>'STR INPUT'!BG13</f>
        <v>0</v>
      </c>
      <c r="I12" s="393">
        <f>'STR INPUT'!BH13</f>
        <v>0</v>
      </c>
      <c r="J12" s="391" t="str">
        <f>IF(I12=0,"N/A",H12/I12)</f>
        <v>N/A</v>
      </c>
      <c r="K12" s="381"/>
      <c r="L12" s="392">
        <f>'STR INPUT'!BG20</f>
        <v>0</v>
      </c>
      <c r="M12" s="393">
        <f>'STR INPUT'!BH20</f>
        <v>0</v>
      </c>
      <c r="N12" s="391" t="str">
        <f>IF(M12=0,"N/A",L12/M12)</f>
        <v>N/A</v>
      </c>
    </row>
    <row r="13" spans="2:14" ht="25" customHeight="1">
      <c r="B13" s="376" t="str">
        <f>"TTM "&amp;'STR INPUT'!$AH$7&amp;" "&amp;'STR INPUT'!$AR$7</f>
        <v xml:space="preserve">TTM  </v>
      </c>
      <c r="C13" s="394"/>
      <c r="D13" s="386">
        <f>'STR INPUT'!BM4/100</f>
        <v>0</v>
      </c>
      <c r="E13" s="380">
        <f>'STR INPUT'!BQ4/100</f>
        <v>0</v>
      </c>
      <c r="F13" s="380" t="str">
        <f>IF(E13=0,"N/A",D13/E13)</f>
        <v>N/A</v>
      </c>
      <c r="G13" s="381"/>
      <c r="H13" s="387">
        <f>'STR INPUT'!BN4</f>
        <v>0</v>
      </c>
      <c r="I13" s="388">
        <f>'STR INPUT'!BR4</f>
        <v>0</v>
      </c>
      <c r="J13" s="380" t="str">
        <f>IF(I13=0,"N/A",H13/I13)</f>
        <v>N/A</v>
      </c>
      <c r="K13" s="381"/>
      <c r="L13" s="387">
        <f>'STR INPUT'!BO4</f>
        <v>0</v>
      </c>
      <c r="M13" s="388">
        <f>'STR INPUT'!BS4</f>
        <v>0</v>
      </c>
      <c r="N13" s="380" t="str">
        <f>IF(M13=0,"N/A",L13/M13)</f>
        <v>N/A</v>
      </c>
    </row>
    <row r="14" spans="2:14" ht="25" customHeight="1">
      <c r="B14" s="376" t="str">
        <f>"TTM "&amp;'STR INPUT'!$AH$7&amp;" "&amp;'STR INPUT'!$AS$7</f>
        <v xml:space="preserve">TTM  </v>
      </c>
      <c r="C14" s="394"/>
      <c r="D14" s="386">
        <f>'STR INPUT'!BM5/100</f>
        <v>0</v>
      </c>
      <c r="E14" s="380">
        <f>'STR INPUT'!BQ5/100</f>
        <v>0</v>
      </c>
      <c r="F14" s="380" t="str">
        <f t="shared" ref="F14" si="0">IF(E14=0,"N/A",D14/E14)</f>
        <v>N/A</v>
      </c>
      <c r="G14" s="381"/>
      <c r="H14" s="387">
        <f>'STR INPUT'!BN5</f>
        <v>0</v>
      </c>
      <c r="I14" s="388">
        <f>'STR INPUT'!BR5</f>
        <v>0</v>
      </c>
      <c r="J14" s="380" t="str">
        <f t="shared" ref="J14:J18" si="1">IF(I14=0,"N/A",H14/I14)</f>
        <v>N/A</v>
      </c>
      <c r="K14" s="381"/>
      <c r="L14" s="387">
        <f>'STR INPUT'!BO5</f>
        <v>0</v>
      </c>
      <c r="M14" s="388">
        <f>'STR INPUT'!BS5</f>
        <v>0</v>
      </c>
      <c r="N14" s="380" t="str">
        <f t="shared" ref="N14:N18" si="2">IF(M14=0,"N/A",L14/M14)</f>
        <v>N/A</v>
      </c>
    </row>
    <row r="15" spans="2:14" ht="25" customHeight="1">
      <c r="B15" s="389" t="str">
        <f>"TTM "&amp;'STR INPUT'!$AH$7&amp;" "&amp;'STR INPUT'!$AT$7</f>
        <v xml:space="preserve">TTM  </v>
      </c>
      <c r="C15" s="378"/>
      <c r="D15" s="390">
        <f>'STR INPUT'!BM6/100</f>
        <v>0</v>
      </c>
      <c r="E15" s="391">
        <f>'STR INPUT'!BQ6/100</f>
        <v>0</v>
      </c>
      <c r="F15" s="391" t="str">
        <f>IF(E15=0,"N/A",D15/E15)</f>
        <v>N/A</v>
      </c>
      <c r="G15" s="381"/>
      <c r="H15" s="392">
        <f>'STR INPUT'!BN6</f>
        <v>0</v>
      </c>
      <c r="I15" s="393">
        <f>'STR INPUT'!BR6</f>
        <v>0</v>
      </c>
      <c r="J15" s="391" t="str">
        <f t="shared" si="1"/>
        <v>N/A</v>
      </c>
      <c r="K15" s="381"/>
      <c r="L15" s="392">
        <f>'STR INPUT'!BO6</f>
        <v>0</v>
      </c>
      <c r="M15" s="393">
        <f>'STR INPUT'!BS6</f>
        <v>0</v>
      </c>
      <c r="N15" s="391" t="str">
        <f t="shared" si="2"/>
        <v>N/A</v>
      </c>
    </row>
    <row r="16" spans="2:14" ht="25" customHeight="1">
      <c r="B16" s="376" t="str">
        <f>"YTD "&amp;'STR INPUT'!$AH$7&amp;" "&amp;'STR INPUT'!$AJ$7</f>
        <v xml:space="preserve">YTD  </v>
      </c>
      <c r="C16" s="394"/>
      <c r="D16" s="386">
        <f>'STR INPUT'!BM8/100</f>
        <v>0</v>
      </c>
      <c r="E16" s="380">
        <f>'STR INPUT'!BQ8/100</f>
        <v>0</v>
      </c>
      <c r="F16" s="380" t="str">
        <f t="shared" ref="F16:F18" si="3">IF(E16=0,"N/A",D16/E16)</f>
        <v>N/A</v>
      </c>
      <c r="G16" s="381"/>
      <c r="H16" s="387">
        <f>'STR INPUT'!BN8</f>
        <v>0</v>
      </c>
      <c r="I16" s="388">
        <f>'STR INPUT'!BR8</f>
        <v>0</v>
      </c>
      <c r="J16" s="380" t="str">
        <f t="shared" si="1"/>
        <v>N/A</v>
      </c>
      <c r="K16" s="381"/>
      <c r="L16" s="387">
        <f>'STR INPUT'!BO8</f>
        <v>0</v>
      </c>
      <c r="M16" s="388">
        <f>'STR INPUT'!BS8</f>
        <v>0</v>
      </c>
      <c r="N16" s="380" t="str">
        <f t="shared" si="2"/>
        <v>N/A</v>
      </c>
    </row>
    <row r="17" spans="2:14" ht="25" customHeight="1">
      <c r="B17" s="376" t="str">
        <f>"YTD "&amp;'STR INPUT'!$AH$7&amp;" "&amp;'STR INPUT'!$AK$7</f>
        <v xml:space="preserve">YTD  </v>
      </c>
      <c r="C17" s="394"/>
      <c r="D17" s="386">
        <f>'STR INPUT'!BM9/100</f>
        <v>0</v>
      </c>
      <c r="E17" s="380">
        <f>'STR INPUT'!BQ9/100</f>
        <v>0</v>
      </c>
      <c r="F17" s="380" t="str">
        <f t="shared" si="3"/>
        <v>N/A</v>
      </c>
      <c r="G17" s="381"/>
      <c r="H17" s="387">
        <f>'STR INPUT'!BN9</f>
        <v>0</v>
      </c>
      <c r="I17" s="388">
        <f>'STR INPUT'!BR9</f>
        <v>0</v>
      </c>
      <c r="J17" s="380" t="str">
        <f t="shared" si="1"/>
        <v>N/A</v>
      </c>
      <c r="K17" s="381"/>
      <c r="L17" s="387">
        <f>'STR INPUT'!BO9</f>
        <v>0</v>
      </c>
      <c r="M17" s="388">
        <f>'STR INPUT'!BS9</f>
        <v>0</v>
      </c>
      <c r="N17" s="380" t="str">
        <f t="shared" si="2"/>
        <v>N/A</v>
      </c>
    </row>
    <row r="18" spans="2:14" ht="25" customHeight="1">
      <c r="B18" s="376" t="str">
        <f>"YTD "&amp;'STR INPUT'!$AH$7&amp;" "&amp;'STR INPUT'!$AL$7</f>
        <v xml:space="preserve">YTD  </v>
      </c>
      <c r="C18" s="394"/>
      <c r="D18" s="386">
        <f>'STR INPUT'!BM10/100</f>
        <v>0</v>
      </c>
      <c r="E18" s="380">
        <f>'STR INPUT'!BQ10/100</f>
        <v>0</v>
      </c>
      <c r="F18" s="380" t="str">
        <f t="shared" si="3"/>
        <v>N/A</v>
      </c>
      <c r="G18" s="381"/>
      <c r="H18" s="387">
        <f>'STR INPUT'!BN10</f>
        <v>0</v>
      </c>
      <c r="I18" s="388">
        <f>'STR INPUT'!BR10</f>
        <v>0</v>
      </c>
      <c r="J18" s="380" t="str">
        <f t="shared" si="1"/>
        <v>N/A</v>
      </c>
      <c r="K18" s="381"/>
      <c r="L18" s="387">
        <f>'STR INPUT'!BO10</f>
        <v>0</v>
      </c>
      <c r="M18" s="388">
        <f>'STR INPUT'!BS10</f>
        <v>0</v>
      </c>
      <c r="N18" s="380" t="str">
        <f t="shared" si="2"/>
        <v>N/A</v>
      </c>
    </row>
    <row r="19" spans="2:14">
      <c r="B19" s="394"/>
      <c r="C19" s="394"/>
      <c r="D19" s="380"/>
      <c r="E19" s="380"/>
      <c r="F19" s="381"/>
      <c r="G19" s="381"/>
      <c r="H19" s="388"/>
      <c r="I19" s="388"/>
      <c r="J19" s="381"/>
      <c r="K19" s="381"/>
      <c r="L19" s="388"/>
      <c r="M19" s="388"/>
      <c r="N19" s="381"/>
    </row>
    <row r="20" spans="2:14" ht="17" thickBot="1">
      <c r="B20" s="343"/>
      <c r="C20" s="343"/>
      <c r="D20" s="395"/>
      <c r="E20" s="395"/>
      <c r="F20" s="396"/>
      <c r="G20" s="396"/>
      <c r="H20" s="397"/>
      <c r="I20" s="397"/>
      <c r="J20" s="396"/>
      <c r="K20" s="396"/>
      <c r="L20" s="397"/>
      <c r="M20" s="397"/>
      <c r="N20" s="396"/>
    </row>
    <row r="21" spans="2:14" ht="30" customHeight="1">
      <c r="B21" s="1180">
        <f>INPUTS!C5</f>
        <v>0</v>
      </c>
      <c r="C21" s="1181"/>
      <c r="D21" s="1181"/>
      <c r="E21" s="1181"/>
      <c r="F21" s="1181"/>
      <c r="G21" s="1181"/>
      <c r="H21" s="1181"/>
      <c r="I21" s="1181"/>
      <c r="J21" s="1181"/>
      <c r="K21" s="1181"/>
      <c r="L21" s="1181"/>
      <c r="M21" s="1181"/>
      <c r="N21" s="1182"/>
    </row>
    <row r="22" spans="2:14" ht="30" customHeight="1" thickBot="1">
      <c r="B22" s="1183" t="s">
        <v>354</v>
      </c>
      <c r="C22" s="1184"/>
      <c r="D22" s="1184"/>
      <c r="E22" s="1184"/>
      <c r="F22" s="1184"/>
      <c r="G22" s="1184"/>
      <c r="H22" s="1184"/>
      <c r="I22" s="1184"/>
      <c r="J22" s="1184"/>
      <c r="K22" s="1184"/>
      <c r="L22" s="1184"/>
      <c r="M22" s="1184"/>
      <c r="N22" s="1185"/>
    </row>
    <row r="23" spans="2:14" ht="25" customHeight="1">
      <c r="B23" s="376"/>
      <c r="C23" s="376"/>
      <c r="D23" s="1186" t="s">
        <v>71</v>
      </c>
      <c r="E23" s="1186"/>
      <c r="F23" s="1186"/>
      <c r="G23" s="376"/>
      <c r="H23" s="1186" t="s">
        <v>85</v>
      </c>
      <c r="I23" s="1186"/>
      <c r="J23" s="1186"/>
      <c r="K23" s="376"/>
      <c r="L23" s="1186" t="s">
        <v>86</v>
      </c>
      <c r="M23" s="1186"/>
      <c r="N23" s="1186"/>
    </row>
    <row r="24" spans="2:14" ht="25" customHeight="1">
      <c r="B24" s="413" t="s">
        <v>135</v>
      </c>
      <c r="C24" s="376"/>
      <c r="D24" s="414" t="s">
        <v>70</v>
      </c>
      <c r="E24" s="414" t="s">
        <v>350</v>
      </c>
      <c r="F24" s="414" t="s">
        <v>351</v>
      </c>
      <c r="G24" s="376"/>
      <c r="H24" s="414" t="s">
        <v>70</v>
      </c>
      <c r="I24" s="414" t="s">
        <v>350</v>
      </c>
      <c r="J24" s="414" t="s">
        <v>352</v>
      </c>
      <c r="K24" s="376"/>
      <c r="L24" s="414" t="s">
        <v>70</v>
      </c>
      <c r="M24" s="414" t="s">
        <v>350</v>
      </c>
      <c r="N24" s="414" t="s">
        <v>353</v>
      </c>
    </row>
    <row r="25" spans="2:14" ht="25" customHeight="1">
      <c r="B25" s="385">
        <f>B26-1</f>
        <v>-2</v>
      </c>
      <c r="C25" s="378"/>
      <c r="D25" s="398">
        <f>'STR INPUT'!AX7/100</f>
        <v>0</v>
      </c>
      <c r="E25" s="399">
        <f>'STR INPUT'!AY7/100</f>
        <v>0</v>
      </c>
      <c r="F25" s="399" t="str">
        <f>IF(E25=0,"N/A",F10/F9-1)</f>
        <v>N/A</v>
      </c>
      <c r="G25" s="399"/>
      <c r="H25" s="398">
        <f>'STR INPUT'!AZ7/100</f>
        <v>0</v>
      </c>
      <c r="I25" s="399">
        <f>'STR INPUT'!BA7/100</f>
        <v>0</v>
      </c>
      <c r="J25" s="399" t="str">
        <f>IF(I25=0,"N/A",J10/J9-1)</f>
        <v>N/A</v>
      </c>
      <c r="K25" s="399"/>
      <c r="L25" s="398">
        <f>'STR INPUT'!BB7/100</f>
        <v>0</v>
      </c>
      <c r="M25" s="399">
        <f>'STR INPUT'!BC7/100</f>
        <v>0</v>
      </c>
      <c r="N25" s="399" t="str">
        <f>IF(M25=0,"N/A",N10/N9-1)</f>
        <v>N/A</v>
      </c>
    </row>
    <row r="26" spans="2:14" ht="25" customHeight="1">
      <c r="B26" s="385">
        <f>B27-1</f>
        <v>-1</v>
      </c>
      <c r="C26" s="378"/>
      <c r="D26" s="398">
        <f>'STR INPUT'!AX8/100</f>
        <v>0</v>
      </c>
      <c r="E26" s="399">
        <f>'STR INPUT'!AY8/100</f>
        <v>0</v>
      </c>
      <c r="F26" s="399" t="str">
        <f>IF(E26=0,"N/A",F11/F10-1)</f>
        <v>N/A</v>
      </c>
      <c r="G26" s="399"/>
      <c r="H26" s="398">
        <f>'STR INPUT'!AZ8/100</f>
        <v>0</v>
      </c>
      <c r="I26" s="399">
        <f>'STR INPUT'!BA8/100</f>
        <v>0</v>
      </c>
      <c r="J26" s="399" t="str">
        <f>IF(I26=0,"N/A",J11/J10-1)</f>
        <v>N/A</v>
      </c>
      <c r="K26" s="399"/>
      <c r="L26" s="398">
        <f>'STR INPUT'!BB8/100</f>
        <v>0</v>
      </c>
      <c r="M26" s="399">
        <f>'STR INPUT'!BC8/100</f>
        <v>0</v>
      </c>
      <c r="N26" s="399" t="str">
        <f>IF(M26=0,"N/A",N11/N10-1)</f>
        <v>N/A</v>
      </c>
    </row>
    <row r="27" spans="2:14" ht="25" customHeight="1">
      <c r="B27" s="389">
        <f>'STR INPUT'!AT44</f>
        <v>0</v>
      </c>
      <c r="C27" s="394"/>
      <c r="D27" s="400">
        <f>'STR INPUT'!AX9/100</f>
        <v>0</v>
      </c>
      <c r="E27" s="401">
        <f>'STR INPUT'!AY9/100</f>
        <v>0</v>
      </c>
      <c r="F27" s="401" t="str">
        <f>IF(E27=0,"N/A",F12/F11-1)</f>
        <v>N/A</v>
      </c>
      <c r="G27" s="399"/>
      <c r="H27" s="400">
        <f>'STR INPUT'!AZ9/100</f>
        <v>0</v>
      </c>
      <c r="I27" s="401">
        <f>'STR INPUT'!BA9/100</f>
        <v>0</v>
      </c>
      <c r="J27" s="401" t="str">
        <f>IF(I27=0,"N/A",J12/J11-1)</f>
        <v>N/A</v>
      </c>
      <c r="K27" s="399"/>
      <c r="L27" s="400">
        <f>'STR INPUT'!BB9/100</f>
        <v>0</v>
      </c>
      <c r="M27" s="401">
        <f>'STR INPUT'!BC9/100</f>
        <v>0</v>
      </c>
      <c r="N27" s="401" t="str">
        <f>IF(M27=0,"N/A",N12/N11-1)</f>
        <v>N/A</v>
      </c>
    </row>
    <row r="28" spans="2:14" ht="25" customHeight="1">
      <c r="B28" s="376" t="str">
        <f>"TTM "&amp;'STR INPUT'!$AH$7&amp;" "&amp;'STR INPUT'!$AR$7</f>
        <v xml:space="preserve">TTM  </v>
      </c>
      <c r="C28" s="378"/>
      <c r="D28" s="398">
        <f>'STR INPUT'!AX10/100</f>
        <v>0</v>
      </c>
      <c r="E28" s="399">
        <f>'STR INPUT'!AY10/100</f>
        <v>0</v>
      </c>
      <c r="F28" s="399" t="s">
        <v>355</v>
      </c>
      <c r="G28" s="399"/>
      <c r="H28" s="398">
        <f>'STR INPUT'!AZ10/100</f>
        <v>0</v>
      </c>
      <c r="I28" s="399">
        <f>'STR INPUT'!BA10/100</f>
        <v>0</v>
      </c>
      <c r="J28" s="399" t="s">
        <v>355</v>
      </c>
      <c r="K28" s="399"/>
      <c r="L28" s="398">
        <f>'STR INPUT'!BB10/100</f>
        <v>0</v>
      </c>
      <c r="M28" s="399">
        <f>'STR INPUT'!BC10/100</f>
        <v>0</v>
      </c>
      <c r="N28" s="399" t="s">
        <v>355</v>
      </c>
    </row>
    <row r="29" spans="2:14" ht="25" customHeight="1">
      <c r="B29" s="376" t="str">
        <f>"TTM "&amp;'STR INPUT'!$AH$7&amp;" "&amp;'STR INPUT'!$AS$7</f>
        <v xml:space="preserve">TTM  </v>
      </c>
      <c r="C29" s="378"/>
      <c r="D29" s="398">
        <f>'STR INPUT'!AX11/100</f>
        <v>0</v>
      </c>
      <c r="E29" s="399">
        <f>'STR INPUT'!AY11/100</f>
        <v>0</v>
      </c>
      <c r="F29" s="399" t="str">
        <f>IF(E29=0,"N/A",F14/F13-1)</f>
        <v>N/A</v>
      </c>
      <c r="G29" s="399"/>
      <c r="H29" s="398">
        <f>'STR INPUT'!AZ11/100</f>
        <v>0</v>
      </c>
      <c r="I29" s="399">
        <f>'STR INPUT'!BA11/100</f>
        <v>0</v>
      </c>
      <c r="J29" s="399" t="str">
        <f>IF(I29=0,"N/A",J14/J13-1)</f>
        <v>N/A</v>
      </c>
      <c r="K29" s="399"/>
      <c r="L29" s="398">
        <f>'STR INPUT'!BB11/100</f>
        <v>0</v>
      </c>
      <c r="M29" s="399">
        <f>'STR INPUT'!BC11/100</f>
        <v>0</v>
      </c>
      <c r="N29" s="399" t="str">
        <f>IF(M29=0,"N/A",N14/N13-1)</f>
        <v>N/A</v>
      </c>
    </row>
    <row r="30" spans="2:14" ht="25" customHeight="1">
      <c r="B30" s="389" t="str">
        <f>"TTM "&amp;'STR INPUT'!$AH$7&amp;" "&amp;'STR INPUT'!$AT$7</f>
        <v xml:space="preserve">TTM  </v>
      </c>
      <c r="C30" s="394"/>
      <c r="D30" s="400">
        <f>'STR INPUT'!AX12/100</f>
        <v>0</v>
      </c>
      <c r="E30" s="401">
        <f>'STR INPUT'!AY12/100</f>
        <v>0</v>
      </c>
      <c r="F30" s="401" t="str">
        <f>IF(E30=0,"N/A",F15/F14-1)</f>
        <v>N/A</v>
      </c>
      <c r="G30" s="399"/>
      <c r="H30" s="400">
        <f>'STR INPUT'!AZ12/100</f>
        <v>0</v>
      </c>
      <c r="I30" s="401">
        <f>'STR INPUT'!BA12/100</f>
        <v>0</v>
      </c>
      <c r="J30" s="401" t="str">
        <f>IF(I30=0,"N/A",J15/J14-1)</f>
        <v>N/A</v>
      </c>
      <c r="K30" s="399"/>
      <c r="L30" s="400">
        <f>'STR INPUT'!BB12/100</f>
        <v>0</v>
      </c>
      <c r="M30" s="401">
        <f>'STR INPUT'!BC12/100</f>
        <v>0</v>
      </c>
      <c r="N30" s="401" t="str">
        <f>IF(M30=0,"N/A",N15/N14-1)</f>
        <v>N/A</v>
      </c>
    </row>
    <row r="31" spans="2:14" ht="25" customHeight="1">
      <c r="B31" s="376" t="str">
        <f>"YTD "&amp;'STR INPUT'!$AH$7&amp;" "&amp;'STR INPUT'!$AJ$7</f>
        <v xml:space="preserve">YTD  </v>
      </c>
      <c r="C31" s="378"/>
      <c r="D31" s="398">
        <f>'STR INPUT'!AX13/100</f>
        <v>0</v>
      </c>
      <c r="E31" s="399">
        <f>'STR INPUT'!AY13/100</f>
        <v>0</v>
      </c>
      <c r="F31" s="399" t="s">
        <v>355</v>
      </c>
      <c r="G31" s="399"/>
      <c r="H31" s="398">
        <f>'STR INPUT'!AZ13/100</f>
        <v>0</v>
      </c>
      <c r="I31" s="399">
        <f>'STR INPUT'!BA13/100</f>
        <v>0</v>
      </c>
      <c r="J31" s="399" t="s">
        <v>355</v>
      </c>
      <c r="K31" s="399"/>
      <c r="L31" s="398">
        <f>'STR INPUT'!BB13/100</f>
        <v>0</v>
      </c>
      <c r="M31" s="399">
        <f>'STR INPUT'!BC13/100</f>
        <v>0</v>
      </c>
      <c r="N31" s="399" t="s">
        <v>355</v>
      </c>
    </row>
    <row r="32" spans="2:14" ht="25" customHeight="1">
      <c r="B32" s="376" t="str">
        <f>"YTD "&amp;'STR INPUT'!$AH$7&amp;" "&amp;'STR INPUT'!$AK$7</f>
        <v xml:space="preserve">YTD  </v>
      </c>
      <c r="C32" s="378"/>
      <c r="D32" s="398">
        <f>'STR INPUT'!AX14/100</f>
        <v>0</v>
      </c>
      <c r="E32" s="399">
        <f>'STR INPUT'!AY14/100</f>
        <v>0</v>
      </c>
      <c r="F32" s="399" t="str">
        <f>IF(E32=0,"N/A",F17/F16-1)</f>
        <v>N/A</v>
      </c>
      <c r="G32" s="399"/>
      <c r="H32" s="398">
        <f>'STR INPUT'!AZ14/100</f>
        <v>0</v>
      </c>
      <c r="I32" s="399">
        <f>'STR INPUT'!BA14/100</f>
        <v>0</v>
      </c>
      <c r="J32" s="399" t="str">
        <f>IF(I32=0,"N/A",J17/J16-1)</f>
        <v>N/A</v>
      </c>
      <c r="K32" s="399"/>
      <c r="L32" s="398">
        <f>'STR INPUT'!BB14/100</f>
        <v>0</v>
      </c>
      <c r="M32" s="399">
        <f>'STR INPUT'!BC14/100</f>
        <v>0</v>
      </c>
      <c r="N32" s="399" t="str">
        <f>IF(M32=0,"N/A",N17/N16-1)</f>
        <v>N/A</v>
      </c>
    </row>
    <row r="33" spans="2:14" ht="25" customHeight="1">
      <c r="B33" s="376" t="str">
        <f>"YTD "&amp;'STR INPUT'!$AH$7&amp;" "&amp;'STR INPUT'!$AL$7</f>
        <v xml:space="preserve">YTD  </v>
      </c>
      <c r="C33" s="394"/>
      <c r="D33" s="398">
        <f>'STR INPUT'!AX15/100</f>
        <v>0</v>
      </c>
      <c r="E33" s="399">
        <f>'STR INPUT'!AY15/100</f>
        <v>0</v>
      </c>
      <c r="F33" s="399" t="str">
        <f>IF(E33=0,"N/A",F18/F17-1)</f>
        <v>N/A</v>
      </c>
      <c r="G33" s="399"/>
      <c r="H33" s="398">
        <f>'STR INPUT'!AZ15/100</f>
        <v>0</v>
      </c>
      <c r="I33" s="399">
        <f>'STR INPUT'!BA15/100</f>
        <v>0</v>
      </c>
      <c r="J33" s="399" t="str">
        <f>IF(I33=0,"N/A",J18/J17-1)</f>
        <v>N/A</v>
      </c>
      <c r="K33" s="399"/>
      <c r="L33" s="398">
        <f>'STR INPUT'!BB15/100</f>
        <v>0</v>
      </c>
      <c r="M33" s="399">
        <f>'STR INPUT'!BC15/100</f>
        <v>0</v>
      </c>
      <c r="N33" s="399" t="str">
        <f>IF(M33=0,"N/A",N18/N17-1)</f>
        <v>N/A</v>
      </c>
    </row>
    <row r="34" spans="2:14">
      <c r="B34" s="402"/>
      <c r="C34" s="343"/>
      <c r="D34" s="395"/>
      <c r="E34" s="395"/>
      <c r="F34" s="396"/>
      <c r="G34" s="396"/>
      <c r="H34" s="397"/>
      <c r="I34" s="397"/>
      <c r="J34" s="396"/>
      <c r="K34" s="396"/>
      <c r="L34" s="397"/>
      <c r="M34" s="397"/>
      <c r="N34" s="396"/>
    </row>
    <row r="35" spans="2:14">
      <c r="B35" s="1179" t="s">
        <v>356</v>
      </c>
      <c r="C35" s="1179"/>
      <c r="D35" s="1179"/>
      <c r="E35" s="1179"/>
      <c r="F35" s="1179"/>
      <c r="G35" s="1179"/>
      <c r="H35" s="1179"/>
      <c r="I35" s="1179"/>
      <c r="J35" s="1179"/>
      <c r="K35" s="1179"/>
      <c r="L35" s="1179"/>
      <c r="M35" s="1179"/>
      <c r="N35" s="1179"/>
    </row>
    <row r="36" spans="2:14">
      <c r="B36" s="1179" t="s">
        <v>342</v>
      </c>
      <c r="C36" s="1179"/>
      <c r="D36" s="1179"/>
      <c r="E36" s="1179"/>
      <c r="F36" s="1179"/>
      <c r="G36" s="1179"/>
      <c r="H36" s="1179"/>
      <c r="I36" s="1179"/>
      <c r="J36" s="1179"/>
      <c r="K36" s="1179"/>
      <c r="L36" s="1179"/>
      <c r="M36" s="1179"/>
      <c r="N36" s="1179"/>
    </row>
  </sheetData>
  <mergeCells count="12">
    <mergeCell ref="B5:N5"/>
    <mergeCell ref="B6:N6"/>
    <mergeCell ref="D7:F7"/>
    <mergeCell ref="H7:J7"/>
    <mergeCell ref="L7:N7"/>
    <mergeCell ref="B36:N36"/>
    <mergeCell ref="B21:N21"/>
    <mergeCell ref="B22:N22"/>
    <mergeCell ref="D23:F23"/>
    <mergeCell ref="H23:J23"/>
    <mergeCell ref="L23:N23"/>
    <mergeCell ref="B35:N35"/>
  </mergeCells>
  <conditionalFormatting sqref="F25:F33">
    <cfRule type="expression" dxfId="13" priority="4">
      <formula>"""&lt;0.0"""</formula>
    </cfRule>
  </conditionalFormatting>
  <conditionalFormatting sqref="J25:J33">
    <cfRule type="expression" dxfId="12" priority="1">
      <formula>"""&lt;0.0"""</formula>
    </cfRule>
  </conditionalFormatting>
  <conditionalFormatting sqref="N25:N33">
    <cfRule type="expression" dxfId="11" priority="8">
      <formula>"""&lt;0.0"""</formula>
    </cfRule>
  </conditionalFormatting>
  <pageMargins left="0.25" right="0.25" top="0.25" bottom="0.25" header="0" footer="0"/>
  <pageSetup paperSize="0" scale="72"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3B1A5-5003-3942-B447-29D7F24E9CBC}">
  <sheetPr>
    <tabColor theme="5" tint="0.59999389629810485"/>
    <pageSetUpPr fitToPage="1"/>
  </sheetPr>
  <dimension ref="B1:H20"/>
  <sheetViews>
    <sheetView showGridLines="0" workbookViewId="0">
      <selection activeCell="J21" sqref="J21"/>
    </sheetView>
  </sheetViews>
  <sheetFormatPr baseColWidth="10" defaultRowHeight="16"/>
  <cols>
    <col min="1" max="1" width="2.6640625" customWidth="1"/>
    <col min="2" max="2" width="5.1640625" customWidth="1"/>
    <col min="3" max="3" width="48.6640625" customWidth="1"/>
    <col min="4" max="4" width="13" customWidth="1"/>
    <col min="5" max="5" width="8.1640625" customWidth="1"/>
    <col min="6" max="6" width="12" bestFit="1" customWidth="1"/>
    <col min="7" max="8" width="7.5" bestFit="1" customWidth="1"/>
  </cols>
  <sheetData>
    <row r="1" spans="2:8" ht="11" customHeight="1"/>
    <row r="2" spans="2:8" s="216" customFormat="1" ht="21" thickBot="1">
      <c r="B2" s="216" t="s">
        <v>362</v>
      </c>
    </row>
    <row r="3" spans="2:8" ht="17" thickBot="1"/>
    <row r="4" spans="2:8" ht="25" customHeight="1">
      <c r="B4" s="1180">
        <f>INPUTS!C10</f>
        <v>0</v>
      </c>
      <c r="C4" s="1181"/>
      <c r="D4" s="1181"/>
      <c r="E4" s="1181"/>
      <c r="F4" s="1181"/>
      <c r="G4" s="1181"/>
      <c r="H4" s="1182"/>
    </row>
    <row r="5" spans="2:8" ht="25" customHeight="1" thickBot="1">
      <c r="B5" s="1183" t="s">
        <v>338</v>
      </c>
      <c r="C5" s="1184"/>
      <c r="D5" s="1184"/>
      <c r="E5" s="1184"/>
      <c r="F5" s="1184"/>
      <c r="G5" s="1184"/>
      <c r="H5" s="1185"/>
    </row>
    <row r="6" spans="2:8" ht="25" customHeight="1">
      <c r="B6" s="1187" t="s">
        <v>1</v>
      </c>
      <c r="C6" s="1188"/>
      <c r="D6" s="416" t="s">
        <v>339</v>
      </c>
      <c r="E6" s="416" t="s">
        <v>340</v>
      </c>
      <c r="F6" s="417" t="s">
        <v>323</v>
      </c>
      <c r="G6" s="416" t="s">
        <v>52</v>
      </c>
      <c r="H6" s="418" t="s">
        <v>341</v>
      </c>
    </row>
    <row r="7" spans="2:8" ht="25" customHeight="1">
      <c r="B7" s="599" t="s">
        <v>345</v>
      </c>
      <c r="C7" s="601">
        <f>'STR INPUT'!C7</f>
        <v>0</v>
      </c>
      <c r="D7" s="602" t="e">
        <f>LEFT('STR INPUT'!D7,FIND(",",'STR INPUT'!D7)-1)</f>
        <v>#VALUE!</v>
      </c>
      <c r="E7" s="603" t="e">
        <f>TRIM(RIGHT('STR INPUT'!D7,LEN('STR INPUT'!D7)-FIND(",",'STR INPUT'!D7)))</f>
        <v>#VALUE!</v>
      </c>
      <c r="F7" s="604">
        <f>'STR INPUT'!E7</f>
        <v>0</v>
      </c>
      <c r="G7" s="604">
        <f>'STR INPUT'!G7</f>
        <v>0</v>
      </c>
      <c r="H7" s="605" t="str">
        <f>LEFT('STR INPUT'!K7,4)</f>
        <v/>
      </c>
    </row>
    <row r="8" spans="2:8" ht="25" customHeight="1">
      <c r="B8" s="600">
        <v>1</v>
      </c>
      <c r="C8" s="420">
        <f>'STR INPUT'!C8</f>
        <v>0</v>
      </c>
      <c r="D8" s="421" t="e">
        <f>LEFT('STR INPUT'!D8,FIND(",",'STR INPUT'!D8)-1)</f>
        <v>#VALUE!</v>
      </c>
      <c r="E8" s="422" t="e">
        <f>TRIM(RIGHT('STR INPUT'!D8,LEN('STR INPUT'!D8)-FIND(",",'STR INPUT'!D8)))</f>
        <v>#VALUE!</v>
      </c>
      <c r="F8" s="423">
        <f>'STR INPUT'!E8</f>
        <v>0</v>
      </c>
      <c r="G8" s="423">
        <f>'STR INPUT'!G8</f>
        <v>0</v>
      </c>
      <c r="H8" s="424" t="str">
        <f>LEFT('STR INPUT'!K8,4)</f>
        <v/>
      </c>
    </row>
    <row r="9" spans="2:8" ht="25" customHeight="1">
      <c r="B9" s="600">
        <f>B8+1</f>
        <v>2</v>
      </c>
      <c r="C9" s="420">
        <f>'STR INPUT'!C9</f>
        <v>0</v>
      </c>
      <c r="D9" s="421" t="e">
        <f>LEFT('STR INPUT'!D9,FIND(",",'STR INPUT'!D9)-1)</f>
        <v>#VALUE!</v>
      </c>
      <c r="E9" s="422" t="e">
        <f>TRIM(RIGHT('STR INPUT'!D9,LEN('STR INPUT'!D9)-FIND(",",'STR INPUT'!D9)))</f>
        <v>#VALUE!</v>
      </c>
      <c r="F9" s="423">
        <f>'STR INPUT'!E9</f>
        <v>0</v>
      </c>
      <c r="G9" s="423">
        <f>'STR INPUT'!G9</f>
        <v>0</v>
      </c>
      <c r="H9" s="424" t="str">
        <f>LEFT('STR INPUT'!K9,4)</f>
        <v/>
      </c>
    </row>
    <row r="10" spans="2:8" ht="25" customHeight="1">
      <c r="B10" s="600">
        <f t="shared" ref="B10:B18" si="0">B9+1</f>
        <v>3</v>
      </c>
      <c r="C10" s="420">
        <f>'STR INPUT'!C10</f>
        <v>0</v>
      </c>
      <c r="D10" s="421" t="e">
        <f>LEFT('STR INPUT'!D10,FIND(",",'STR INPUT'!D10)-1)</f>
        <v>#VALUE!</v>
      </c>
      <c r="E10" s="422" t="e">
        <f>TRIM(RIGHT('STR INPUT'!D10,LEN('STR INPUT'!D10)-FIND(",",'STR INPUT'!D10)))</f>
        <v>#VALUE!</v>
      </c>
      <c r="F10" s="423">
        <f>'STR INPUT'!E10</f>
        <v>0</v>
      </c>
      <c r="G10" s="423">
        <f>'STR INPUT'!G10</f>
        <v>0</v>
      </c>
      <c r="H10" s="424" t="str">
        <f>LEFT('STR INPUT'!K10,4)</f>
        <v/>
      </c>
    </row>
    <row r="11" spans="2:8" ht="25" customHeight="1">
      <c r="B11" s="600">
        <f t="shared" si="0"/>
        <v>4</v>
      </c>
      <c r="C11" s="420">
        <f>'STR INPUT'!C11</f>
        <v>0</v>
      </c>
      <c r="D11" s="421" t="e">
        <f>LEFT('STR INPUT'!D11,FIND(",",'STR INPUT'!D11)-1)</f>
        <v>#VALUE!</v>
      </c>
      <c r="E11" s="422" t="e">
        <f>TRIM(RIGHT('STR INPUT'!D11,LEN('STR INPUT'!D11)-FIND(",",'STR INPUT'!D11)))</f>
        <v>#VALUE!</v>
      </c>
      <c r="F11" s="423">
        <f>'STR INPUT'!E11</f>
        <v>0</v>
      </c>
      <c r="G11" s="423">
        <f>'STR INPUT'!G11</f>
        <v>0</v>
      </c>
      <c r="H11" s="424" t="str">
        <f>LEFT('STR INPUT'!K11,4)</f>
        <v/>
      </c>
    </row>
    <row r="12" spans="2:8" ht="25" customHeight="1">
      <c r="B12" s="600">
        <f t="shared" si="0"/>
        <v>5</v>
      </c>
      <c r="C12" s="420">
        <f>'STR INPUT'!C12</f>
        <v>0</v>
      </c>
      <c r="D12" s="421" t="e">
        <f>LEFT('STR INPUT'!D12,FIND(",",'STR INPUT'!D12)-1)</f>
        <v>#VALUE!</v>
      </c>
      <c r="E12" s="422" t="e">
        <f>TRIM(RIGHT('STR INPUT'!D12,LEN('STR INPUT'!D12)-FIND(",",'STR INPUT'!D12)))</f>
        <v>#VALUE!</v>
      </c>
      <c r="F12" s="423">
        <f>'STR INPUT'!E12</f>
        <v>0</v>
      </c>
      <c r="G12" s="423">
        <f>'STR INPUT'!G12</f>
        <v>0</v>
      </c>
      <c r="H12" s="424" t="str">
        <f>LEFT('STR INPUT'!K12,4)</f>
        <v/>
      </c>
    </row>
    <row r="13" spans="2:8" ht="25" customHeight="1">
      <c r="B13" s="600">
        <f t="shared" si="0"/>
        <v>6</v>
      </c>
      <c r="C13" s="420">
        <f>'STR INPUT'!C13</f>
        <v>0</v>
      </c>
      <c r="D13" s="421" t="str">
        <f>IFERROR(LEFT('STR INPUT'!D13,FIND(",",'STR INPUT'!D13)-1),"")</f>
        <v/>
      </c>
      <c r="E13" s="422" t="str">
        <f>IFERROR(TRIM(RIGHT('STR INPUT'!D13,LEN('STR INPUT'!D13)-FIND(",",'STR INPUT'!D13))),"")</f>
        <v/>
      </c>
      <c r="F13" s="423">
        <f>'STR INPUT'!E13</f>
        <v>0</v>
      </c>
      <c r="G13" s="423">
        <f>'STR INPUT'!G13</f>
        <v>0</v>
      </c>
      <c r="H13" s="424" t="str">
        <f>LEFT('STR INPUT'!K13,4)</f>
        <v/>
      </c>
    </row>
    <row r="14" spans="2:8" ht="25" customHeight="1">
      <c r="B14" s="600">
        <f t="shared" si="0"/>
        <v>7</v>
      </c>
      <c r="C14" s="420">
        <f>'STR INPUT'!C14</f>
        <v>0</v>
      </c>
      <c r="D14" s="421" t="str">
        <f>IFERROR(LEFT('STR INPUT'!D14,FIND(",",'STR INPUT'!D14)-1),"")</f>
        <v/>
      </c>
      <c r="E14" s="422" t="str">
        <f>IFERROR(TRIM(RIGHT('STR INPUT'!D14,LEN('STR INPUT'!D14)-FIND(",",'STR INPUT'!D14))),"")</f>
        <v/>
      </c>
      <c r="F14" s="423">
        <f>'STR INPUT'!E14</f>
        <v>0</v>
      </c>
      <c r="G14" s="423">
        <f>'STR INPUT'!G14</f>
        <v>0</v>
      </c>
      <c r="H14" s="424" t="str">
        <f>LEFT('STR INPUT'!K14,4)</f>
        <v/>
      </c>
    </row>
    <row r="15" spans="2:8" ht="25" customHeight="1">
      <c r="B15" s="600">
        <f t="shared" si="0"/>
        <v>8</v>
      </c>
      <c r="C15" s="420">
        <f>'STR INPUT'!C15</f>
        <v>0</v>
      </c>
      <c r="D15" s="421" t="str">
        <f>IFERROR(LEFT('STR INPUT'!D15,FIND(",",'STR INPUT'!D15)-1),"")</f>
        <v/>
      </c>
      <c r="E15" s="422" t="str">
        <f>IFERROR(TRIM(RIGHT('STR INPUT'!D15,LEN('STR INPUT'!D15)-FIND(",",'STR INPUT'!D15))),"")</f>
        <v/>
      </c>
      <c r="F15" s="423">
        <f>'STR INPUT'!E15</f>
        <v>0</v>
      </c>
      <c r="G15" s="423">
        <f>'STR INPUT'!G15</f>
        <v>0</v>
      </c>
      <c r="H15" s="424" t="str">
        <f>LEFT('STR INPUT'!K15,4)</f>
        <v/>
      </c>
    </row>
    <row r="16" spans="2:8" ht="25" customHeight="1">
      <c r="B16" s="600">
        <f t="shared" si="0"/>
        <v>9</v>
      </c>
      <c r="C16" s="420">
        <f>'STR INPUT'!C16</f>
        <v>0</v>
      </c>
      <c r="D16" s="421" t="str">
        <f>IFERROR(LEFT('STR INPUT'!D16,FIND(",",'STR INPUT'!D16)-1),"")</f>
        <v/>
      </c>
      <c r="E16" s="422" t="str">
        <f>IFERROR(TRIM(RIGHT('STR INPUT'!D16,LEN('STR INPUT'!D16)-FIND(",",'STR INPUT'!D16))),"")</f>
        <v/>
      </c>
      <c r="F16" s="423">
        <f>'STR INPUT'!E16</f>
        <v>0</v>
      </c>
      <c r="G16" s="423">
        <f>'STR INPUT'!G16</f>
        <v>0</v>
      </c>
      <c r="H16" s="424" t="str">
        <f>LEFT('STR INPUT'!K16,4)</f>
        <v/>
      </c>
    </row>
    <row r="17" spans="2:8" ht="25" customHeight="1">
      <c r="B17" s="600">
        <f t="shared" si="0"/>
        <v>10</v>
      </c>
      <c r="C17" s="420">
        <f>'STR INPUT'!C17</f>
        <v>0</v>
      </c>
      <c r="D17" s="421" t="str">
        <f>IFERROR(LEFT('STR INPUT'!D17,FIND(",",'STR INPUT'!D17)-1),"")</f>
        <v/>
      </c>
      <c r="E17" s="422" t="str">
        <f>IFERROR(TRIM(RIGHT('STR INPUT'!D17,LEN('STR INPUT'!D17)-FIND(",",'STR INPUT'!D17))),"")</f>
        <v/>
      </c>
      <c r="F17" s="423">
        <f>'STR INPUT'!E17</f>
        <v>0</v>
      </c>
      <c r="G17" s="423">
        <f>'STR INPUT'!G17</f>
        <v>0</v>
      </c>
      <c r="H17" s="424" t="str">
        <f>LEFT('STR INPUT'!K17,4)</f>
        <v/>
      </c>
    </row>
    <row r="18" spans="2:8" ht="25" hidden="1" customHeight="1">
      <c r="B18" s="419">
        <f t="shared" si="0"/>
        <v>11</v>
      </c>
      <c r="C18" s="420">
        <f>'STR INPUT'!C18</f>
        <v>0</v>
      </c>
      <c r="D18" s="421" t="str">
        <f>IFERROR(LEFT('STR INPUT'!D18,FIND(",",'STR INPUT'!D18)-1),"")</f>
        <v/>
      </c>
      <c r="E18" s="422" t="str">
        <f>IFERROR(TRIM(RIGHT('STR INPUT'!D18,LEN('STR INPUT'!D18)-FIND(",",'STR INPUT'!D18))),"")</f>
        <v/>
      </c>
      <c r="F18" s="423">
        <f>'STR INPUT'!E18</f>
        <v>0</v>
      </c>
      <c r="G18" s="423">
        <f>'STR INPUT'!G18</f>
        <v>0</v>
      </c>
      <c r="H18" s="424" t="str">
        <f>LEFT('STR INPUT'!K18,4)</f>
        <v/>
      </c>
    </row>
    <row r="19" spans="2:8" ht="25" customHeight="1">
      <c r="B19" s="425" t="s">
        <v>342</v>
      </c>
      <c r="C19" s="426"/>
      <c r="D19" s="427"/>
      <c r="E19" s="427"/>
      <c r="F19" s="428" t="s">
        <v>343</v>
      </c>
      <c r="G19" s="429">
        <f>G7</f>
        <v>0</v>
      </c>
      <c r="H19" s="430"/>
    </row>
    <row r="20" spans="2:8" ht="25" customHeight="1">
      <c r="B20" s="431"/>
      <c r="C20" s="432"/>
      <c r="D20" s="432"/>
      <c r="E20" s="432"/>
      <c r="F20" s="433" t="s">
        <v>344</v>
      </c>
      <c r="G20" s="434">
        <f>SUM(G7:G18)</f>
        <v>0</v>
      </c>
      <c r="H20" s="435"/>
    </row>
  </sheetData>
  <mergeCells count="3">
    <mergeCell ref="B4:H4"/>
    <mergeCell ref="B5:H5"/>
    <mergeCell ref="B6:C6"/>
  </mergeCells>
  <pageMargins left="0.25" right="0.25" top="0.25" bottom="0.25" header="0" footer="0"/>
  <pageSetup paperSize="0" orientation="landscape"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771A7-FCB0-FB4E-86EE-8FAA0979900B}">
  <sheetPr>
    <tabColor theme="5" tint="0.59999389629810485"/>
    <pageSetUpPr fitToPage="1"/>
  </sheetPr>
  <dimension ref="B2:B32"/>
  <sheetViews>
    <sheetView showGridLines="0" workbookViewId="0">
      <selection activeCell="C19" sqref="C19"/>
    </sheetView>
  </sheetViews>
  <sheetFormatPr baseColWidth="10" defaultRowHeight="16"/>
  <cols>
    <col min="1" max="1" width="4" customWidth="1"/>
    <col min="2" max="5" width="11.1640625" bestFit="1" customWidth="1"/>
  </cols>
  <sheetData>
    <row r="2" spans="2:2" s="415" customFormat="1" ht="28" customHeight="1" thickBot="1">
      <c r="B2" s="415" t="s">
        <v>394</v>
      </c>
    </row>
    <row r="4" spans="2:2" hidden="1"/>
    <row r="5" spans="2:2" hidden="1"/>
    <row r="6" spans="2:2" hidden="1"/>
    <row r="7" spans="2:2" hidden="1"/>
    <row r="31" ht="17" customHeight="1"/>
    <row r="32" ht="12" customHeight="1"/>
  </sheetData>
  <pageMargins left="0.25" right="0.25" top="0.25" bottom="0.25" header="0" footer="0"/>
  <pageSetup paperSize="0" scale="86" orientation="landscape" horizontalDpi="0" verticalDpi="0" copie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03387-49FF-7546-8EDB-CCAEB62BEB2E}">
  <sheetPr>
    <tabColor theme="7" tint="0.59999389629810485"/>
    <pageSetUpPr fitToPage="1"/>
  </sheetPr>
  <dimension ref="A2:AB87"/>
  <sheetViews>
    <sheetView showGridLines="0" topLeftCell="G56" workbookViewId="0">
      <selection activeCell="X95" sqref="X95"/>
    </sheetView>
  </sheetViews>
  <sheetFormatPr baseColWidth="10" defaultRowHeight="16"/>
  <cols>
    <col min="1" max="1" width="1.6640625" customWidth="1"/>
    <col min="2" max="2" width="18" customWidth="1"/>
    <col min="3" max="3" width="11.6640625" customWidth="1"/>
    <col min="4" max="4" width="14.33203125" customWidth="1"/>
    <col min="5" max="5" width="2" customWidth="1"/>
    <col min="6" max="6" width="14.33203125" customWidth="1"/>
    <col min="7" max="7" width="12.6640625" customWidth="1"/>
    <col min="8" max="8" width="13.33203125" customWidth="1"/>
    <col min="9" max="9" width="16" customWidth="1"/>
    <col min="10" max="10" width="13.33203125" customWidth="1"/>
    <col min="11" max="11" width="13.33203125" hidden="1" customWidth="1"/>
    <col min="12" max="12" width="12.33203125" customWidth="1"/>
    <col min="13" max="13" width="12.33203125" hidden="1" customWidth="1"/>
    <col min="14" max="14" width="13.33203125" customWidth="1"/>
    <col min="15" max="15" width="13.33203125" hidden="1" customWidth="1"/>
    <col min="16" max="16" width="12.33203125" customWidth="1"/>
    <col min="17" max="17" width="12.33203125" hidden="1" customWidth="1"/>
    <col min="18" max="18" width="12.6640625" customWidth="1"/>
    <col min="19" max="19" width="12.6640625" hidden="1" customWidth="1"/>
    <col min="20" max="20" width="14.1640625" customWidth="1"/>
    <col min="21" max="21" width="14.1640625" hidden="1" customWidth="1"/>
    <col min="22" max="22" width="12.83203125" customWidth="1"/>
    <col min="23" max="23" width="12.83203125" hidden="1" customWidth="1"/>
    <col min="24" max="24" width="13" customWidth="1"/>
    <col min="25" max="25" width="13" hidden="1" customWidth="1"/>
    <col min="26" max="26" width="13.33203125" customWidth="1"/>
    <col min="27" max="27" width="13.33203125" hidden="1" customWidth="1"/>
    <col min="28" max="28" width="13" customWidth="1"/>
  </cols>
  <sheetData>
    <row r="2" spans="1:28" s="415" customFormat="1" ht="28" customHeight="1" thickBot="1">
      <c r="B2" s="415" t="s">
        <v>87</v>
      </c>
    </row>
    <row r="3" spans="1:28">
      <c r="J3" s="169">
        <f>H4+1</f>
        <v>1</v>
      </c>
      <c r="K3" s="169"/>
      <c r="L3" s="169">
        <f>J3+1</f>
        <v>2</v>
      </c>
      <c r="M3" s="169"/>
      <c r="N3" s="169">
        <f>L3+1</f>
        <v>3</v>
      </c>
      <c r="O3" s="169"/>
      <c r="P3" s="169">
        <f>N3+1</f>
        <v>4</v>
      </c>
      <c r="Q3" s="169"/>
      <c r="R3" s="169">
        <f>P3+1</f>
        <v>5</v>
      </c>
      <c r="S3" s="169"/>
      <c r="T3" s="169">
        <f>R3+1</f>
        <v>6</v>
      </c>
      <c r="U3" s="169"/>
      <c r="V3" s="169">
        <f>T3+1</f>
        <v>7</v>
      </c>
      <c r="W3" s="169"/>
      <c r="X3" s="169">
        <f>V3+1</f>
        <v>8</v>
      </c>
      <c r="Y3" s="169"/>
      <c r="Z3" s="169">
        <f>X3+1</f>
        <v>9</v>
      </c>
      <c r="AA3" s="169"/>
      <c r="AB3" s="169">
        <f t="shared" ref="AB3" si="0">Z3+1</f>
        <v>10</v>
      </c>
    </row>
    <row r="4" spans="1:28" ht="28" customHeight="1" thickBot="1">
      <c r="B4" s="21" t="s">
        <v>27</v>
      </c>
      <c r="C4" s="21"/>
      <c r="D4" s="21"/>
      <c r="E4" s="22"/>
      <c r="F4" s="22">
        <f>'STR INPUT'!AR44</f>
        <v>0</v>
      </c>
      <c r="G4" s="22">
        <f>'STR INPUT'!AS44</f>
        <v>0</v>
      </c>
      <c r="H4" s="22">
        <f>'STR INPUT'!AT44</f>
        <v>0</v>
      </c>
      <c r="I4" s="22" t="str">
        <f>"T-12 "&amp;'STR INPUT'!AT7&amp;" "&amp; 'STR INPUT'!AH7</f>
        <v xml:space="preserve">T-12  </v>
      </c>
      <c r="J4" s="22" t="s">
        <v>35</v>
      </c>
      <c r="K4" s="22"/>
      <c r="L4" s="22" t="s">
        <v>89</v>
      </c>
      <c r="M4" s="22"/>
      <c r="N4" s="22" t="s">
        <v>90</v>
      </c>
      <c r="O4" s="22"/>
      <c r="P4" s="22" t="s">
        <v>91</v>
      </c>
      <c r="Q4" s="22"/>
      <c r="R4" s="22" t="s">
        <v>92</v>
      </c>
      <c r="S4" s="22"/>
      <c r="T4" s="22" t="s">
        <v>93</v>
      </c>
      <c r="U4" s="22"/>
      <c r="V4" s="22" t="s">
        <v>94</v>
      </c>
      <c r="W4" s="22"/>
      <c r="X4" s="22" t="s">
        <v>95</v>
      </c>
      <c r="Y4" s="22"/>
      <c r="Z4" s="22" t="s">
        <v>96</v>
      </c>
      <c r="AA4" s="22"/>
      <c r="AB4" s="22" t="s">
        <v>97</v>
      </c>
    </row>
    <row r="5" spans="1:28">
      <c r="A5" s="609"/>
      <c r="B5" s="609"/>
      <c r="C5" s="609"/>
      <c r="D5" s="609"/>
      <c r="E5" s="609"/>
      <c r="F5" s="613"/>
      <c r="G5" s="613"/>
      <c r="H5" s="613"/>
      <c r="I5" s="614"/>
      <c r="J5" s="613"/>
      <c r="K5" s="613"/>
      <c r="L5" s="613"/>
      <c r="M5" s="613"/>
      <c r="N5" s="613"/>
      <c r="O5" s="613"/>
      <c r="P5" s="613"/>
      <c r="Q5" s="613"/>
      <c r="R5" s="613"/>
      <c r="S5" s="613"/>
      <c r="T5" s="613"/>
      <c r="U5" s="613"/>
      <c r="V5" s="613"/>
      <c r="W5" s="613"/>
      <c r="X5" s="613"/>
      <c r="Y5" s="613"/>
      <c r="Z5" s="613"/>
      <c r="AA5" s="613"/>
      <c r="AB5" s="613"/>
    </row>
    <row r="6" spans="1:28">
      <c r="B6" t="s">
        <v>71</v>
      </c>
      <c r="F6" s="615">
        <f>'STR PERFORMANCE'!D10</f>
        <v>0</v>
      </c>
      <c r="G6" s="615">
        <f>'STR PERFORMANCE'!D11</f>
        <v>0</v>
      </c>
      <c r="H6" s="615">
        <f>'STR PERFORMANCE'!D12</f>
        <v>0</v>
      </c>
      <c r="I6" s="615">
        <f>'STR PERFORMANCE'!D15</f>
        <v>0</v>
      </c>
      <c r="J6" s="616">
        <f>I6*(1+J7)</f>
        <v>0</v>
      </c>
      <c r="K6" s="616"/>
      <c r="L6" s="616">
        <f>J6*(1+L7)</f>
        <v>0</v>
      </c>
      <c r="M6" s="616"/>
      <c r="N6" s="616">
        <f>L6*(1+N7)</f>
        <v>0</v>
      </c>
      <c r="O6" s="616"/>
      <c r="P6" s="616">
        <f>N6*(1+P7)</f>
        <v>0</v>
      </c>
      <c r="Q6" s="616"/>
      <c r="R6" s="616">
        <f>P6*(1+R7)</f>
        <v>0</v>
      </c>
      <c r="S6" s="616"/>
      <c r="T6" s="616">
        <f>R6*(1+T7)</f>
        <v>0</v>
      </c>
      <c r="U6" s="616"/>
      <c r="V6" s="616">
        <f>T6*(1+V7)</f>
        <v>0</v>
      </c>
      <c r="W6" s="616"/>
      <c r="X6" s="616">
        <f>V6*(1+X7)</f>
        <v>0</v>
      </c>
      <c r="Y6" s="616"/>
      <c r="Z6" s="616">
        <f>X6*(1+Z7)</f>
        <v>0</v>
      </c>
      <c r="AA6" s="616"/>
      <c r="AB6" s="616">
        <f t="shared" ref="AB6" si="1">Z6*(1+AB7)</f>
        <v>0</v>
      </c>
    </row>
    <row r="7" spans="1:28">
      <c r="C7" t="s">
        <v>88</v>
      </c>
      <c r="F7" s="615"/>
      <c r="G7" s="615" t="e">
        <f>(G6-F6)/F6</f>
        <v>#DIV/0!</v>
      </c>
      <c r="H7" s="615" t="e">
        <f t="shared" ref="H7" si="2">(H6-G6)/G6</f>
        <v>#DIV/0!</v>
      </c>
      <c r="I7" s="615" t="e">
        <f>(I6-H6)/H6</f>
        <v>#DIV/0!</v>
      </c>
      <c r="J7" s="617"/>
      <c r="K7" s="617"/>
      <c r="L7" s="617"/>
      <c r="M7" s="617"/>
      <c r="N7" s="617"/>
      <c r="O7" s="617"/>
      <c r="P7" s="617"/>
      <c r="Q7" s="617"/>
      <c r="R7" s="617"/>
      <c r="S7" s="617"/>
      <c r="T7" s="617"/>
      <c r="U7" s="617"/>
      <c r="V7" s="617"/>
      <c r="W7" s="617"/>
      <c r="X7" s="617"/>
      <c r="Y7" s="617"/>
      <c r="Z7" s="617"/>
      <c r="AA7" s="617"/>
      <c r="AB7" s="617"/>
    </row>
    <row r="8" spans="1:28">
      <c r="A8" s="609"/>
      <c r="B8" s="609"/>
      <c r="C8" s="609"/>
      <c r="D8" s="609"/>
      <c r="E8" s="609"/>
      <c r="F8" s="613"/>
      <c r="G8" s="613"/>
      <c r="H8" s="613"/>
      <c r="I8" s="618"/>
      <c r="J8" s="613"/>
      <c r="K8" s="613"/>
      <c r="L8" s="613"/>
      <c r="M8" s="613"/>
      <c r="N8" s="613"/>
      <c r="O8" s="613"/>
      <c r="P8" s="613"/>
      <c r="Q8" s="613"/>
      <c r="R8" s="613"/>
      <c r="S8" s="613"/>
      <c r="T8" s="613"/>
      <c r="U8" s="613"/>
      <c r="V8" s="613"/>
      <c r="W8" s="613"/>
      <c r="X8" s="613"/>
      <c r="Y8" s="613"/>
      <c r="Z8" s="613"/>
      <c r="AA8" s="613"/>
      <c r="AB8" s="613"/>
    </row>
    <row r="9" spans="1:28">
      <c r="B9" t="s">
        <v>85</v>
      </c>
      <c r="F9" s="619">
        <f>'STR PERFORMANCE'!H10</f>
        <v>0</v>
      </c>
      <c r="G9" s="619">
        <f>'STR PERFORMANCE'!H11</f>
        <v>0</v>
      </c>
      <c r="H9" s="619">
        <f>'STR PERFORMANCE'!H12</f>
        <v>0</v>
      </c>
      <c r="I9" s="619">
        <f>'STR PERFORMANCE'!H15</f>
        <v>0</v>
      </c>
      <c r="J9" s="619">
        <f>I9*(1+J10)</f>
        <v>0</v>
      </c>
      <c r="K9" s="619"/>
      <c r="L9" s="619">
        <f>J9*(1+L10)</f>
        <v>0</v>
      </c>
      <c r="M9" s="619"/>
      <c r="N9" s="619">
        <f>L9*(1+N10)</f>
        <v>0</v>
      </c>
      <c r="O9" s="619"/>
      <c r="P9" s="619">
        <f>N9*(1+P10)</f>
        <v>0</v>
      </c>
      <c r="Q9" s="619"/>
      <c r="R9" s="619">
        <f>P9*(1+R10)</f>
        <v>0</v>
      </c>
      <c r="S9" s="619"/>
      <c r="T9" s="619">
        <f>R9*(1+T10)</f>
        <v>0</v>
      </c>
      <c r="U9" s="619"/>
      <c r="V9" s="619">
        <f>T9*(1+V10)</f>
        <v>0</v>
      </c>
      <c r="W9" s="619"/>
      <c r="X9" s="619">
        <f>V9*(1+X10)</f>
        <v>0</v>
      </c>
      <c r="Y9" s="619"/>
      <c r="Z9" s="619">
        <f>X9*(1+Z10)</f>
        <v>0</v>
      </c>
      <c r="AA9" s="619"/>
      <c r="AB9" s="619">
        <f t="shared" ref="AB9" si="3">Z9*(1+AB10)</f>
        <v>0</v>
      </c>
    </row>
    <row r="10" spans="1:28">
      <c r="C10" t="s">
        <v>88</v>
      </c>
      <c r="F10" s="615"/>
      <c r="G10" s="615" t="e">
        <f t="shared" ref="G10:I10" si="4">(G9-F9)/F9</f>
        <v>#DIV/0!</v>
      </c>
      <c r="H10" s="615" t="e">
        <f t="shared" si="4"/>
        <v>#DIV/0!</v>
      </c>
      <c r="I10" s="615" t="e">
        <f t="shared" si="4"/>
        <v>#DIV/0!</v>
      </c>
      <c r="J10" s="617"/>
      <c r="K10" s="617"/>
      <c r="L10" s="617"/>
      <c r="M10" s="617"/>
      <c r="N10" s="617"/>
      <c r="O10" s="617"/>
      <c r="P10" s="617"/>
      <c r="Q10" s="617"/>
      <c r="R10" s="617"/>
      <c r="S10" s="617"/>
      <c r="T10" s="617"/>
      <c r="U10" s="617"/>
      <c r="V10" s="617"/>
      <c r="W10" s="617"/>
      <c r="X10" s="617"/>
      <c r="Y10" s="617"/>
      <c r="Z10" s="617"/>
      <c r="AA10" s="617"/>
      <c r="AB10" s="617"/>
    </row>
    <row r="11" spans="1:28">
      <c r="A11" s="609"/>
      <c r="B11" s="609"/>
      <c r="C11" s="609"/>
      <c r="D11" s="609"/>
      <c r="E11" s="609"/>
      <c r="F11" s="613"/>
      <c r="G11" s="613"/>
      <c r="H11" s="613"/>
      <c r="I11" s="618"/>
      <c r="J11" s="613"/>
      <c r="K11" s="613"/>
      <c r="L11" s="613"/>
      <c r="M11" s="613"/>
      <c r="N11" s="613"/>
      <c r="O11" s="613"/>
      <c r="P11" s="613"/>
      <c r="Q11" s="613"/>
      <c r="R11" s="613"/>
      <c r="S11" s="613"/>
      <c r="T11" s="613"/>
      <c r="U11" s="613"/>
      <c r="V11" s="613"/>
      <c r="W11" s="613"/>
      <c r="X11" s="613"/>
      <c r="Y11" s="613"/>
      <c r="Z11" s="613"/>
      <c r="AA11" s="613"/>
      <c r="AB11" s="613"/>
    </row>
    <row r="12" spans="1:28">
      <c r="B12" t="s">
        <v>86</v>
      </c>
      <c r="F12" s="619">
        <f>F6*F9</f>
        <v>0</v>
      </c>
      <c r="G12" s="619">
        <f t="shared" ref="G12:H12" si="5">G6*G9</f>
        <v>0</v>
      </c>
      <c r="H12" s="619">
        <f t="shared" si="5"/>
        <v>0</v>
      </c>
      <c r="I12" s="619">
        <f>I6*I9</f>
        <v>0</v>
      </c>
      <c r="J12" s="619">
        <f>J6*J9</f>
        <v>0</v>
      </c>
      <c r="K12" s="619"/>
      <c r="L12" s="619">
        <f t="shared" ref="L12:AB12" si="6">L6*L9</f>
        <v>0</v>
      </c>
      <c r="M12" s="619"/>
      <c r="N12" s="619">
        <f t="shared" si="6"/>
        <v>0</v>
      </c>
      <c r="O12" s="619"/>
      <c r="P12" s="619">
        <f t="shared" si="6"/>
        <v>0</v>
      </c>
      <c r="Q12" s="619"/>
      <c r="R12" s="619">
        <f t="shared" si="6"/>
        <v>0</v>
      </c>
      <c r="S12" s="619"/>
      <c r="T12" s="619">
        <f t="shared" si="6"/>
        <v>0</v>
      </c>
      <c r="U12" s="619"/>
      <c r="V12" s="619">
        <f t="shared" si="6"/>
        <v>0</v>
      </c>
      <c r="W12" s="619"/>
      <c r="X12" s="619">
        <f t="shared" si="6"/>
        <v>0</v>
      </c>
      <c r="Y12" s="619"/>
      <c r="Z12" s="619">
        <f t="shared" si="6"/>
        <v>0</v>
      </c>
      <c r="AA12" s="619"/>
      <c r="AB12" s="619">
        <f t="shared" si="6"/>
        <v>0</v>
      </c>
    </row>
    <row r="13" spans="1:28">
      <c r="C13" t="s">
        <v>88</v>
      </c>
      <c r="F13" s="615"/>
      <c r="G13" s="615" t="e">
        <f t="shared" ref="G13:I13" si="7">(G12-F12)/F12</f>
        <v>#DIV/0!</v>
      </c>
      <c r="H13" s="615" t="e">
        <f t="shared" si="7"/>
        <v>#DIV/0!</v>
      </c>
      <c r="I13" s="615" t="e">
        <f t="shared" si="7"/>
        <v>#DIV/0!</v>
      </c>
      <c r="J13" s="620" t="e">
        <f>(J12-I12)/I12</f>
        <v>#DIV/0!</v>
      </c>
      <c r="K13" s="620"/>
      <c r="L13" s="620" t="e">
        <f>(L12-J12)/J12</f>
        <v>#DIV/0!</v>
      </c>
      <c r="M13" s="620"/>
      <c r="N13" s="620" t="e">
        <f>(N12-L12)/L12</f>
        <v>#DIV/0!</v>
      </c>
      <c r="O13" s="620"/>
      <c r="P13" s="620" t="e">
        <f>(P12-N12)/N12</f>
        <v>#DIV/0!</v>
      </c>
      <c r="Q13" s="620"/>
      <c r="R13" s="620" t="e">
        <f>(R12-P12)/P12</f>
        <v>#DIV/0!</v>
      </c>
      <c r="S13" s="620"/>
      <c r="T13" s="620" t="e">
        <f>(T12-R12)/R12</f>
        <v>#DIV/0!</v>
      </c>
      <c r="U13" s="620"/>
      <c r="V13" s="620" t="e">
        <f>(V12-T12)/T12</f>
        <v>#DIV/0!</v>
      </c>
      <c r="W13" s="620"/>
      <c r="X13" s="620" t="e">
        <f>(X12-V12)/V12</f>
        <v>#DIV/0!</v>
      </c>
      <c r="Y13" s="620"/>
      <c r="Z13" s="620" t="e">
        <f>(Z12-X12)/X12</f>
        <v>#DIV/0!</v>
      </c>
      <c r="AA13" s="620"/>
      <c r="AB13" s="620" t="e">
        <f>(AB12-Z12)/Z12</f>
        <v>#DIV/0!</v>
      </c>
    </row>
    <row r="14" spans="1:28">
      <c r="A14" s="609"/>
      <c r="B14" s="609"/>
      <c r="C14" s="609"/>
      <c r="D14" s="609"/>
      <c r="E14" s="609"/>
      <c r="F14" s="613"/>
      <c r="G14" s="613"/>
      <c r="H14" s="613"/>
      <c r="I14" s="618"/>
      <c r="J14" s="613"/>
      <c r="K14" s="613"/>
      <c r="L14" s="613"/>
      <c r="M14" s="613"/>
      <c r="N14" s="613"/>
      <c r="O14" s="613"/>
      <c r="P14" s="613"/>
      <c r="Q14" s="613"/>
      <c r="R14" s="613"/>
      <c r="S14" s="613"/>
      <c r="T14" s="613"/>
      <c r="U14" s="613"/>
      <c r="V14" s="613"/>
      <c r="W14" s="613"/>
      <c r="X14" s="613"/>
      <c r="Y14" s="613"/>
      <c r="Z14" s="613"/>
      <c r="AA14" s="613"/>
      <c r="AB14" s="613"/>
    </row>
    <row r="15" spans="1:28">
      <c r="B15" t="s">
        <v>27</v>
      </c>
      <c r="F15" s="619">
        <f>IF('CLEAN P&amp;L'!D6=0,F12*(DATE(YEAR(F4), 12, 31)-DATE(YEAR(F4), 1, 1)+1)*'STR INPUT'!$G$7,'CLEAN P&amp;L'!D6)</f>
        <v>0</v>
      </c>
      <c r="G15" s="619">
        <f>IF('CLEAN P&amp;L'!F6=0,G12*(DATE(YEAR(G4), 12, 31)-DATE(YEAR(G4), 1, 1)+1)*'STR INPUT'!$G$7,'CLEAN P&amp;L'!F6)</f>
        <v>0</v>
      </c>
      <c r="H15" s="619">
        <f>IF('CLEAN P&amp;L'!H6=0,H12*(DATE(YEAR(H4), 12, 31)-DATE(YEAR(H4), 1, 1)+1)*'STR INPUT'!$G$7,'CLEAN P&amp;L'!H6)</f>
        <v>0</v>
      </c>
      <c r="I15" s="619">
        <f>I12*(DATE(YEAR(H4), 12, 31)-DATE(YEAR(H4), 1, 1)+1)*'STR INPUT'!$G$7</f>
        <v>0</v>
      </c>
      <c r="J15" s="619">
        <f>J12*(DATE(YEAR(J3)+1,1,1)-DATE(YEAR(J3),1,1))*'STR INPUT'!$G$7</f>
        <v>0</v>
      </c>
      <c r="K15" s="619">
        <f>K12*(DATE(YEAR(K3)+1,1,1)-DATE(YEAR(K3),1,1))*'STR INPUT'!$G$7</f>
        <v>0</v>
      </c>
      <c r="L15" s="619">
        <f>L12*(DATE(YEAR(L3)+1,1,1)-DATE(YEAR(L3),1,1))*'STR INPUT'!$G$7</f>
        <v>0</v>
      </c>
      <c r="M15" s="619">
        <f>M12*(DATE(YEAR(M3)+1,1,1)-DATE(YEAR(M3),1,1))*'STR INPUT'!$G$7</f>
        <v>0</v>
      </c>
      <c r="N15" s="619">
        <f>N12*(DATE(YEAR(N3)+1,1,1)-DATE(YEAR(N3),1,1))*'STR INPUT'!$G$7</f>
        <v>0</v>
      </c>
      <c r="O15" s="619">
        <f>O12*(DATE(YEAR(O3)+1,1,1)-DATE(YEAR(O3),1,1))*'STR INPUT'!$G$7</f>
        <v>0</v>
      </c>
      <c r="P15" s="619">
        <f>P12*(DATE(YEAR(P3)+1,1,1)-DATE(YEAR(P3),1,1))*'STR INPUT'!$G$7</f>
        <v>0</v>
      </c>
      <c r="Q15" s="619">
        <f>Q12*(DATE(YEAR(Q3)+1,1,1)-DATE(YEAR(Q3),1,1))*'STR INPUT'!$G$7</f>
        <v>0</v>
      </c>
      <c r="R15" s="619">
        <f>R12*(DATE(YEAR(R3)+1,1,1)-DATE(YEAR(R3),1,1))*'STR INPUT'!$G$7</f>
        <v>0</v>
      </c>
      <c r="S15" s="619">
        <f>S12*(DATE(YEAR(S3)+1,1,1)-DATE(YEAR(S3),1,1))*'STR INPUT'!$G$7</f>
        <v>0</v>
      </c>
      <c r="T15" s="619">
        <f>T12*(DATE(YEAR(T3)+1,1,1)-DATE(YEAR(T3),1,1))*'STR INPUT'!$G$7</f>
        <v>0</v>
      </c>
      <c r="U15" s="619">
        <f>U12*(DATE(YEAR(U3)+1,1,1)-DATE(YEAR(U3),1,1))*'STR INPUT'!$G$7</f>
        <v>0</v>
      </c>
      <c r="V15" s="619">
        <f>V12*(DATE(YEAR(V3)+1,1,1)-DATE(YEAR(V3),1,1))*'STR INPUT'!$G$7</f>
        <v>0</v>
      </c>
      <c r="W15" s="619">
        <f>W12*(DATE(YEAR(W3)+1,1,1)-DATE(YEAR(W3),1,1))*'STR INPUT'!$G$7</f>
        <v>0</v>
      </c>
      <c r="X15" s="619">
        <f>X12*(DATE(YEAR(X3)+1,1,1)-DATE(YEAR(X3),1,1))*'STR INPUT'!$G$7</f>
        <v>0</v>
      </c>
      <c r="Y15" s="619">
        <f>Y12*(DATE(YEAR(Y3)+1,1,1)-DATE(YEAR(Y3),1,1))*'STR INPUT'!$G$7</f>
        <v>0</v>
      </c>
      <c r="Z15" s="619">
        <f>Z12*(DATE(YEAR(Z3)+1,1,1)-DATE(YEAR(Z3),1,1))*'STR INPUT'!$G$7</f>
        <v>0</v>
      </c>
      <c r="AA15" s="619">
        <f>AA12*(DATE(YEAR(AA3)+1,1,1)-DATE(YEAR(AA3),1,1))*'STR INPUT'!$G$7</f>
        <v>0</v>
      </c>
      <c r="AB15" s="619">
        <f>AB12*(DATE(YEAR(AB3)+1,1,1)-DATE(YEAR(AB3),1,1))*'STR INPUT'!$G$7</f>
        <v>0</v>
      </c>
    </row>
    <row r="16" spans="1:28">
      <c r="A16" s="609"/>
      <c r="B16" s="609"/>
      <c r="C16" s="609"/>
      <c r="D16" s="609"/>
      <c r="E16" s="609"/>
      <c r="F16" s="613"/>
      <c r="G16" s="613"/>
      <c r="H16" s="613"/>
      <c r="I16" s="613"/>
      <c r="J16" s="613"/>
      <c r="K16" s="613"/>
      <c r="L16" s="613"/>
      <c r="M16" s="613"/>
      <c r="N16" s="613"/>
      <c r="O16" s="613"/>
      <c r="P16" s="613"/>
      <c r="Q16" s="613"/>
      <c r="R16" s="613"/>
      <c r="S16" s="613"/>
      <c r="T16" s="613"/>
      <c r="U16" s="613"/>
      <c r="V16" s="613"/>
      <c r="W16" s="613"/>
      <c r="X16" s="613"/>
      <c r="Y16" s="613"/>
      <c r="Z16" s="613"/>
      <c r="AA16" s="613"/>
      <c r="AB16" s="613"/>
    </row>
    <row r="17" spans="1:28" ht="20" thickBot="1">
      <c r="B17" s="21" t="s">
        <v>98</v>
      </c>
      <c r="C17" s="21"/>
      <c r="D17" s="21" t="s">
        <v>99</v>
      </c>
      <c r="E17" s="21"/>
      <c r="F17" s="22"/>
      <c r="G17" s="22">
        <f>F4</f>
        <v>0</v>
      </c>
      <c r="H17" s="22">
        <f t="shared" ref="H17:I17" si="8">G4</f>
        <v>0</v>
      </c>
      <c r="I17" s="22">
        <f t="shared" si="8"/>
        <v>0</v>
      </c>
      <c r="J17" s="22" t="str">
        <f t="shared" ref="J17:AB17" si="9">J4</f>
        <v>Year 1</v>
      </c>
      <c r="K17" s="22"/>
      <c r="L17" s="22" t="str">
        <f t="shared" si="9"/>
        <v>Year 2</v>
      </c>
      <c r="M17" s="22"/>
      <c r="N17" s="22" t="str">
        <f t="shared" si="9"/>
        <v>Year 3</v>
      </c>
      <c r="O17" s="22"/>
      <c r="P17" s="22" t="str">
        <f t="shared" si="9"/>
        <v>Year 4</v>
      </c>
      <c r="Q17" s="22"/>
      <c r="R17" s="22" t="str">
        <f t="shared" si="9"/>
        <v xml:space="preserve">Year 5 </v>
      </c>
      <c r="S17" s="22"/>
      <c r="T17" s="22" t="str">
        <f t="shared" si="9"/>
        <v>Year 6</v>
      </c>
      <c r="U17" s="22"/>
      <c r="V17" s="22" t="str">
        <f t="shared" si="9"/>
        <v>Year 7</v>
      </c>
      <c r="W17" s="22"/>
      <c r="X17" s="22" t="str">
        <f t="shared" si="9"/>
        <v>Year 8</v>
      </c>
      <c r="Y17" s="22"/>
      <c r="Z17" s="22" t="str">
        <f t="shared" si="9"/>
        <v xml:space="preserve">Year 9 </v>
      </c>
      <c r="AA17" s="22"/>
      <c r="AB17" s="22" t="str">
        <f t="shared" si="9"/>
        <v>Year 10</v>
      </c>
    </row>
    <row r="18" spans="1:28">
      <c r="A18" s="609"/>
      <c r="B18" s="609"/>
      <c r="C18" s="609"/>
      <c r="D18" s="611"/>
      <c r="E18" s="609"/>
      <c r="F18" s="613"/>
      <c r="G18" s="613"/>
      <c r="H18" s="613"/>
      <c r="I18" s="614"/>
      <c r="J18" s="613"/>
      <c r="K18" s="613"/>
      <c r="L18" s="613"/>
      <c r="M18" s="613"/>
      <c r="N18" s="613"/>
      <c r="O18" s="613"/>
      <c r="P18" s="613"/>
      <c r="Q18" s="613"/>
      <c r="R18" s="613"/>
      <c r="S18" s="613"/>
      <c r="T18" s="613"/>
      <c r="U18" s="613"/>
      <c r="V18" s="613"/>
      <c r="W18" s="613"/>
      <c r="X18" s="613"/>
      <c r="Y18" s="613"/>
      <c r="Z18" s="613"/>
      <c r="AA18" s="613"/>
      <c r="AB18" s="613"/>
    </row>
    <row r="19" spans="1:28">
      <c r="A19" s="609"/>
      <c r="B19" s="610" t="s">
        <v>28</v>
      </c>
      <c r="C19" s="609"/>
      <c r="D19" s="609"/>
      <c r="E19" s="609"/>
      <c r="F19" s="613"/>
      <c r="G19" s="613"/>
      <c r="H19" s="613"/>
      <c r="I19" s="618"/>
      <c r="J19" s="613"/>
      <c r="K19" s="613"/>
      <c r="L19" s="613"/>
      <c r="M19" s="613"/>
      <c r="N19" s="613"/>
      <c r="O19" s="613"/>
      <c r="P19" s="613"/>
      <c r="Q19" s="613"/>
      <c r="R19" s="613"/>
      <c r="S19" s="613"/>
      <c r="T19" s="613"/>
      <c r="U19" s="613"/>
      <c r="V19" s="613"/>
      <c r="W19" s="613"/>
      <c r="X19" s="613"/>
      <c r="Y19" s="613"/>
      <c r="Z19" s="613"/>
      <c r="AA19" s="613"/>
      <c r="AB19" s="613"/>
    </row>
    <row r="20" spans="1:28">
      <c r="B20" t="s">
        <v>53</v>
      </c>
      <c r="F20" s="5"/>
      <c r="G20" s="619">
        <f>'CLEAN P&amp;L'!D8</f>
        <v>0</v>
      </c>
      <c r="H20" s="622">
        <f>'CLEAN P&amp;L'!F8</f>
        <v>0</v>
      </c>
      <c r="I20" s="622">
        <f>'CLEAN P&amp;L'!H8</f>
        <v>0</v>
      </c>
      <c r="J20" s="622">
        <f>J21*(J6*((DATE(YEAR(J3),12,31)-DATE(YEAR(J3),1,1)+1)*'STR INPUT'!$G$7))</f>
        <v>0</v>
      </c>
      <c r="K20" s="622"/>
      <c r="L20" s="619">
        <f>J20*(1+L21)</f>
        <v>0</v>
      </c>
      <c r="M20" s="619"/>
      <c r="N20" s="619">
        <f>L20*(1+N21)</f>
        <v>0</v>
      </c>
      <c r="O20" s="619"/>
      <c r="P20" s="619">
        <f>N20*(1+P21)</f>
        <v>0</v>
      </c>
      <c r="Q20" s="619"/>
      <c r="R20" s="619">
        <f>P20*(1+R21)</f>
        <v>0</v>
      </c>
      <c r="S20" s="619"/>
      <c r="T20" s="619">
        <f>R20*(1+T21)</f>
        <v>0</v>
      </c>
      <c r="U20" s="619"/>
      <c r="V20" s="619">
        <f>T20*(1+V21)</f>
        <v>0</v>
      </c>
      <c r="W20" s="619"/>
      <c r="X20" s="619">
        <f>V20*(1+X21)</f>
        <v>0</v>
      </c>
      <c r="Y20" s="619"/>
      <c r="Z20" s="619">
        <f t="shared" ref="Z20" si="10">X20*(1+Z21)</f>
        <v>0</v>
      </c>
      <c r="AA20" s="619"/>
      <c r="AB20" s="619">
        <f>Z20*(1+AB21)</f>
        <v>0</v>
      </c>
    </row>
    <row r="21" spans="1:28">
      <c r="D21" t="s">
        <v>397</v>
      </c>
      <c r="F21" s="5"/>
      <c r="G21" s="619" t="e">
        <f>G20/(F6*(DATE(YEAR(F4), 12, 31)-DATE(YEAR(F4), 1, 1)+1)*'STR INPUT'!$G$7)</f>
        <v>#DIV/0!</v>
      </c>
      <c r="H21" s="619" t="e">
        <f>H20/(G6*(DATE(YEAR(G4), 12, 31)-DATE(YEAR(G4), 1, 1)+1)*'STR INPUT'!$G$7)</f>
        <v>#DIV/0!</v>
      </c>
      <c r="I21" s="619" t="e">
        <f>I20/(H6*((DATE(YEAR(H4), 12, 31)-DATE(YEAR(H4), 1, 1)+1)*'STR INPUT'!$G$7))</f>
        <v>#DIV/0!</v>
      </c>
      <c r="J21" s="669"/>
      <c r="K21" s="669"/>
      <c r="L21" s="625"/>
      <c r="M21" s="625"/>
      <c r="N21" s="625"/>
      <c r="O21" s="625"/>
      <c r="P21" s="625"/>
      <c r="Q21" s="625"/>
      <c r="R21" s="625"/>
      <c r="S21" s="625"/>
      <c r="T21" s="625"/>
      <c r="U21" s="625"/>
      <c r="V21" s="625"/>
      <c r="W21" s="625"/>
      <c r="X21" s="625"/>
      <c r="Y21" s="625"/>
      <c r="Z21" s="625"/>
      <c r="AA21" s="625"/>
      <c r="AB21" s="625"/>
    </row>
    <row r="22" spans="1:28">
      <c r="A22" s="609"/>
      <c r="B22" s="609"/>
      <c r="C22" s="609"/>
      <c r="D22" s="609"/>
      <c r="E22" s="609"/>
      <c r="F22" s="613"/>
      <c r="G22" s="613"/>
      <c r="H22" s="626"/>
      <c r="I22" s="627"/>
      <c r="J22" s="628"/>
      <c r="K22" s="628"/>
      <c r="L22" s="628"/>
      <c r="M22" s="628"/>
      <c r="N22" s="628"/>
      <c r="O22" s="628"/>
      <c r="P22" s="628"/>
      <c r="Q22" s="628"/>
      <c r="R22" s="628"/>
      <c r="S22" s="628"/>
      <c r="T22" s="628"/>
      <c r="U22" s="628"/>
      <c r="V22" s="628"/>
      <c r="W22" s="628"/>
      <c r="X22" s="628"/>
      <c r="Y22" s="628"/>
      <c r="Z22" s="628"/>
      <c r="AA22" s="628"/>
      <c r="AB22" s="628"/>
    </row>
    <row r="23" spans="1:28">
      <c r="B23" t="s">
        <v>100</v>
      </c>
      <c r="F23" s="5"/>
      <c r="G23" s="619">
        <f>'CLEAN P&amp;L'!D7</f>
        <v>0</v>
      </c>
      <c r="H23" s="622">
        <f>'CLEAN P&amp;L'!F7</f>
        <v>0</v>
      </c>
      <c r="I23" s="622">
        <f>'CLEAN P&amp;L'!H7</f>
        <v>0</v>
      </c>
      <c r="J23" s="622">
        <f>I23*(1+J24)</f>
        <v>0</v>
      </c>
      <c r="K23" s="622"/>
      <c r="L23" s="619">
        <f>J23*(1+L24)</f>
        <v>0</v>
      </c>
      <c r="M23" s="619"/>
      <c r="N23" s="619">
        <f>L23*(1+N24)</f>
        <v>0</v>
      </c>
      <c r="O23" s="619"/>
      <c r="P23" s="619">
        <f>N23*(1+P24)</f>
        <v>0</v>
      </c>
      <c r="Q23" s="619"/>
      <c r="R23" s="619">
        <f>P23*(1+R24)</f>
        <v>0</v>
      </c>
      <c r="S23" s="619"/>
      <c r="T23" s="619">
        <f>R23*(1+T24)</f>
        <v>0</v>
      </c>
      <c r="U23" s="619"/>
      <c r="V23" s="619">
        <f>T23*(1+V24)</f>
        <v>0</v>
      </c>
      <c r="W23" s="619"/>
      <c r="X23" s="619">
        <f>V23*(1+X24)</f>
        <v>0</v>
      </c>
      <c r="Y23" s="619"/>
      <c r="Z23" s="619">
        <f>X23*(1+Z24)</f>
        <v>0</v>
      </c>
      <c r="AA23" s="619"/>
      <c r="AB23" s="619">
        <f t="shared" ref="AB23" si="11">Z23*(1+AB24)</f>
        <v>0</v>
      </c>
    </row>
    <row r="24" spans="1:28">
      <c r="D24" t="s">
        <v>402</v>
      </c>
      <c r="F24" s="5"/>
      <c r="G24" s="621"/>
      <c r="H24" s="623">
        <f>IFERROR((H23-G23)/G23,0)</f>
        <v>0</v>
      </c>
      <c r="I24" s="623">
        <f>IFERROR((I23-H23)/H23,0)</f>
        <v>0</v>
      </c>
      <c r="J24" s="624"/>
      <c r="K24" s="624"/>
      <c r="L24" s="625"/>
      <c r="M24" s="625"/>
      <c r="N24" s="625"/>
      <c r="O24" s="625"/>
      <c r="P24" s="625"/>
      <c r="Q24" s="625"/>
      <c r="R24" s="625"/>
      <c r="S24" s="625"/>
      <c r="T24" s="625"/>
      <c r="U24" s="625"/>
      <c r="V24" s="625"/>
      <c r="W24" s="625"/>
      <c r="X24" s="625"/>
      <c r="Y24" s="625"/>
      <c r="Z24" s="625"/>
      <c r="AA24" s="625"/>
      <c r="AB24" s="625"/>
    </row>
    <row r="25" spans="1:28">
      <c r="A25" s="609"/>
      <c r="B25" s="609"/>
      <c r="C25" s="609"/>
      <c r="D25" s="609"/>
      <c r="E25" s="609"/>
      <c r="F25" s="613"/>
      <c r="G25" s="613"/>
      <c r="H25" s="629"/>
      <c r="I25" s="630"/>
      <c r="J25" s="631"/>
      <c r="K25" s="631"/>
      <c r="L25" s="631"/>
      <c r="M25" s="631"/>
      <c r="N25" s="631"/>
      <c r="O25" s="631"/>
      <c r="P25" s="631"/>
      <c r="Q25" s="631"/>
      <c r="R25" s="631"/>
      <c r="S25" s="631"/>
      <c r="T25" s="631"/>
      <c r="U25" s="631"/>
      <c r="V25" s="631"/>
      <c r="W25" s="631"/>
      <c r="X25" s="631"/>
      <c r="Y25" s="631"/>
      <c r="Z25" s="631"/>
      <c r="AA25" s="631"/>
      <c r="AB25" s="631"/>
    </row>
    <row r="26" spans="1:28">
      <c r="B26" t="str">
        <f>'CLEAN P&amp;L'!B9</f>
        <v xml:space="preserve">Other Operated Depts. </v>
      </c>
      <c r="F26" s="5"/>
      <c r="G26" s="619">
        <f>'CLEAN P&amp;L'!D9</f>
        <v>0</v>
      </c>
      <c r="H26" s="622">
        <f>'CLEAN P&amp;L'!F9</f>
        <v>0</v>
      </c>
      <c r="I26" s="622">
        <f>'CLEAN P&amp;L'!H9</f>
        <v>0</v>
      </c>
      <c r="J26" s="622">
        <f>J15*J27</f>
        <v>0</v>
      </c>
      <c r="K26" s="622">
        <f t="shared" ref="K26:AB26" si="12">K15*K27</f>
        <v>0</v>
      </c>
      <c r="L26" s="622">
        <f t="shared" si="12"/>
        <v>0</v>
      </c>
      <c r="M26" s="622">
        <f t="shared" si="12"/>
        <v>0</v>
      </c>
      <c r="N26" s="622">
        <f t="shared" si="12"/>
        <v>0</v>
      </c>
      <c r="O26" s="622">
        <f t="shared" si="12"/>
        <v>0</v>
      </c>
      <c r="P26" s="622">
        <f t="shared" si="12"/>
        <v>0</v>
      </c>
      <c r="Q26" s="622">
        <f t="shared" si="12"/>
        <v>0</v>
      </c>
      <c r="R26" s="622">
        <f t="shared" si="12"/>
        <v>0</v>
      </c>
      <c r="S26" s="622">
        <f t="shared" si="12"/>
        <v>0</v>
      </c>
      <c r="T26" s="622">
        <f t="shared" si="12"/>
        <v>0</v>
      </c>
      <c r="U26" s="622">
        <f t="shared" si="12"/>
        <v>0</v>
      </c>
      <c r="V26" s="622">
        <f t="shared" si="12"/>
        <v>0</v>
      </c>
      <c r="W26" s="622">
        <f t="shared" si="12"/>
        <v>0</v>
      </c>
      <c r="X26" s="622">
        <f t="shared" si="12"/>
        <v>0</v>
      </c>
      <c r="Y26" s="622">
        <f t="shared" si="12"/>
        <v>0</v>
      </c>
      <c r="Z26" s="622">
        <f t="shared" si="12"/>
        <v>0</v>
      </c>
      <c r="AA26" s="622">
        <f t="shared" si="12"/>
        <v>0</v>
      </c>
      <c r="AB26" s="622">
        <f t="shared" si="12"/>
        <v>0</v>
      </c>
    </row>
    <row r="27" spans="1:28">
      <c r="D27" t="s">
        <v>403</v>
      </c>
      <c r="F27" s="5"/>
      <c r="G27" s="623" t="e">
        <f>G26/F15</f>
        <v>#DIV/0!</v>
      </c>
      <c r="H27" s="623" t="e">
        <f t="shared" ref="H27:I27" si="13">H26/G15</f>
        <v>#DIV/0!</v>
      </c>
      <c r="I27" s="623" t="e">
        <f t="shared" si="13"/>
        <v>#DIV/0!</v>
      </c>
      <c r="J27" s="624"/>
      <c r="K27" s="624"/>
      <c r="L27" s="624"/>
      <c r="M27" s="624"/>
      <c r="N27" s="624"/>
      <c r="O27" s="624"/>
      <c r="P27" s="624"/>
      <c r="Q27" s="624"/>
      <c r="R27" s="624"/>
      <c r="S27" s="624"/>
      <c r="T27" s="624"/>
      <c r="U27" s="624"/>
      <c r="V27" s="624"/>
      <c r="W27" s="624"/>
      <c r="X27" s="624"/>
      <c r="Y27" s="624"/>
      <c r="Z27" s="624"/>
      <c r="AA27" s="624"/>
      <c r="AB27" s="624"/>
    </row>
    <row r="28" spans="1:28">
      <c r="A28" s="609"/>
      <c r="B28" s="609"/>
      <c r="C28" s="609"/>
      <c r="D28" s="609"/>
      <c r="E28" s="609"/>
      <c r="F28" s="613"/>
      <c r="G28" s="613"/>
      <c r="H28" s="629"/>
      <c r="I28" s="630"/>
      <c r="J28" s="631"/>
      <c r="K28" s="631"/>
      <c r="L28" s="631"/>
      <c r="M28" s="631"/>
      <c r="N28" s="631"/>
      <c r="O28" s="631"/>
      <c r="P28" s="631"/>
      <c r="Q28" s="631"/>
      <c r="R28" s="631"/>
      <c r="S28" s="631"/>
      <c r="T28" s="631"/>
      <c r="U28" s="631"/>
      <c r="V28" s="631"/>
      <c r="W28" s="631"/>
      <c r="X28" s="631"/>
      <c r="Y28" s="631"/>
      <c r="Z28" s="631"/>
      <c r="AA28" s="631"/>
      <c r="AB28" s="631"/>
    </row>
    <row r="29" spans="1:28">
      <c r="B29" t="str">
        <f>'CLEAN P&amp;L'!B10</f>
        <v>Custom</v>
      </c>
      <c r="F29" s="5"/>
      <c r="G29" s="619">
        <f>'CLEAN P&amp;L'!D10</f>
        <v>0</v>
      </c>
      <c r="H29" s="622">
        <f>'CLEAN P&amp;L'!F10</f>
        <v>0</v>
      </c>
      <c r="I29" s="622">
        <f>'CLEAN P&amp;L'!H10</f>
        <v>0</v>
      </c>
      <c r="J29" s="632">
        <f>I29*(1+J30)</f>
        <v>0</v>
      </c>
      <c r="K29" s="632"/>
      <c r="L29" s="633">
        <f>J29*(1+L30)</f>
        <v>0</v>
      </c>
      <c r="M29" s="633"/>
      <c r="N29" s="633">
        <f>L29*(1+N30)</f>
        <v>0</v>
      </c>
      <c r="O29" s="633"/>
      <c r="P29" s="633">
        <f>N29*(1+P30)</f>
        <v>0</v>
      </c>
      <c r="Q29" s="633"/>
      <c r="R29" s="633">
        <f>P29*(1+R30)</f>
        <v>0</v>
      </c>
      <c r="S29" s="633"/>
      <c r="T29" s="633">
        <f>R29*(1+T30)</f>
        <v>0</v>
      </c>
      <c r="U29" s="633"/>
      <c r="V29" s="633">
        <f>T29*(1+V30)</f>
        <v>0</v>
      </c>
      <c r="W29" s="633"/>
      <c r="X29" s="633">
        <f>V29*(1+X30)</f>
        <v>0</v>
      </c>
      <c r="Y29" s="633"/>
      <c r="Z29" s="633">
        <f>X29*(1+Z30)</f>
        <v>0</v>
      </c>
      <c r="AA29" s="633"/>
      <c r="AB29" s="633">
        <f t="shared" ref="AB29" si="14">Z29*(1+AB30)</f>
        <v>0</v>
      </c>
    </row>
    <row r="30" spans="1:28">
      <c r="D30" t="s">
        <v>402</v>
      </c>
      <c r="F30" s="5"/>
      <c r="G30" s="621"/>
      <c r="H30" s="623">
        <f>IFERROR((H29-G29)/G29,0)</f>
        <v>0</v>
      </c>
      <c r="I30" s="623">
        <f>IFERROR((I29-H29)/H29,0)</f>
        <v>0</v>
      </c>
      <c r="J30" s="634"/>
      <c r="K30" s="634"/>
      <c r="L30" s="635"/>
      <c r="M30" s="635"/>
      <c r="N30" s="635"/>
      <c r="O30" s="635"/>
      <c r="P30" s="635"/>
      <c r="Q30" s="635"/>
      <c r="R30" s="635"/>
      <c r="S30" s="635"/>
      <c r="T30" s="635"/>
      <c r="U30" s="635"/>
      <c r="V30" s="635"/>
      <c r="W30" s="635"/>
      <c r="X30" s="635"/>
      <c r="Y30" s="635"/>
      <c r="Z30" s="635"/>
      <c r="AA30" s="635"/>
      <c r="AB30" s="635"/>
    </row>
    <row r="31" spans="1:28">
      <c r="A31" s="609"/>
      <c r="B31" s="609"/>
      <c r="C31" s="609"/>
      <c r="D31" s="609"/>
      <c r="E31" s="609"/>
      <c r="F31" s="613"/>
      <c r="G31" s="613"/>
      <c r="H31" s="613"/>
      <c r="I31" s="618"/>
      <c r="J31" s="613"/>
      <c r="K31" s="613"/>
      <c r="L31" s="613"/>
      <c r="M31" s="613"/>
      <c r="N31" s="613"/>
      <c r="O31" s="613"/>
      <c r="P31" s="613"/>
      <c r="Q31" s="613"/>
      <c r="R31" s="613"/>
      <c r="S31" s="613"/>
      <c r="T31" s="613"/>
      <c r="U31" s="613"/>
      <c r="V31" s="613"/>
      <c r="W31" s="613"/>
      <c r="X31" s="613"/>
      <c r="Y31" s="613"/>
      <c r="Z31" s="613"/>
      <c r="AA31" s="613"/>
      <c r="AB31" s="613"/>
    </row>
    <row r="32" spans="1:28">
      <c r="A32" s="609"/>
      <c r="B32" s="610" t="s">
        <v>101</v>
      </c>
      <c r="C32" s="609"/>
      <c r="D32" s="609"/>
      <c r="E32" s="609"/>
      <c r="F32" s="613"/>
      <c r="G32" s="613"/>
      <c r="H32" s="613"/>
      <c r="I32" s="618"/>
      <c r="J32" s="613"/>
      <c r="K32" s="613"/>
      <c r="L32" s="613"/>
      <c r="M32" s="613"/>
      <c r="N32" s="613"/>
      <c r="O32" s="613"/>
      <c r="P32" s="613"/>
      <c r="Q32" s="613"/>
      <c r="R32" s="613"/>
      <c r="S32" s="613"/>
      <c r="T32" s="613"/>
      <c r="U32" s="613"/>
      <c r="V32" s="613"/>
      <c r="W32" s="613"/>
      <c r="X32" s="613"/>
      <c r="Y32" s="613"/>
      <c r="Z32" s="613"/>
      <c r="AA32" s="613"/>
      <c r="AB32" s="613"/>
    </row>
    <row r="33" spans="1:28">
      <c r="B33" t="s">
        <v>52</v>
      </c>
      <c r="F33" s="5"/>
      <c r="G33" s="621">
        <f>'CLEAN P&amp;L'!D15</f>
        <v>0</v>
      </c>
      <c r="H33" s="619">
        <f>'CLEAN P&amp;L'!F15</f>
        <v>0</v>
      </c>
      <c r="I33" s="619">
        <f>'CLEAN P&amp;L'!H15</f>
        <v>0</v>
      </c>
      <c r="J33" s="632">
        <f>J15*J34</f>
        <v>0</v>
      </c>
      <c r="K33" s="632"/>
      <c r="L33" s="632">
        <f t="shared" ref="L33:AB33" si="15">L15*L34</f>
        <v>0</v>
      </c>
      <c r="M33" s="632"/>
      <c r="N33" s="632">
        <f t="shared" si="15"/>
        <v>0</v>
      </c>
      <c r="O33" s="632"/>
      <c r="P33" s="632">
        <f t="shared" si="15"/>
        <v>0</v>
      </c>
      <c r="Q33" s="632"/>
      <c r="R33" s="632">
        <f t="shared" si="15"/>
        <v>0</v>
      </c>
      <c r="S33" s="632"/>
      <c r="T33" s="632">
        <f t="shared" si="15"/>
        <v>0</v>
      </c>
      <c r="U33" s="632"/>
      <c r="V33" s="632">
        <f t="shared" si="15"/>
        <v>0</v>
      </c>
      <c r="W33" s="632"/>
      <c r="X33" s="632">
        <f t="shared" si="15"/>
        <v>0</v>
      </c>
      <c r="Y33" s="632"/>
      <c r="Z33" s="632">
        <f t="shared" si="15"/>
        <v>0</v>
      </c>
      <c r="AA33" s="632"/>
      <c r="AB33" s="632">
        <f t="shared" si="15"/>
        <v>0</v>
      </c>
    </row>
    <row r="34" spans="1:28">
      <c r="D34" t="s">
        <v>102</v>
      </c>
      <c r="F34" s="5"/>
      <c r="G34" s="623" t="e">
        <f>G33/F15</f>
        <v>#DIV/0!</v>
      </c>
      <c r="H34" s="623" t="e">
        <f t="shared" ref="H34:I34" si="16">H33/G15</f>
        <v>#DIV/0!</v>
      </c>
      <c r="I34" s="623" t="e">
        <f t="shared" si="16"/>
        <v>#DIV/0!</v>
      </c>
      <c r="J34" s="634"/>
      <c r="K34" s="634"/>
      <c r="L34" s="634"/>
      <c r="M34" s="634"/>
      <c r="N34" s="634"/>
      <c r="O34" s="634"/>
      <c r="P34" s="634"/>
      <c r="Q34" s="634"/>
      <c r="R34" s="634"/>
      <c r="S34" s="634"/>
      <c r="T34" s="634"/>
      <c r="U34" s="634"/>
      <c r="V34" s="634"/>
      <c r="W34" s="634"/>
      <c r="X34" s="634"/>
      <c r="Y34" s="634"/>
      <c r="Z34" s="634"/>
      <c r="AA34" s="634"/>
      <c r="AB34" s="634"/>
    </row>
    <row r="35" spans="1:28">
      <c r="A35" s="609"/>
      <c r="B35" s="609"/>
      <c r="C35" s="609"/>
      <c r="D35" s="609"/>
      <c r="E35" s="609"/>
      <c r="F35" s="613"/>
      <c r="G35" s="613"/>
      <c r="H35" s="629"/>
      <c r="I35" s="630"/>
      <c r="J35" s="636"/>
      <c r="K35" s="636"/>
      <c r="L35" s="636"/>
      <c r="M35" s="636"/>
      <c r="N35" s="636"/>
      <c r="O35" s="636"/>
      <c r="P35" s="636"/>
      <c r="Q35" s="636"/>
      <c r="R35" s="636"/>
      <c r="S35" s="636"/>
      <c r="T35" s="636"/>
      <c r="U35" s="636"/>
      <c r="V35" s="636"/>
      <c r="W35" s="636"/>
      <c r="X35" s="636"/>
      <c r="Y35" s="636"/>
      <c r="Z35" s="636"/>
      <c r="AA35" s="636"/>
      <c r="AB35" s="636"/>
    </row>
    <row r="36" spans="1:28">
      <c r="B36" t="s">
        <v>100</v>
      </c>
      <c r="F36" s="5"/>
      <c r="G36" s="621">
        <f>'CLEAN P&amp;L'!D16</f>
        <v>0</v>
      </c>
      <c r="H36" s="619">
        <f>'CLEAN P&amp;L'!F16</f>
        <v>0</v>
      </c>
      <c r="I36" s="619">
        <f>'CLEAN P&amp;L'!H16</f>
        <v>0</v>
      </c>
      <c r="J36" s="632">
        <f>J37*J23</f>
        <v>0</v>
      </c>
      <c r="K36" s="632"/>
      <c r="L36" s="632">
        <f t="shared" ref="L36:AB36" si="17">L37*L23</f>
        <v>0</v>
      </c>
      <c r="M36" s="632"/>
      <c r="N36" s="632">
        <f t="shared" si="17"/>
        <v>0</v>
      </c>
      <c r="O36" s="632"/>
      <c r="P36" s="632">
        <f t="shared" si="17"/>
        <v>0</v>
      </c>
      <c r="Q36" s="632"/>
      <c r="R36" s="632">
        <f t="shared" si="17"/>
        <v>0</v>
      </c>
      <c r="S36" s="632"/>
      <c r="T36" s="632">
        <f t="shared" si="17"/>
        <v>0</v>
      </c>
      <c r="U36" s="632"/>
      <c r="V36" s="632">
        <f t="shared" si="17"/>
        <v>0</v>
      </c>
      <c r="W36" s="632"/>
      <c r="X36" s="632">
        <f t="shared" si="17"/>
        <v>0</v>
      </c>
      <c r="Y36" s="632"/>
      <c r="Z36" s="632">
        <f t="shared" si="17"/>
        <v>0</v>
      </c>
      <c r="AA36" s="632"/>
      <c r="AB36" s="632">
        <f t="shared" si="17"/>
        <v>0</v>
      </c>
    </row>
    <row r="37" spans="1:28">
      <c r="D37" t="s">
        <v>405</v>
      </c>
      <c r="F37" s="5"/>
      <c r="G37" s="637">
        <f>IFERROR(G36/G23,0)</f>
        <v>0</v>
      </c>
      <c r="H37" s="637">
        <f>IFERROR(H36/H23,0)</f>
        <v>0</v>
      </c>
      <c r="I37" s="637">
        <f>IFERROR(I36/I23,0)</f>
        <v>0</v>
      </c>
      <c r="J37" s="634"/>
      <c r="K37" s="634"/>
      <c r="L37" s="635"/>
      <c r="M37" s="635"/>
      <c r="N37" s="635"/>
      <c r="O37" s="635"/>
      <c r="P37" s="635"/>
      <c r="Q37" s="635"/>
      <c r="R37" s="635"/>
      <c r="S37" s="635"/>
      <c r="T37" s="635"/>
      <c r="U37" s="635"/>
      <c r="V37" s="635"/>
      <c r="W37" s="635"/>
      <c r="X37" s="635"/>
      <c r="Y37" s="635"/>
      <c r="Z37" s="635"/>
      <c r="AA37" s="635"/>
      <c r="AB37" s="635"/>
    </row>
    <row r="38" spans="1:28">
      <c r="A38" s="609"/>
      <c r="B38" s="609"/>
      <c r="C38" s="609"/>
      <c r="D38" s="609"/>
      <c r="E38" s="609"/>
      <c r="F38" s="613"/>
      <c r="G38" s="638"/>
      <c r="H38" s="638"/>
      <c r="I38" s="639"/>
      <c r="J38" s="638"/>
      <c r="K38" s="638"/>
      <c r="L38" s="638"/>
      <c r="M38" s="638"/>
      <c r="N38" s="638"/>
      <c r="O38" s="638"/>
      <c r="P38" s="638"/>
      <c r="Q38" s="638"/>
      <c r="R38" s="638"/>
      <c r="S38" s="638"/>
      <c r="T38" s="638"/>
      <c r="U38" s="638"/>
      <c r="V38" s="638"/>
      <c r="W38" s="638"/>
      <c r="X38" s="638"/>
      <c r="Y38" s="638"/>
      <c r="Z38" s="638"/>
      <c r="AA38" s="638"/>
      <c r="AB38" s="638"/>
    </row>
    <row r="39" spans="1:28">
      <c r="B39" t="str">
        <f>'CLEAN P&amp;L'!B17</f>
        <v>Custom</v>
      </c>
      <c r="F39" s="5"/>
      <c r="G39" s="640">
        <f>'CLEAN P&amp;L'!D17</f>
        <v>0</v>
      </c>
      <c r="H39" s="641">
        <f>'CLEAN P&amp;L'!F17</f>
        <v>0</v>
      </c>
      <c r="I39" s="641">
        <f>'CLEAN P&amp;L'!H17</f>
        <v>0</v>
      </c>
      <c r="J39" s="632">
        <f>J40*J29</f>
        <v>0</v>
      </c>
      <c r="K39" s="632"/>
      <c r="L39" s="632">
        <f t="shared" ref="L39:AB39" si="18">L40*L29</f>
        <v>0</v>
      </c>
      <c r="M39" s="632"/>
      <c r="N39" s="632">
        <f t="shared" si="18"/>
        <v>0</v>
      </c>
      <c r="O39" s="632"/>
      <c r="P39" s="632">
        <f t="shared" si="18"/>
        <v>0</v>
      </c>
      <c r="Q39" s="632"/>
      <c r="R39" s="632">
        <f t="shared" si="18"/>
        <v>0</v>
      </c>
      <c r="S39" s="632"/>
      <c r="T39" s="632">
        <f t="shared" si="18"/>
        <v>0</v>
      </c>
      <c r="U39" s="632"/>
      <c r="V39" s="632">
        <f t="shared" si="18"/>
        <v>0</v>
      </c>
      <c r="W39" s="632"/>
      <c r="X39" s="632">
        <f t="shared" si="18"/>
        <v>0</v>
      </c>
      <c r="Y39" s="632"/>
      <c r="Z39" s="632">
        <f t="shared" si="18"/>
        <v>0</v>
      </c>
      <c r="AA39" s="632"/>
      <c r="AB39" s="632">
        <f t="shared" si="18"/>
        <v>0</v>
      </c>
    </row>
    <row r="40" spans="1:28">
      <c r="D40" t="s">
        <v>406</v>
      </c>
      <c r="F40" s="5"/>
      <c r="G40" s="623">
        <f>IFERROR(G39/G29,0)</f>
        <v>0</v>
      </c>
      <c r="H40" s="623">
        <f>IFERROR(H39/H29,0)</f>
        <v>0</v>
      </c>
      <c r="I40" s="623">
        <f>IFERROR(I39/I29,0)</f>
        <v>0</v>
      </c>
      <c r="J40" s="634"/>
      <c r="K40" s="634"/>
      <c r="L40" s="635"/>
      <c r="M40" s="635"/>
      <c r="N40" s="635"/>
      <c r="O40" s="635"/>
      <c r="P40" s="635"/>
      <c r="Q40" s="635"/>
      <c r="R40" s="635"/>
      <c r="S40" s="635"/>
      <c r="T40" s="635"/>
      <c r="U40" s="635"/>
      <c r="V40" s="635"/>
      <c r="W40" s="635"/>
      <c r="X40" s="635"/>
      <c r="Y40" s="635"/>
      <c r="Z40" s="635"/>
      <c r="AA40" s="635"/>
      <c r="AB40" s="635"/>
    </row>
    <row r="41" spans="1:28">
      <c r="A41" s="609"/>
      <c r="B41" s="609"/>
      <c r="C41" s="609"/>
      <c r="D41" s="609"/>
      <c r="E41" s="609"/>
      <c r="F41" s="613"/>
      <c r="G41" s="638"/>
      <c r="H41" s="643"/>
      <c r="I41" s="644"/>
      <c r="J41" s="645"/>
      <c r="K41" s="645"/>
      <c r="L41" s="645"/>
      <c r="M41" s="645"/>
      <c r="N41" s="645"/>
      <c r="O41" s="645"/>
      <c r="P41" s="645"/>
      <c r="Q41" s="645"/>
      <c r="R41" s="645"/>
      <c r="S41" s="645"/>
      <c r="T41" s="645"/>
      <c r="U41" s="645"/>
      <c r="V41" s="645"/>
      <c r="W41" s="645"/>
      <c r="X41" s="645"/>
      <c r="Y41" s="645"/>
      <c r="Z41" s="645"/>
      <c r="AA41" s="645"/>
      <c r="AB41" s="645"/>
    </row>
    <row r="42" spans="1:28">
      <c r="B42" t="s">
        <v>221</v>
      </c>
      <c r="F42" s="5"/>
      <c r="G42" s="641">
        <f>'CLEAN P&amp;L'!D18</f>
        <v>0</v>
      </c>
      <c r="H42" s="641">
        <f>'CLEAN P&amp;L'!F18</f>
        <v>0</v>
      </c>
      <c r="I42" s="641">
        <f>'CLEAN P&amp;L'!H18</f>
        <v>0</v>
      </c>
      <c r="J42" s="632">
        <f>J43*(J15+J20+J23+J26+J29)</f>
        <v>0</v>
      </c>
      <c r="K42" s="632"/>
      <c r="L42" s="632">
        <f t="shared" ref="L42:AB42" si="19">L43*(L15+L20+L23+L26+L29)</f>
        <v>0</v>
      </c>
      <c r="M42" s="632"/>
      <c r="N42" s="632">
        <f t="shared" si="19"/>
        <v>0</v>
      </c>
      <c r="O42" s="632"/>
      <c r="P42" s="632">
        <f t="shared" si="19"/>
        <v>0</v>
      </c>
      <c r="Q42" s="632"/>
      <c r="R42" s="632">
        <f t="shared" si="19"/>
        <v>0</v>
      </c>
      <c r="S42" s="632"/>
      <c r="T42" s="632">
        <f t="shared" si="19"/>
        <v>0</v>
      </c>
      <c r="U42" s="632"/>
      <c r="V42" s="632">
        <f t="shared" si="19"/>
        <v>0</v>
      </c>
      <c r="W42" s="632"/>
      <c r="X42" s="632">
        <f t="shared" si="19"/>
        <v>0</v>
      </c>
      <c r="Y42" s="632"/>
      <c r="Z42" s="632">
        <f t="shared" si="19"/>
        <v>0</v>
      </c>
      <c r="AA42" s="632"/>
      <c r="AB42" s="632">
        <f t="shared" si="19"/>
        <v>0</v>
      </c>
    </row>
    <row r="43" spans="1:28" ht="38" customHeight="1">
      <c r="D43" s="1189" t="s">
        <v>407</v>
      </c>
      <c r="E43" s="1189"/>
      <c r="F43" s="1190"/>
      <c r="G43" s="667" t="e">
        <f>G42/(F15+G20+G23+G26+G29)</f>
        <v>#DIV/0!</v>
      </c>
      <c r="H43" s="667" t="e">
        <f t="shared" ref="H43:I43" si="20">H42/(G15+H20+H23+H26+H29)</f>
        <v>#DIV/0!</v>
      </c>
      <c r="I43" s="667" t="e">
        <f t="shared" si="20"/>
        <v>#DIV/0!</v>
      </c>
      <c r="J43" s="668"/>
      <c r="K43" s="668"/>
      <c r="L43" s="668"/>
      <c r="M43" s="668"/>
      <c r="N43" s="668"/>
      <c r="O43" s="668"/>
      <c r="P43" s="668"/>
      <c r="Q43" s="668"/>
      <c r="R43" s="668"/>
      <c r="S43" s="668"/>
      <c r="T43" s="668"/>
      <c r="U43" s="668"/>
      <c r="V43" s="668"/>
      <c r="W43" s="668"/>
      <c r="X43" s="668"/>
      <c r="Y43" s="668"/>
      <c r="Z43" s="668"/>
      <c r="AA43" s="668"/>
      <c r="AB43" s="668"/>
    </row>
    <row r="44" spans="1:28">
      <c r="A44" s="609"/>
      <c r="B44" s="609"/>
      <c r="C44" s="609"/>
      <c r="D44" s="609"/>
      <c r="E44" s="609"/>
      <c r="F44" s="613"/>
      <c r="G44" s="613"/>
      <c r="H44" s="613"/>
      <c r="I44" s="618"/>
      <c r="J44" s="613"/>
      <c r="K44" s="613"/>
      <c r="L44" s="613"/>
      <c r="M44" s="613"/>
      <c r="N44" s="613"/>
      <c r="O44" s="613"/>
      <c r="P44" s="613"/>
      <c r="Q44" s="613"/>
      <c r="R44" s="613"/>
      <c r="S44" s="613"/>
      <c r="T44" s="613"/>
      <c r="U44" s="613"/>
      <c r="V44" s="613"/>
      <c r="W44" s="613"/>
      <c r="X44" s="613"/>
      <c r="Y44" s="613"/>
      <c r="Z44" s="613"/>
      <c r="AA44" s="613"/>
      <c r="AB44" s="613"/>
    </row>
    <row r="45" spans="1:28">
      <c r="A45" s="609"/>
      <c r="B45" s="610" t="s">
        <v>103</v>
      </c>
      <c r="C45" s="609"/>
      <c r="D45" s="609"/>
      <c r="E45" s="609"/>
      <c r="F45" s="613"/>
      <c r="G45" s="613"/>
      <c r="H45" s="613"/>
      <c r="I45" s="618"/>
      <c r="J45" s="613"/>
      <c r="K45" s="613"/>
      <c r="L45" s="613"/>
      <c r="M45" s="613"/>
      <c r="N45" s="613"/>
      <c r="O45" s="613"/>
      <c r="P45" s="613"/>
      <c r="Q45" s="613"/>
      <c r="R45" s="613"/>
      <c r="S45" s="613"/>
      <c r="T45" s="613"/>
      <c r="U45" s="613"/>
      <c r="V45" s="613"/>
      <c r="W45" s="613"/>
      <c r="X45" s="613"/>
      <c r="Y45" s="613"/>
      <c r="Z45" s="613"/>
      <c r="AA45" s="613"/>
      <c r="AB45" s="613"/>
    </row>
    <row r="46" spans="1:28">
      <c r="B46" t="s">
        <v>54</v>
      </c>
      <c r="F46" s="670"/>
      <c r="G46" s="621">
        <f>'CLEAN P&amp;L'!D23</f>
        <v>0</v>
      </c>
      <c r="H46" s="619">
        <f>'CLEAN P&amp;L'!F23</f>
        <v>0</v>
      </c>
      <c r="I46" s="619">
        <f>'CLEAN P&amp;L'!H23</f>
        <v>0</v>
      </c>
      <c r="J46" s="622">
        <f>I46*(1+J47)</f>
        <v>0</v>
      </c>
      <c r="K46" s="622"/>
      <c r="L46" s="619">
        <f>J46*(1+L47)</f>
        <v>0</v>
      </c>
      <c r="M46" s="619"/>
      <c r="N46" s="619">
        <f>L46*(1+N47)</f>
        <v>0</v>
      </c>
      <c r="O46" s="619"/>
      <c r="P46" s="619">
        <f>N46*(1+P47)</f>
        <v>0</v>
      </c>
      <c r="Q46" s="619"/>
      <c r="R46" s="619">
        <f>P46*(1+R47)</f>
        <v>0</v>
      </c>
      <c r="S46" s="619"/>
      <c r="T46" s="619">
        <f>R46*(1+T47)</f>
        <v>0</v>
      </c>
      <c r="U46" s="619"/>
      <c r="V46" s="619">
        <f>T46*(1+V47)</f>
        <v>0</v>
      </c>
      <c r="W46" s="619"/>
      <c r="X46" s="619">
        <f>V46*(1+X47)</f>
        <v>0</v>
      </c>
      <c r="Y46" s="619"/>
      <c r="Z46" s="619">
        <f>X46*(1+Z47)</f>
        <v>0</v>
      </c>
      <c r="AA46" s="619"/>
      <c r="AB46" s="619">
        <f t="shared" ref="AB46" si="21">Z46*(1+AB47)</f>
        <v>0</v>
      </c>
    </row>
    <row r="47" spans="1:28">
      <c r="D47" t="s">
        <v>402</v>
      </c>
      <c r="F47" s="5"/>
      <c r="G47" s="637"/>
      <c r="H47" s="642">
        <f>IFERROR((H46-G46)/G46,0)</f>
        <v>0</v>
      </c>
      <c r="I47" s="642" t="e">
        <f>(I46-H46)/H46</f>
        <v>#DIV/0!</v>
      </c>
      <c r="J47" s="646"/>
      <c r="K47" s="646"/>
      <c r="L47" s="646"/>
      <c r="M47" s="646"/>
      <c r="N47" s="646"/>
      <c r="O47" s="646"/>
      <c r="P47" s="646"/>
      <c r="Q47" s="646"/>
      <c r="R47" s="646"/>
      <c r="S47" s="646"/>
      <c r="T47" s="646"/>
      <c r="U47" s="646"/>
      <c r="V47" s="646"/>
      <c r="W47" s="646"/>
      <c r="X47" s="646"/>
      <c r="Y47" s="646"/>
      <c r="Z47" s="646"/>
      <c r="AA47" s="646"/>
      <c r="AB47" s="646"/>
    </row>
    <row r="48" spans="1:28">
      <c r="A48" s="609"/>
      <c r="B48" s="609"/>
      <c r="C48" s="609"/>
      <c r="D48" s="609"/>
      <c r="E48" s="609"/>
      <c r="F48" s="613"/>
      <c r="G48" s="638"/>
      <c r="H48" s="643"/>
      <c r="I48" s="644"/>
      <c r="J48" s="648"/>
      <c r="K48" s="648"/>
      <c r="L48" s="648"/>
      <c r="M48" s="648"/>
      <c r="N48" s="648"/>
      <c r="O48" s="648"/>
      <c r="P48" s="648"/>
      <c r="Q48" s="648"/>
      <c r="R48" s="648"/>
      <c r="S48" s="648"/>
      <c r="T48" s="648"/>
      <c r="U48" s="648"/>
      <c r="V48" s="648"/>
      <c r="W48" s="648"/>
      <c r="X48" s="648"/>
      <c r="Y48" s="648"/>
      <c r="Z48" s="648"/>
      <c r="AA48" s="648"/>
      <c r="AB48" s="648"/>
    </row>
    <row r="49" spans="1:28" ht="17" customHeight="1">
      <c r="B49" t="s">
        <v>400</v>
      </c>
      <c r="F49" s="5"/>
      <c r="G49" s="621">
        <f>'CLEAN P&amp;L'!D24</f>
        <v>0</v>
      </c>
      <c r="H49" s="619">
        <f>'CLEAN P&amp;L'!F24</f>
        <v>0</v>
      </c>
      <c r="I49" s="619">
        <f>'CLEAN P&amp;L'!H24</f>
        <v>0</v>
      </c>
      <c r="J49" s="622">
        <f>(J15+J20+J23+J26+J29)*J50</f>
        <v>0</v>
      </c>
      <c r="K49" s="622"/>
      <c r="L49" s="622">
        <f t="shared" ref="L49:Z49" si="22">(L15+L20+L23+L26+L29)*L50</f>
        <v>0</v>
      </c>
      <c r="M49" s="622"/>
      <c r="N49" s="622">
        <f t="shared" si="22"/>
        <v>0</v>
      </c>
      <c r="O49" s="622"/>
      <c r="P49" s="622">
        <f t="shared" si="22"/>
        <v>0</v>
      </c>
      <c r="Q49" s="622"/>
      <c r="R49" s="622">
        <f t="shared" si="22"/>
        <v>0</v>
      </c>
      <c r="S49" s="622"/>
      <c r="T49" s="622">
        <f t="shared" si="22"/>
        <v>0</v>
      </c>
      <c r="U49" s="622"/>
      <c r="V49" s="622">
        <f t="shared" si="22"/>
        <v>0</v>
      </c>
      <c r="W49" s="622"/>
      <c r="X49" s="622">
        <f t="shared" si="22"/>
        <v>0</v>
      </c>
      <c r="Y49" s="622"/>
      <c r="Z49" s="622">
        <f t="shared" si="22"/>
        <v>0</v>
      </c>
      <c r="AA49" s="622"/>
      <c r="AB49" s="622">
        <f>(AB15+AB20+AB23+AB26+AB29)*AB50</f>
        <v>0</v>
      </c>
    </row>
    <row r="50" spans="1:28">
      <c r="D50" t="s">
        <v>401</v>
      </c>
      <c r="F50" s="5"/>
      <c r="G50" s="642" t="e">
        <f>G49/(F15+G20+G23+G26+G29)</f>
        <v>#DIV/0!</v>
      </c>
      <c r="H50" s="642" t="e">
        <f t="shared" ref="H50:I50" si="23">H49/(G15+H20+H23+H26+H29)</f>
        <v>#DIV/0!</v>
      </c>
      <c r="I50" s="642" t="e">
        <f t="shared" si="23"/>
        <v>#DIV/0!</v>
      </c>
      <c r="J50" s="646"/>
      <c r="K50" s="646"/>
      <c r="L50" s="646"/>
      <c r="M50" s="646"/>
      <c r="N50" s="646"/>
      <c r="O50" s="646"/>
      <c r="P50" s="646"/>
      <c r="Q50" s="646"/>
      <c r="R50" s="646"/>
      <c r="S50" s="646"/>
      <c r="T50" s="646"/>
      <c r="U50" s="646"/>
      <c r="V50" s="646"/>
      <c r="W50" s="646"/>
      <c r="X50" s="646"/>
      <c r="Y50" s="646"/>
      <c r="Z50" s="646"/>
      <c r="AA50" s="646"/>
      <c r="AB50" s="646"/>
    </row>
    <row r="51" spans="1:28">
      <c r="A51" s="609"/>
      <c r="B51" s="609"/>
      <c r="C51" s="609"/>
      <c r="D51" s="609"/>
      <c r="E51" s="609"/>
      <c r="F51" s="613"/>
      <c r="G51" s="638"/>
      <c r="H51" s="638"/>
      <c r="I51" s="639"/>
      <c r="J51" s="638"/>
      <c r="K51" s="638"/>
      <c r="L51" s="638"/>
      <c r="M51" s="638"/>
      <c r="N51" s="638"/>
      <c r="O51" s="638"/>
      <c r="P51" s="638"/>
      <c r="Q51" s="638"/>
      <c r="R51" s="638"/>
      <c r="S51" s="638"/>
      <c r="T51" s="638"/>
      <c r="U51" s="638"/>
      <c r="V51" s="638"/>
      <c r="W51" s="638"/>
      <c r="X51" s="638"/>
      <c r="Y51" s="638"/>
      <c r="Z51" s="638"/>
      <c r="AA51" s="638"/>
      <c r="AB51" s="638"/>
    </row>
    <row r="52" spans="1:28">
      <c r="B52" t="s">
        <v>398</v>
      </c>
      <c r="F52" s="5"/>
      <c r="G52" s="640">
        <f>'CLEAN P&amp;L'!D25</f>
        <v>0</v>
      </c>
      <c r="H52" s="641">
        <f>'CLEAN P&amp;L'!F25</f>
        <v>0</v>
      </c>
      <c r="I52" s="641">
        <f>'CLEAN P&amp;L'!H25</f>
        <v>0</v>
      </c>
      <c r="J52" s="622">
        <f>I52*(1+J53)</f>
        <v>0</v>
      </c>
      <c r="K52" s="622"/>
      <c r="L52" s="622">
        <f>J52*(1+L53)</f>
        <v>0</v>
      </c>
      <c r="M52" s="622"/>
      <c r="N52" s="622">
        <f>L52*(1+N53)</f>
        <v>0</v>
      </c>
      <c r="O52" s="622"/>
      <c r="P52" s="622">
        <f>N52*(1+P53)</f>
        <v>0</v>
      </c>
      <c r="Q52" s="622"/>
      <c r="R52" s="622">
        <f>P52*(1+R53)</f>
        <v>0</v>
      </c>
      <c r="S52" s="622"/>
      <c r="T52" s="622">
        <f>R52*(1+T53)</f>
        <v>0</v>
      </c>
      <c r="U52" s="622"/>
      <c r="V52" s="622">
        <f>T52*(1+V53)</f>
        <v>0</v>
      </c>
      <c r="W52" s="622"/>
      <c r="X52" s="622">
        <f>V52*(1+X53)</f>
        <v>0</v>
      </c>
      <c r="Y52" s="622"/>
      <c r="Z52" s="622">
        <f t="shared" ref="Z52" si="24">X52*(1+Z53)</f>
        <v>0</v>
      </c>
      <c r="AA52" s="622"/>
      <c r="AB52" s="622">
        <f>Z52*(1+AB53)</f>
        <v>0</v>
      </c>
    </row>
    <row r="53" spans="1:28">
      <c r="D53" t="s">
        <v>402</v>
      </c>
      <c r="F53" s="5"/>
      <c r="G53" s="637"/>
      <c r="H53" s="666">
        <f>IFERROR((H52-G52)/G52,0)</f>
        <v>0</v>
      </c>
      <c r="I53" s="642" t="e">
        <f>(I52-H52)/H52</f>
        <v>#DIV/0!</v>
      </c>
      <c r="J53" s="646"/>
      <c r="K53" s="646"/>
      <c r="L53" s="646"/>
      <c r="M53" s="646"/>
      <c r="N53" s="646"/>
      <c r="O53" s="646"/>
      <c r="P53" s="646"/>
      <c r="Q53" s="646"/>
      <c r="R53" s="646"/>
      <c r="S53" s="646"/>
      <c r="T53" s="646"/>
      <c r="U53" s="646"/>
      <c r="V53" s="646"/>
      <c r="W53" s="646"/>
      <c r="X53" s="646"/>
      <c r="Y53" s="646"/>
      <c r="Z53" s="646"/>
      <c r="AA53" s="646"/>
      <c r="AB53" s="646"/>
    </row>
    <row r="54" spans="1:28">
      <c r="A54" s="609"/>
      <c r="B54" s="609"/>
      <c r="C54" s="609"/>
      <c r="D54" s="609"/>
      <c r="E54" s="609"/>
      <c r="F54" s="613"/>
      <c r="G54" s="638"/>
      <c r="H54" s="643"/>
      <c r="I54" s="644"/>
      <c r="J54" s="645"/>
      <c r="K54" s="645"/>
      <c r="L54" s="645"/>
      <c r="M54" s="645"/>
      <c r="N54" s="645"/>
      <c r="O54" s="645"/>
      <c r="P54" s="645"/>
      <c r="Q54" s="645"/>
      <c r="R54" s="645"/>
      <c r="S54" s="645"/>
      <c r="T54" s="645"/>
      <c r="U54" s="645"/>
      <c r="V54" s="645"/>
      <c r="W54" s="645"/>
      <c r="X54" s="645"/>
      <c r="Y54" s="645"/>
      <c r="Z54" s="645"/>
      <c r="AA54" s="645"/>
      <c r="AB54" s="645"/>
    </row>
    <row r="55" spans="1:28">
      <c r="B55" t="s">
        <v>55</v>
      </c>
      <c r="F55" s="5"/>
      <c r="G55" s="640">
        <f>'CLEAN P&amp;L'!D26</f>
        <v>0</v>
      </c>
      <c r="H55" s="641">
        <f>'CLEAN P&amp;L'!F26</f>
        <v>0</v>
      </c>
      <c r="I55" s="641">
        <f>'CLEAN P&amp;L'!H26</f>
        <v>0</v>
      </c>
      <c r="J55" s="649">
        <f>J56*J15</f>
        <v>0</v>
      </c>
      <c r="K55" s="649"/>
      <c r="L55" s="649">
        <f>L56*L15</f>
        <v>0</v>
      </c>
      <c r="M55" s="649"/>
      <c r="N55" s="649">
        <f>N56*N15</f>
        <v>0</v>
      </c>
      <c r="O55" s="649"/>
      <c r="P55" s="649">
        <f>P56*P15</f>
        <v>0</v>
      </c>
      <c r="Q55" s="649"/>
      <c r="R55" s="649">
        <f>R56*R15</f>
        <v>0</v>
      </c>
      <c r="S55" s="649"/>
      <c r="T55" s="649">
        <f>T56*T15</f>
        <v>0</v>
      </c>
      <c r="U55" s="649"/>
      <c r="V55" s="649">
        <f>V56*V15</f>
        <v>0</v>
      </c>
      <c r="W55" s="649"/>
      <c r="X55" s="649">
        <f>X56*X15</f>
        <v>0</v>
      </c>
      <c r="Y55" s="649"/>
      <c r="Z55" s="649">
        <f>Z56*Z15</f>
        <v>0</v>
      </c>
      <c r="AA55" s="649"/>
      <c r="AB55" s="649">
        <f>AB56*AB15</f>
        <v>0</v>
      </c>
    </row>
    <row r="56" spans="1:28">
      <c r="D56" t="s">
        <v>403</v>
      </c>
      <c r="F56" s="5"/>
      <c r="G56" s="642" t="e">
        <f>G55/F15</f>
        <v>#DIV/0!</v>
      </c>
      <c r="H56" s="642" t="e">
        <f t="shared" ref="H56:I56" si="25">H55/G15</f>
        <v>#DIV/0!</v>
      </c>
      <c r="I56" s="642" t="e">
        <f t="shared" si="25"/>
        <v>#DIV/0!</v>
      </c>
      <c r="J56" s="646"/>
      <c r="K56" s="646"/>
      <c r="L56" s="646"/>
      <c r="M56" s="646"/>
      <c r="N56" s="646"/>
      <c r="O56" s="646"/>
      <c r="P56" s="646"/>
      <c r="Q56" s="646"/>
      <c r="R56" s="646"/>
      <c r="S56" s="646"/>
      <c r="T56" s="646"/>
      <c r="U56" s="646"/>
      <c r="V56" s="646"/>
      <c r="W56" s="646"/>
      <c r="X56" s="646"/>
      <c r="Y56" s="646"/>
      <c r="Z56" s="646"/>
      <c r="AA56" s="646"/>
      <c r="AB56" s="646"/>
    </row>
    <row r="57" spans="1:28">
      <c r="A57" s="609"/>
      <c r="B57" s="609"/>
      <c r="C57" s="609"/>
      <c r="D57" s="609"/>
      <c r="E57" s="609"/>
      <c r="F57" s="613"/>
      <c r="G57" s="638"/>
      <c r="H57" s="643"/>
      <c r="I57" s="644"/>
      <c r="J57" s="648"/>
      <c r="K57" s="648"/>
      <c r="L57" s="648"/>
      <c r="M57" s="648"/>
      <c r="N57" s="648"/>
      <c r="O57" s="648"/>
      <c r="P57" s="648"/>
      <c r="Q57" s="648"/>
      <c r="R57" s="648"/>
      <c r="S57" s="648"/>
      <c r="T57" s="648"/>
      <c r="U57" s="648"/>
      <c r="V57" s="648"/>
      <c r="W57" s="648"/>
      <c r="X57" s="648"/>
      <c r="Y57" s="648"/>
      <c r="Z57" s="648"/>
      <c r="AA57" s="648"/>
      <c r="AB57" s="648"/>
    </row>
    <row r="58" spans="1:28">
      <c r="B58" t="s">
        <v>104</v>
      </c>
      <c r="F58" s="5"/>
      <c r="G58" s="640">
        <f>'CLEAN P&amp;L'!D27</f>
        <v>0</v>
      </c>
      <c r="H58" s="641">
        <f>'CLEAN P&amp;L'!F27</f>
        <v>0</v>
      </c>
      <c r="I58" s="641">
        <f>'CLEAN P&amp;L'!H27</f>
        <v>0</v>
      </c>
      <c r="J58" s="649">
        <f>J59*(J6*(DATE(YEAR(J3), 12, 31)-DATE(YEAR(J3), 1, 1)+1)*'STR INPUT'!$G$7)</f>
        <v>0</v>
      </c>
      <c r="K58" s="649"/>
      <c r="L58" s="649">
        <f>L59*(L6*(DATE(YEAR(L3), 12, 31)-DATE(YEAR(L3), 1, 1)+1)*'STR INPUT'!$G$7)</f>
        <v>0</v>
      </c>
      <c r="M58" s="649"/>
      <c r="N58" s="649">
        <f>N59*(N6*(DATE(YEAR(N3), 12, 31)-DATE(YEAR(N3), 1, 1)+1)*'STR INPUT'!$G$7)</f>
        <v>0</v>
      </c>
      <c r="O58" s="649"/>
      <c r="P58" s="649">
        <f>P59*(P6*(DATE(YEAR(P3), 12, 31)-DATE(YEAR(P3), 1, 1)+1)*'STR INPUT'!$G$7)</f>
        <v>0</v>
      </c>
      <c r="Q58" s="649"/>
      <c r="R58" s="649">
        <f>R59*(R6*(DATE(YEAR(R3), 12, 31)-DATE(YEAR(R3), 1, 1)+1)*'STR INPUT'!$G$7)</f>
        <v>0</v>
      </c>
      <c r="S58" s="649"/>
      <c r="T58" s="649">
        <f>T59*(T6*(DATE(YEAR(T3), 12, 31)-DATE(YEAR(T3), 1, 1)+1)*'STR INPUT'!$G$7)</f>
        <v>0</v>
      </c>
      <c r="U58" s="649"/>
      <c r="V58" s="649">
        <f>V59*(V6*(DATE(YEAR(V3), 12, 31)-DATE(YEAR(V3), 1, 1)+1)*'STR INPUT'!$G$7)</f>
        <v>0</v>
      </c>
      <c r="W58" s="649"/>
      <c r="X58" s="649">
        <f>X59*(X6*(DATE(YEAR(X3), 12, 31)-DATE(YEAR(X3), 1, 1)+1)*'STR INPUT'!$G$7)</f>
        <v>0</v>
      </c>
      <c r="Y58" s="649"/>
      <c r="Z58" s="649">
        <f>Z59*(Z6*(DATE(YEAR(Z3), 12, 31)-DATE(YEAR(Z3), 1, 1)+1)*'STR INPUT'!$G$7)</f>
        <v>0</v>
      </c>
      <c r="AA58" s="649"/>
      <c r="AB58" s="649">
        <f>AB59*(AB6*(DATE(YEAR(AB3), 12, 31)-DATE(YEAR(AB3), 1, 1)+1)*'STR INPUT'!$G$7)</f>
        <v>0</v>
      </c>
    </row>
    <row r="59" spans="1:28">
      <c r="D59" t="s">
        <v>397</v>
      </c>
      <c r="F59" s="5"/>
      <c r="G59" s="665" t="e">
        <f>G58/(F6*(DATE(YEAR(F4), 12, 31)-DATE(YEAR(F4), 1, 1)+1)*'STR INPUT'!$G$7)</f>
        <v>#DIV/0!</v>
      </c>
      <c r="H59" s="665" t="e">
        <f>H58/(G6*(DATE(YEAR(G4), 12, 31)-DATE(YEAR(G4), 1, 1)+1)*'STR INPUT'!$G$7)</f>
        <v>#DIV/0!</v>
      </c>
      <c r="I59" s="665" t="e">
        <f>I58/(H6*(DATE(YEAR(H4), 12, 31)-DATE(YEAR(H4), 1, 1)+1)*'STR INPUT'!$G$7)</f>
        <v>#DIV/0!</v>
      </c>
      <c r="J59" s="669"/>
      <c r="K59" s="669"/>
      <c r="L59" s="669"/>
      <c r="M59" s="669"/>
      <c r="N59" s="669"/>
      <c r="O59" s="669"/>
      <c r="P59" s="669"/>
      <c r="Q59" s="669"/>
      <c r="R59" s="669"/>
      <c r="S59" s="669"/>
      <c r="T59" s="669"/>
      <c r="U59" s="669"/>
      <c r="V59" s="669"/>
      <c r="W59" s="669"/>
      <c r="X59" s="669"/>
      <c r="Y59" s="669"/>
      <c r="Z59" s="669"/>
      <c r="AA59" s="669"/>
      <c r="AB59" s="669"/>
    </row>
    <row r="60" spans="1:28">
      <c r="A60" s="609"/>
      <c r="B60" s="609"/>
      <c r="C60" s="609"/>
      <c r="D60" s="609"/>
      <c r="E60" s="609"/>
      <c r="F60" s="613"/>
      <c r="G60" s="638"/>
      <c r="H60" s="643"/>
      <c r="I60" s="644"/>
      <c r="J60" s="645"/>
      <c r="K60" s="645"/>
      <c r="L60" s="645"/>
      <c r="M60" s="645"/>
      <c r="N60" s="645"/>
      <c r="O60" s="645"/>
      <c r="P60" s="645"/>
      <c r="Q60" s="645"/>
      <c r="R60" s="645"/>
      <c r="S60" s="645"/>
      <c r="T60" s="645"/>
      <c r="U60" s="645"/>
      <c r="V60" s="645"/>
      <c r="W60" s="645"/>
      <c r="X60" s="645"/>
      <c r="Y60" s="645"/>
      <c r="Z60" s="645"/>
      <c r="AA60" s="645"/>
      <c r="AB60" s="645"/>
    </row>
    <row r="61" spans="1:28">
      <c r="B61" t="s">
        <v>57</v>
      </c>
      <c r="F61" s="5"/>
      <c r="G61" s="640">
        <f>'CLEAN P&amp;L'!D28</f>
        <v>0</v>
      </c>
      <c r="H61" s="641">
        <f>'CLEAN P&amp;L'!F28</f>
        <v>0</v>
      </c>
      <c r="I61" s="641">
        <f>'CLEAN P&amp;L'!H28</f>
        <v>0</v>
      </c>
      <c r="J61" s="649">
        <f>J62*'STR INPUT'!$G$7</f>
        <v>0</v>
      </c>
      <c r="K61" s="649"/>
      <c r="L61" s="649">
        <f>L62*'STR INPUT'!$G$7</f>
        <v>0</v>
      </c>
      <c r="M61" s="649"/>
      <c r="N61" s="649">
        <f>N62*'STR INPUT'!$G$7</f>
        <v>0</v>
      </c>
      <c r="O61" s="649"/>
      <c r="P61" s="649">
        <f>P62*'STR INPUT'!$G$7</f>
        <v>0</v>
      </c>
      <c r="Q61" s="649"/>
      <c r="R61" s="649">
        <f>R62*'STR INPUT'!$G$7</f>
        <v>0</v>
      </c>
      <c r="S61" s="649"/>
      <c r="T61" s="649">
        <f>T62*'STR INPUT'!$G$7</f>
        <v>0</v>
      </c>
      <c r="U61" s="649"/>
      <c r="V61" s="649">
        <f>V62*'STR INPUT'!$G$7</f>
        <v>0</v>
      </c>
      <c r="W61" s="649"/>
      <c r="X61" s="649">
        <f>X62*'STR INPUT'!$G$7</f>
        <v>0</v>
      </c>
      <c r="Y61" s="649"/>
      <c r="Z61" s="649">
        <f>Z62*'STR INPUT'!$G$7</f>
        <v>0</v>
      </c>
      <c r="AA61" s="649"/>
      <c r="AB61" s="649">
        <f>AB62*'STR INPUT'!$G$7</f>
        <v>0</v>
      </c>
    </row>
    <row r="62" spans="1:28">
      <c r="D62" t="s">
        <v>408</v>
      </c>
      <c r="F62" s="5"/>
      <c r="G62" s="619" t="e">
        <f>G61/'STR INPUT'!$G$7</f>
        <v>#DIV/0!</v>
      </c>
      <c r="H62" s="619" t="e">
        <f>H61/'STR INPUT'!$G$7</f>
        <v>#DIV/0!</v>
      </c>
      <c r="I62" s="619" t="e">
        <f>I61/'STR INPUT'!$G$7</f>
        <v>#DIV/0!</v>
      </c>
      <c r="J62" s="669"/>
      <c r="K62" s="669"/>
      <c r="L62" s="669"/>
      <c r="M62" s="669"/>
      <c r="N62" s="669"/>
      <c r="O62" s="669"/>
      <c r="P62" s="669"/>
      <c r="Q62" s="669"/>
      <c r="R62" s="669"/>
      <c r="S62" s="669"/>
      <c r="T62" s="669"/>
      <c r="U62" s="669"/>
      <c r="V62" s="669"/>
      <c r="W62" s="669"/>
      <c r="X62" s="669"/>
      <c r="Y62" s="669"/>
      <c r="Z62" s="669"/>
      <c r="AA62" s="669"/>
      <c r="AB62" s="669"/>
    </row>
    <row r="63" spans="1:28">
      <c r="A63" s="609"/>
      <c r="B63" s="609"/>
      <c r="C63" s="609"/>
      <c r="D63" s="609"/>
      <c r="E63" s="609"/>
      <c r="F63" s="613"/>
      <c r="G63" s="613"/>
      <c r="H63" s="629"/>
      <c r="I63" s="630"/>
      <c r="J63" s="636"/>
      <c r="K63" s="636"/>
      <c r="L63" s="636"/>
      <c r="M63" s="636"/>
      <c r="N63" s="636"/>
      <c r="O63" s="636"/>
      <c r="P63" s="636"/>
      <c r="Q63" s="636"/>
      <c r="R63" s="636"/>
      <c r="S63" s="636"/>
      <c r="T63" s="636"/>
      <c r="U63" s="636"/>
      <c r="V63" s="636"/>
      <c r="W63" s="636"/>
      <c r="X63" s="636"/>
      <c r="Y63" s="636"/>
      <c r="Z63" s="636"/>
      <c r="AA63" s="636"/>
      <c r="AB63" s="636"/>
    </row>
    <row r="64" spans="1:28">
      <c r="B64" t="s">
        <v>309</v>
      </c>
      <c r="F64" s="5"/>
      <c r="G64" s="621">
        <f>'CLEAN P&amp;L'!D29</f>
        <v>0</v>
      </c>
      <c r="H64" s="619">
        <f>'CLEAN P&amp;L'!F29</f>
        <v>0</v>
      </c>
      <c r="I64" s="619">
        <f>'CLEAN P&amp;L'!H29</f>
        <v>0</v>
      </c>
      <c r="J64" s="622">
        <f>I64*(1+J65)</f>
        <v>0</v>
      </c>
      <c r="K64" s="622"/>
      <c r="L64" s="622">
        <f>J64*(1+L65)</f>
        <v>0</v>
      </c>
      <c r="M64" s="622"/>
      <c r="N64" s="622">
        <f>L64*(1+N65)</f>
        <v>0</v>
      </c>
      <c r="O64" s="622"/>
      <c r="P64" s="622">
        <f>N64*(1+P65)</f>
        <v>0</v>
      </c>
      <c r="Q64" s="622"/>
      <c r="R64" s="622">
        <f>P64*(1+R65)</f>
        <v>0</v>
      </c>
      <c r="S64" s="622"/>
      <c r="T64" s="622">
        <f>R64*(1+T65)</f>
        <v>0</v>
      </c>
      <c r="U64" s="622"/>
      <c r="V64" s="622">
        <f>T64*(1+V65)</f>
        <v>0</v>
      </c>
      <c r="W64" s="622"/>
      <c r="X64" s="622">
        <f>V64*(1+X65)</f>
        <v>0</v>
      </c>
      <c r="Y64" s="622"/>
      <c r="Z64" s="622">
        <f>X64*(1+Z65)</f>
        <v>0</v>
      </c>
      <c r="AA64" s="622"/>
      <c r="AB64" s="622">
        <f t="shared" ref="AB64" si="26">Z64*(1+AB65)</f>
        <v>0</v>
      </c>
    </row>
    <row r="65" spans="1:28">
      <c r="D65" t="s">
        <v>402</v>
      </c>
      <c r="F65" s="5"/>
      <c r="G65" s="623"/>
      <c r="H65" s="623">
        <f>IFERROR((H64-G64)/G64,0)</f>
        <v>0</v>
      </c>
      <c r="I65" s="623" t="e">
        <f>(I64-H64)/H64</f>
        <v>#DIV/0!</v>
      </c>
      <c r="J65" s="625"/>
      <c r="K65" s="624"/>
      <c r="L65" s="624"/>
      <c r="M65" s="624"/>
      <c r="N65" s="624"/>
      <c r="O65" s="624"/>
      <c r="P65" s="624"/>
      <c r="Q65" s="624"/>
      <c r="R65" s="624"/>
      <c r="S65" s="624"/>
      <c r="T65" s="624"/>
      <c r="U65" s="624"/>
      <c r="V65" s="624"/>
      <c r="W65" s="624"/>
      <c r="X65" s="624"/>
      <c r="Y65" s="624"/>
      <c r="Z65" s="624"/>
      <c r="AA65" s="624"/>
      <c r="AB65" s="624"/>
    </row>
    <row r="66" spans="1:28">
      <c r="A66" s="609"/>
      <c r="B66" s="609"/>
      <c r="C66" s="609"/>
      <c r="D66" s="609"/>
      <c r="E66" s="609"/>
      <c r="F66" s="613"/>
      <c r="G66" s="613"/>
      <c r="H66" s="613"/>
      <c r="I66" s="618"/>
      <c r="J66" s="613"/>
      <c r="K66" s="613"/>
      <c r="L66" s="613"/>
      <c r="M66" s="613"/>
      <c r="N66" s="613"/>
      <c r="O66" s="613"/>
      <c r="P66" s="613"/>
      <c r="Q66" s="613"/>
      <c r="R66" s="613"/>
      <c r="S66" s="613"/>
      <c r="T66" s="613"/>
      <c r="U66" s="613"/>
      <c r="V66" s="613"/>
      <c r="W66" s="613"/>
      <c r="X66" s="613"/>
      <c r="Y66" s="613"/>
      <c r="Z66" s="613"/>
      <c r="AA66" s="613"/>
      <c r="AB66" s="613"/>
    </row>
    <row r="67" spans="1:28">
      <c r="A67" s="609"/>
      <c r="B67" s="610" t="s">
        <v>105</v>
      </c>
      <c r="C67" s="609"/>
      <c r="D67" s="609"/>
      <c r="E67" s="609"/>
      <c r="F67" s="613"/>
      <c r="G67" s="613"/>
      <c r="H67" s="613"/>
      <c r="I67" s="618"/>
      <c r="J67" s="613"/>
      <c r="K67" s="613"/>
      <c r="L67" s="613"/>
      <c r="M67" s="613"/>
      <c r="N67" s="613"/>
      <c r="O67" s="613"/>
      <c r="P67" s="613"/>
      <c r="Q67" s="613"/>
      <c r="R67" s="613"/>
      <c r="S67" s="613"/>
      <c r="T67" s="613"/>
      <c r="U67" s="613"/>
      <c r="V67" s="613"/>
      <c r="W67" s="613"/>
      <c r="X67" s="613"/>
      <c r="Y67" s="613"/>
      <c r="Z67" s="613"/>
      <c r="AA67" s="613"/>
      <c r="AB67" s="613"/>
    </row>
    <row r="68" spans="1:28" ht="17" customHeight="1">
      <c r="B68" t="s">
        <v>58</v>
      </c>
      <c r="F68" s="5" t="s">
        <v>539</v>
      </c>
      <c r="G68" s="621">
        <f>'CLEAN P&amp;L'!D34</f>
        <v>0</v>
      </c>
      <c r="H68" s="619">
        <f>'CLEAN P&amp;L'!F34</f>
        <v>0</v>
      </c>
      <c r="I68" s="619">
        <f>'CLEAN P&amp;L'!H34</f>
        <v>0</v>
      </c>
      <c r="J68" s="622">
        <f>I68*(1+J69)</f>
        <v>0</v>
      </c>
      <c r="K68" s="622"/>
      <c r="L68" s="619">
        <f>J68*(1+L69)</f>
        <v>0</v>
      </c>
      <c r="M68" s="619"/>
      <c r="N68" s="619">
        <f>L68*(1+N69)</f>
        <v>0</v>
      </c>
      <c r="O68" s="619"/>
      <c r="P68" s="619">
        <f>N68*(1+P69)</f>
        <v>0</v>
      </c>
      <c r="Q68" s="619"/>
      <c r="R68" s="619">
        <f>P68*(1+R69)</f>
        <v>0</v>
      </c>
      <c r="S68" s="619"/>
      <c r="T68" s="619">
        <f>R68*(1+T69)</f>
        <v>0</v>
      </c>
      <c r="U68" s="619"/>
      <c r="V68" s="619">
        <f>T68*(1+V69)</f>
        <v>0</v>
      </c>
      <c r="W68" s="619"/>
      <c r="X68" s="619">
        <f>V68*(1+X69)</f>
        <v>0</v>
      </c>
      <c r="Y68" s="619"/>
      <c r="Z68" s="619">
        <f>X68*(1+Z69)</f>
        <v>0</v>
      </c>
      <c r="AA68" s="619"/>
      <c r="AB68" s="619">
        <f t="shared" ref="AB68" si="27">Z68*(1+AB69)</f>
        <v>0</v>
      </c>
    </row>
    <row r="69" spans="1:28">
      <c r="D69" t="s">
        <v>402</v>
      </c>
      <c r="F69" s="840" t="str">
        <f>INPUTS!L12</f>
        <v/>
      </c>
      <c r="G69" s="637"/>
      <c r="H69" s="642">
        <f>IFERROR((H68-G68)/G68,0)</f>
        <v>0</v>
      </c>
      <c r="I69" s="642" t="e">
        <f t="shared" ref="I69" si="28">(I68-H68)/H68</f>
        <v>#DIV/0!</v>
      </c>
      <c r="J69" s="646"/>
      <c r="K69" s="646"/>
      <c r="L69" s="647"/>
      <c r="M69" s="647"/>
      <c r="N69" s="647"/>
      <c r="O69" s="647"/>
      <c r="P69" s="647"/>
      <c r="Q69" s="647"/>
      <c r="R69" s="647"/>
      <c r="S69" s="647"/>
      <c r="T69" s="647"/>
      <c r="U69" s="647"/>
      <c r="V69" s="647"/>
      <c r="W69" s="647"/>
      <c r="X69" s="647"/>
      <c r="Y69" s="647"/>
      <c r="Z69" s="647"/>
      <c r="AA69" s="647"/>
      <c r="AB69" s="647"/>
    </row>
    <row r="70" spans="1:28" ht="17" customHeight="1">
      <c r="A70" s="609"/>
      <c r="B70" s="609"/>
      <c r="C70" s="609"/>
      <c r="D70" s="609"/>
      <c r="E70" s="609"/>
      <c r="F70" s="613"/>
      <c r="G70" s="638"/>
      <c r="H70" s="643"/>
      <c r="I70" s="644"/>
      <c r="J70" s="648"/>
      <c r="K70" s="648"/>
      <c r="L70" s="648"/>
      <c r="M70" s="648"/>
      <c r="N70" s="648"/>
      <c r="O70" s="648"/>
      <c r="P70" s="648"/>
      <c r="Q70" s="648"/>
      <c r="R70" s="648"/>
      <c r="S70" s="648"/>
      <c r="T70" s="648"/>
      <c r="U70" s="648"/>
      <c r="V70" s="648"/>
      <c r="W70" s="648"/>
      <c r="X70" s="648"/>
      <c r="Y70" s="648"/>
      <c r="Z70" s="648"/>
      <c r="AA70" s="648"/>
      <c r="AB70" s="648"/>
    </row>
    <row r="71" spans="1:28">
      <c r="B71" t="s">
        <v>59</v>
      </c>
      <c r="F71" s="5"/>
      <c r="G71" s="640">
        <f>'CLEAN P&amp;L'!D35</f>
        <v>0</v>
      </c>
      <c r="H71" s="641">
        <f>'CLEAN P&amp;L'!F35</f>
        <v>0</v>
      </c>
      <c r="I71" s="641">
        <f>'CLEAN P&amp;L'!H35</f>
        <v>0</v>
      </c>
      <c r="J71" s="649">
        <f>J72*'STR INPUT'!$G$7</f>
        <v>0</v>
      </c>
      <c r="K71" s="649"/>
      <c r="L71" s="649">
        <f>L72*'STR INPUT'!$G$7</f>
        <v>0</v>
      </c>
      <c r="M71" s="649"/>
      <c r="N71" s="649">
        <f>N72*'STR INPUT'!$G$7</f>
        <v>0</v>
      </c>
      <c r="O71" s="649"/>
      <c r="P71" s="649">
        <f>P72*'STR INPUT'!$G$7</f>
        <v>0</v>
      </c>
      <c r="Q71" s="649"/>
      <c r="R71" s="649">
        <f>R72*'STR INPUT'!$G$7</f>
        <v>0</v>
      </c>
      <c r="S71" s="649"/>
      <c r="T71" s="649">
        <f>T72*'STR INPUT'!$G$7</f>
        <v>0</v>
      </c>
      <c r="U71" s="649"/>
      <c r="V71" s="649">
        <f>V72*'STR INPUT'!$G$7</f>
        <v>0</v>
      </c>
      <c r="W71" s="649"/>
      <c r="X71" s="649">
        <f>X72*'STR INPUT'!$G$7</f>
        <v>0</v>
      </c>
      <c r="Y71" s="649"/>
      <c r="Z71" s="649">
        <f>Z72*'STR INPUT'!$G$7</f>
        <v>0</v>
      </c>
      <c r="AA71" s="649"/>
      <c r="AB71" s="649">
        <f>AB72*'STR INPUT'!$G$7</f>
        <v>0</v>
      </c>
    </row>
    <row r="72" spans="1:28">
      <c r="D72" t="s">
        <v>408</v>
      </c>
      <c r="F72" s="5"/>
      <c r="G72" s="671" t="e">
        <f>G71/'STR INPUT'!$G$7</f>
        <v>#DIV/0!</v>
      </c>
      <c r="H72" s="671" t="e">
        <f>H71/'STR INPUT'!$G$7</f>
        <v>#DIV/0!</v>
      </c>
      <c r="I72" s="671" t="e">
        <f>I71/'STR INPUT'!$G$7</f>
        <v>#DIV/0!</v>
      </c>
      <c r="J72" s="672"/>
      <c r="K72" s="672"/>
      <c r="L72" s="672"/>
      <c r="M72" s="672"/>
      <c r="N72" s="672"/>
      <c r="O72" s="672"/>
      <c r="P72" s="672"/>
      <c r="Q72" s="672"/>
      <c r="R72" s="672"/>
      <c r="S72" s="672"/>
      <c r="T72" s="672"/>
      <c r="U72" s="672"/>
      <c r="V72" s="672"/>
      <c r="W72" s="672"/>
      <c r="X72" s="672"/>
      <c r="Y72" s="672"/>
      <c r="Z72" s="672"/>
      <c r="AA72" s="672"/>
      <c r="AB72" s="672"/>
    </row>
    <row r="73" spans="1:28" ht="17" customHeight="1">
      <c r="A73" s="609"/>
      <c r="B73" s="609"/>
      <c r="C73" s="609"/>
      <c r="D73" s="609"/>
      <c r="E73" s="609"/>
      <c r="F73" s="613"/>
      <c r="G73" s="638"/>
      <c r="H73" s="643"/>
      <c r="I73" s="644"/>
      <c r="J73" s="648"/>
      <c r="K73" s="648"/>
      <c r="L73" s="648"/>
      <c r="M73" s="648"/>
      <c r="N73" s="648"/>
      <c r="O73" s="648"/>
      <c r="P73" s="648"/>
      <c r="Q73" s="648"/>
      <c r="R73" s="648"/>
      <c r="S73" s="648"/>
      <c r="T73" s="648"/>
      <c r="U73" s="648"/>
      <c r="V73" s="648"/>
      <c r="W73" s="648"/>
      <c r="X73" s="648"/>
      <c r="Y73" s="648"/>
      <c r="Z73" s="648"/>
      <c r="AA73" s="648"/>
      <c r="AB73" s="648"/>
    </row>
    <row r="74" spans="1:28">
      <c r="B74" t="s">
        <v>307</v>
      </c>
      <c r="F74" s="5"/>
      <c r="G74" s="640">
        <f>'CLEAN P&amp;L'!D36</f>
        <v>0</v>
      </c>
      <c r="H74" s="641">
        <f>'CLEAN P&amp;L'!F36</f>
        <v>0</v>
      </c>
      <c r="I74" s="641">
        <f>'CLEAN P&amp;L'!H36</f>
        <v>0</v>
      </c>
      <c r="J74" s="649">
        <f>I74*(1+J75)</f>
        <v>0</v>
      </c>
      <c r="K74" s="649"/>
      <c r="L74" s="641">
        <f>J74*(1+L75)</f>
        <v>0</v>
      </c>
      <c r="M74" s="641"/>
      <c r="N74" s="641">
        <f>L74*(1+N75)</f>
        <v>0</v>
      </c>
      <c r="O74" s="641"/>
      <c r="P74" s="641">
        <f>N74*(1+P75)</f>
        <v>0</v>
      </c>
      <c r="Q74" s="641"/>
      <c r="R74" s="641">
        <f>P74*(1+R75)</f>
        <v>0</v>
      </c>
      <c r="S74" s="641"/>
      <c r="T74" s="641">
        <f>R74*(1+T75)</f>
        <v>0</v>
      </c>
      <c r="U74" s="641"/>
      <c r="V74" s="641">
        <f>T74*(1+V75)</f>
        <v>0</v>
      </c>
      <c r="W74" s="641"/>
      <c r="X74" s="641">
        <f>V74*(1+X75)</f>
        <v>0</v>
      </c>
      <c r="Y74" s="641"/>
      <c r="Z74" s="641">
        <f>X74*(1+Z75)</f>
        <v>0</v>
      </c>
      <c r="AA74" s="641"/>
      <c r="AB74" s="641">
        <f t="shared" ref="AB74" si="29">Z74*(1+AB75)</f>
        <v>0</v>
      </c>
    </row>
    <row r="75" spans="1:28">
      <c r="D75" t="s">
        <v>402</v>
      </c>
      <c r="F75" s="5"/>
      <c r="G75" s="637"/>
      <c r="H75" s="642">
        <f>IFERROR((H74-G74)/G74,0)</f>
        <v>0</v>
      </c>
      <c r="I75" s="642" t="e">
        <f t="shared" ref="I75" si="30">(I74-H74)/H74</f>
        <v>#DIV/0!</v>
      </c>
      <c r="J75" s="646"/>
      <c r="K75" s="646"/>
      <c r="L75" s="647"/>
      <c r="M75" s="647"/>
      <c r="N75" s="647"/>
      <c r="O75" s="647"/>
      <c r="P75" s="647"/>
      <c r="Q75" s="647"/>
      <c r="R75" s="647"/>
      <c r="S75" s="647"/>
      <c r="T75" s="647"/>
      <c r="U75" s="647"/>
      <c r="V75" s="647"/>
      <c r="W75" s="647"/>
      <c r="X75" s="647"/>
      <c r="Y75" s="647"/>
      <c r="Z75" s="647"/>
      <c r="AA75" s="647"/>
      <c r="AB75" s="647"/>
    </row>
    <row r="76" spans="1:28">
      <c r="A76" s="609"/>
      <c r="B76" s="609"/>
      <c r="C76" s="609"/>
      <c r="D76" s="609"/>
      <c r="E76" s="609"/>
      <c r="F76" s="613"/>
      <c r="G76" s="638"/>
      <c r="H76" s="643"/>
      <c r="I76" s="644"/>
      <c r="J76" s="648"/>
      <c r="K76" s="648"/>
      <c r="L76" s="648"/>
      <c r="M76" s="648"/>
      <c r="N76" s="648"/>
      <c r="O76" s="648"/>
      <c r="P76" s="648"/>
      <c r="Q76" s="648"/>
      <c r="R76" s="648"/>
      <c r="S76" s="648"/>
      <c r="T76" s="648"/>
      <c r="U76" s="648"/>
      <c r="V76" s="648"/>
      <c r="W76" s="648"/>
      <c r="X76" s="648"/>
      <c r="Y76" s="648"/>
      <c r="Z76" s="648"/>
      <c r="AA76" s="648"/>
      <c r="AB76" s="648"/>
    </row>
    <row r="77" spans="1:28">
      <c r="B77" t="s">
        <v>220</v>
      </c>
      <c r="F77" s="5"/>
      <c r="G77" s="640">
        <f>'CLEAN P&amp;L'!D37</f>
        <v>0</v>
      </c>
      <c r="H77" s="641">
        <f>'CLEAN P&amp;L'!F37</f>
        <v>0</v>
      </c>
      <c r="I77" s="641">
        <f>'CLEAN P&amp;L'!H37</f>
        <v>0</v>
      </c>
      <c r="J77" s="649">
        <f>I77*(1+J78)</f>
        <v>0</v>
      </c>
      <c r="K77" s="649"/>
      <c r="L77" s="641">
        <f>J77*(1+L78)</f>
        <v>0</v>
      </c>
      <c r="M77" s="641"/>
      <c r="N77" s="641">
        <f>L77*(1+N78)</f>
        <v>0</v>
      </c>
      <c r="O77" s="641"/>
      <c r="P77" s="641">
        <f>N77*(1+P78)</f>
        <v>0</v>
      </c>
      <c r="Q77" s="641"/>
      <c r="R77" s="641">
        <f>P77*(1+R78)</f>
        <v>0</v>
      </c>
      <c r="S77" s="641"/>
      <c r="T77" s="641">
        <f>R77*(1+T78)</f>
        <v>0</v>
      </c>
      <c r="U77" s="641"/>
      <c r="V77" s="641">
        <f>T77*(1+V78)</f>
        <v>0</v>
      </c>
      <c r="W77" s="641"/>
      <c r="X77" s="641">
        <f>V77*(1+X78)</f>
        <v>0</v>
      </c>
      <c r="Y77" s="641"/>
      <c r="Z77" s="641">
        <f>X77*(1+Z78)</f>
        <v>0</v>
      </c>
      <c r="AA77" s="641"/>
      <c r="AB77" s="641">
        <f t="shared" ref="AB77" si="31">Z77*(1+AB78)</f>
        <v>0</v>
      </c>
    </row>
    <row r="78" spans="1:28">
      <c r="D78" t="s">
        <v>402</v>
      </c>
      <c r="F78" s="5"/>
      <c r="G78" s="621"/>
      <c r="H78" s="623">
        <f>IFERROR((H77-G77)/G77,0)</f>
        <v>0</v>
      </c>
      <c r="I78" s="623" t="e">
        <f t="shared" ref="I78" si="32">(I77-H77)/H77</f>
        <v>#DIV/0!</v>
      </c>
      <c r="J78" s="624"/>
      <c r="K78" s="624"/>
      <c r="L78" s="625"/>
      <c r="M78" s="625"/>
      <c r="N78" s="625"/>
      <c r="O78" s="625"/>
      <c r="P78" s="625"/>
      <c r="Q78" s="625"/>
      <c r="R78" s="625"/>
      <c r="S78" s="625"/>
      <c r="T78" s="625"/>
      <c r="U78" s="625"/>
      <c r="V78" s="625"/>
      <c r="W78" s="625"/>
      <c r="X78" s="625"/>
      <c r="Y78" s="625"/>
      <c r="Z78" s="625"/>
      <c r="AA78" s="625"/>
      <c r="AB78" s="625"/>
    </row>
    <row r="79" spans="1:28">
      <c r="A79" s="609"/>
      <c r="B79" s="609"/>
      <c r="C79" s="609"/>
      <c r="D79" s="609"/>
      <c r="E79" s="609"/>
      <c r="F79" s="613"/>
      <c r="G79" s="613"/>
      <c r="H79" s="629"/>
      <c r="I79" s="650"/>
      <c r="J79" s="631"/>
      <c r="K79" s="631"/>
      <c r="L79" s="631"/>
      <c r="M79" s="631"/>
      <c r="N79" s="631"/>
      <c r="O79" s="631"/>
      <c r="P79" s="631"/>
      <c r="Q79" s="631"/>
      <c r="R79" s="631"/>
      <c r="S79" s="631"/>
      <c r="T79" s="631"/>
      <c r="U79" s="631"/>
      <c r="V79" s="631"/>
      <c r="W79" s="631"/>
      <c r="X79" s="631"/>
      <c r="Y79" s="631"/>
      <c r="Z79" s="631"/>
      <c r="AA79" s="631"/>
      <c r="AB79" s="631"/>
    </row>
    <row r="80" spans="1:28">
      <c r="B80" s="3" t="s">
        <v>311</v>
      </c>
      <c r="C80" s="3"/>
      <c r="D80" s="3"/>
      <c r="E80" s="3"/>
      <c r="F80" s="653"/>
      <c r="G80" s="654">
        <f>'CLEAN P&amp;L'!D42</f>
        <v>0</v>
      </c>
      <c r="H80" s="655">
        <f>'CLEAN P&amp;L'!F42</f>
        <v>0</v>
      </c>
      <c r="I80" s="655">
        <f>'CLEAN P&amp;L'!H42</f>
        <v>0</v>
      </c>
      <c r="J80" s="656">
        <f>J81*(J15+J20+J23+J26+J29)</f>
        <v>0</v>
      </c>
      <c r="K80" s="656"/>
      <c r="L80" s="656">
        <f t="shared" ref="L80:AB80" si="33">L81*(L15+L20+L23+L26+L29)</f>
        <v>0</v>
      </c>
      <c r="M80" s="656"/>
      <c r="N80" s="656">
        <f t="shared" si="33"/>
        <v>0</v>
      </c>
      <c r="O80" s="656"/>
      <c r="P80" s="656">
        <f t="shared" si="33"/>
        <v>0</v>
      </c>
      <c r="Q80" s="656"/>
      <c r="R80" s="656">
        <f t="shared" si="33"/>
        <v>0</v>
      </c>
      <c r="S80" s="656"/>
      <c r="T80" s="656">
        <f t="shared" si="33"/>
        <v>0</v>
      </c>
      <c r="U80" s="656"/>
      <c r="V80" s="656">
        <f t="shared" si="33"/>
        <v>0</v>
      </c>
      <c r="W80" s="656"/>
      <c r="X80" s="656">
        <f t="shared" si="33"/>
        <v>0</v>
      </c>
      <c r="Y80" s="656"/>
      <c r="Z80" s="656">
        <f t="shared" si="33"/>
        <v>0</v>
      </c>
      <c r="AA80" s="656"/>
      <c r="AB80" s="656">
        <f t="shared" si="33"/>
        <v>0</v>
      </c>
    </row>
    <row r="81" spans="1:28">
      <c r="B81" s="3"/>
      <c r="C81" s="3"/>
      <c r="D81" s="3" t="s">
        <v>401</v>
      </c>
      <c r="E81" s="3"/>
      <c r="F81" s="653"/>
      <c r="G81" s="657" t="e">
        <f>G80/(F15+G20+G23+G26+G29)</f>
        <v>#DIV/0!</v>
      </c>
      <c r="H81" s="657" t="e">
        <f>H80/(G15+H20+H23+H26+H29)</f>
        <v>#DIV/0!</v>
      </c>
      <c r="I81" s="657" t="e">
        <f t="shared" ref="I81" si="34">I80/(H15+I20+I23+I26+I29)</f>
        <v>#DIV/0!</v>
      </c>
      <c r="J81" s="658"/>
      <c r="K81" s="658"/>
      <c r="L81" s="658"/>
      <c r="M81" s="658"/>
      <c r="N81" s="658"/>
      <c r="O81" s="658"/>
      <c r="P81" s="658"/>
      <c r="Q81" s="658"/>
      <c r="R81" s="658"/>
      <c r="S81" s="658"/>
      <c r="T81" s="658"/>
      <c r="U81" s="658"/>
      <c r="V81" s="658"/>
      <c r="W81" s="658"/>
      <c r="X81" s="658"/>
      <c r="Y81" s="658"/>
      <c r="Z81" s="658"/>
      <c r="AA81" s="658"/>
      <c r="AB81" s="658"/>
    </row>
    <row r="82" spans="1:28">
      <c r="A82" s="609"/>
      <c r="B82" s="659"/>
      <c r="C82" s="659"/>
      <c r="D82" s="659"/>
      <c r="E82" s="659"/>
      <c r="F82" s="660"/>
      <c r="G82" s="660"/>
      <c r="H82" s="661"/>
      <c r="I82" s="662"/>
      <c r="J82" s="663"/>
      <c r="K82" s="663"/>
      <c r="L82" s="663"/>
      <c r="M82" s="663"/>
      <c r="N82" s="663"/>
      <c r="O82" s="663"/>
      <c r="P82" s="663"/>
      <c r="Q82" s="663"/>
      <c r="R82" s="663"/>
      <c r="S82" s="663"/>
      <c r="T82" s="663"/>
      <c r="U82" s="663"/>
      <c r="V82" s="663"/>
      <c r="W82" s="663"/>
      <c r="X82" s="663"/>
      <c r="Y82" s="663"/>
      <c r="Z82" s="663"/>
      <c r="AA82" s="663"/>
      <c r="AB82" s="663"/>
    </row>
    <row r="83" spans="1:28">
      <c r="B83" s="3" t="s">
        <v>163</v>
      </c>
      <c r="C83" s="3"/>
      <c r="D83" s="3"/>
      <c r="E83" s="3"/>
      <c r="F83" s="653"/>
      <c r="G83" s="654">
        <f>'CLEAN P&amp;L'!D41</f>
        <v>0</v>
      </c>
      <c r="H83" s="655">
        <f>'CLEAN P&amp;L'!F41</f>
        <v>0</v>
      </c>
      <c r="I83" s="655">
        <f>'CLEAN P&amp;L'!H41</f>
        <v>0</v>
      </c>
      <c r="J83" s="656">
        <f>J84*(J15+J20+J23+J26+J29)</f>
        <v>0</v>
      </c>
      <c r="K83" s="656"/>
      <c r="L83" s="656">
        <f t="shared" ref="L83:AB83" si="35">L84*(L15+L20+L23+L26+L29)</f>
        <v>0</v>
      </c>
      <c r="M83" s="656"/>
      <c r="N83" s="656">
        <f t="shared" si="35"/>
        <v>0</v>
      </c>
      <c r="O83" s="656"/>
      <c r="P83" s="656">
        <f t="shared" si="35"/>
        <v>0</v>
      </c>
      <c r="Q83" s="656"/>
      <c r="R83" s="656">
        <f t="shared" si="35"/>
        <v>0</v>
      </c>
      <c r="S83" s="656"/>
      <c r="T83" s="656">
        <f t="shared" si="35"/>
        <v>0</v>
      </c>
      <c r="U83" s="656"/>
      <c r="V83" s="656">
        <f t="shared" si="35"/>
        <v>0</v>
      </c>
      <c r="W83" s="656"/>
      <c r="X83" s="656">
        <f t="shared" si="35"/>
        <v>0</v>
      </c>
      <c r="Y83" s="656"/>
      <c r="Z83" s="656">
        <f t="shared" si="35"/>
        <v>0</v>
      </c>
      <c r="AA83" s="656"/>
      <c r="AB83" s="656">
        <f t="shared" si="35"/>
        <v>0</v>
      </c>
    </row>
    <row r="84" spans="1:28">
      <c r="B84" s="3"/>
      <c r="C84" s="3"/>
      <c r="D84" s="3" t="s">
        <v>401</v>
      </c>
      <c r="E84" s="3"/>
      <c r="F84" s="653"/>
      <c r="G84" s="657" t="e">
        <f>G83/(F15+G20+G23+G26+G29)</f>
        <v>#DIV/0!</v>
      </c>
      <c r="H84" s="657" t="e">
        <f t="shared" ref="H84:I84" si="36">H83/(G15+H20+H23+H26+H29)</f>
        <v>#DIV/0!</v>
      </c>
      <c r="I84" s="657" t="e">
        <f t="shared" si="36"/>
        <v>#DIV/0!</v>
      </c>
      <c r="J84" s="658"/>
      <c r="K84" s="658"/>
      <c r="L84" s="658"/>
      <c r="M84" s="658"/>
      <c r="N84" s="658"/>
      <c r="O84" s="658"/>
      <c r="P84" s="658"/>
      <c r="Q84" s="658"/>
      <c r="R84" s="658"/>
      <c r="S84" s="658"/>
      <c r="T84" s="658"/>
      <c r="U84" s="658"/>
      <c r="V84" s="658"/>
      <c r="W84" s="658"/>
      <c r="X84" s="658"/>
      <c r="Y84" s="658"/>
      <c r="Z84" s="658"/>
      <c r="AA84" s="658"/>
      <c r="AB84" s="658"/>
    </row>
    <row r="85" spans="1:28" ht="17" thickBot="1">
      <c r="A85" s="609"/>
      <c r="B85" s="609"/>
      <c r="C85" s="609"/>
      <c r="D85" s="609"/>
      <c r="E85" s="609"/>
      <c r="F85" s="613"/>
      <c r="G85" s="613"/>
      <c r="H85" s="629"/>
      <c r="I85" s="651"/>
      <c r="J85" s="631"/>
      <c r="K85" s="631"/>
      <c r="L85" s="631"/>
      <c r="M85" s="631"/>
      <c r="N85" s="631"/>
      <c r="O85" s="631"/>
      <c r="P85" s="631"/>
      <c r="Q85" s="631"/>
      <c r="R85" s="631"/>
      <c r="S85" s="631"/>
      <c r="T85" s="631"/>
      <c r="U85" s="631"/>
      <c r="V85" s="631"/>
      <c r="W85" s="631"/>
      <c r="X85" s="631"/>
      <c r="Y85" s="631"/>
      <c r="Z85" s="631"/>
      <c r="AA85" s="631"/>
      <c r="AB85" s="631"/>
    </row>
    <row r="86" spans="1:28" ht="17" thickBot="1">
      <c r="B86" s="607" t="s">
        <v>41</v>
      </c>
      <c r="C86" s="608"/>
      <c r="D86" s="608"/>
      <c r="E86" s="608"/>
      <c r="F86" s="652"/>
      <c r="G86" s="612">
        <f>(G15+G20+G23+G26+G29)-(G33+G36+G39+G42+G46+G49+G52+G55+G58+G61+G64+G68+G71+G74+G77+G80+G83)</f>
        <v>0</v>
      </c>
      <c r="H86" s="612">
        <f t="shared" ref="H86:I86" si="37">(H15+H20+H23+H26+H29)-(H33+H36+H39+H42+H46+H49+H52+H55+H58+H61+H64+H68+H71+H74+H77+H80+H83)</f>
        <v>0</v>
      </c>
      <c r="I86" s="612">
        <f t="shared" si="37"/>
        <v>0</v>
      </c>
      <c r="J86" s="612">
        <f>(J15+J20+J23+J26+J29)-(J33+J36+J39+J42+J46+J49+J52+J55+J58+J61+J64+J68+J71+J74+J77+J80+J83)</f>
        <v>0</v>
      </c>
      <c r="K86" s="612"/>
      <c r="L86" s="612">
        <f>(L15+L20+L23+L26+L29)-(L33+L36+L39+L42+L46+L49+L52+L55+L58+L61+L64+L68+L71+L74+L77+L80+L83)</f>
        <v>0</v>
      </c>
      <c r="M86" s="612"/>
      <c r="N86" s="612">
        <f>(N15+N20+N23+N26+N29)-(N33+N36+N39+N42+N46+N49+N52+N55+N58+N61+N64+N68+N71+N74+N77+N80+N83)</f>
        <v>0</v>
      </c>
      <c r="O86" s="612"/>
      <c r="P86" s="612">
        <f>(P15+P20+P23+P26+P29)-(P33+P36+P39+P42+P46+P49+P52+P55+P58+P61+P64+P68+P71+P74+P77+P80+P83)</f>
        <v>0</v>
      </c>
      <c r="Q86" s="612"/>
      <c r="R86" s="612">
        <f>(R15+R20+R23+R26+R29)-(R33+R36+R39+R42+R46+R49+R52+R55+R58+R61+R64+R68+R71+R74+R77+R80+R83)</f>
        <v>0</v>
      </c>
      <c r="S86" s="612"/>
      <c r="T86" s="612">
        <f>(T15+T20+T23+T26+T29)-(T33+T36+T39+T42+T46+T49+T52+T55+T58+T61+T64+T68+T71+T74+T77+T80+T83)</f>
        <v>0</v>
      </c>
      <c r="U86" s="612"/>
      <c r="V86" s="612">
        <f>(V15+V20+V23+V26+V29)-(V33+V36+V39+V42+V46+V49+V52+V55+V58+V61+V64+V68+V71+V74+V77+V80+V83)</f>
        <v>0</v>
      </c>
      <c r="W86" s="612"/>
      <c r="X86" s="612">
        <f>(X15+X20+X23+X26+X29)-(X33+X36+X39+X42+X46+X49+X52+X55+X58+X61+X64+X68+X71+X74+X77+X80+X83)</f>
        <v>0</v>
      </c>
      <c r="Y86" s="612"/>
      <c r="Z86" s="612">
        <f>(Z15+Z20+Z23+Z26+Z29)-(Z33+Z36+Z39+Z42+Z46+Z49+Z52+Z55+Z58+Z61+Z64+Z68+Z71+Z74+Z77+Z80+Z83)</f>
        <v>0</v>
      </c>
      <c r="AA86" s="612"/>
      <c r="AB86" s="612">
        <f>(AB15+AB20+AB23+AB26+AB29)-(AB33+AB36+AB39+AB42+AB46+AB49+AB52+AB55+AB58+AB61+AB64+AB68+AB71+AB74+AB77+AB80+AB83)</f>
        <v>0</v>
      </c>
    </row>
    <row r="87" spans="1:28">
      <c r="H87" s="195"/>
      <c r="I87" s="195"/>
      <c r="J87" s="606"/>
      <c r="K87" s="606"/>
      <c r="L87" s="606"/>
      <c r="M87" s="606"/>
      <c r="N87" s="606"/>
      <c r="O87" s="606"/>
      <c r="P87" s="606"/>
      <c r="Q87" s="606"/>
      <c r="R87" s="606"/>
      <c r="S87" s="606"/>
      <c r="T87" s="606"/>
      <c r="U87" s="606"/>
      <c r="V87" s="606"/>
      <c r="W87" s="606"/>
      <c r="X87" s="606"/>
      <c r="Y87" s="606"/>
      <c r="Z87" s="606"/>
      <c r="AA87" s="606"/>
      <c r="AB87" s="606"/>
    </row>
  </sheetData>
  <mergeCells count="1">
    <mergeCell ref="D43:F43"/>
  </mergeCells>
  <pageMargins left="0.25" right="0.25" top="0.25" bottom="0.25" header="0" footer="0"/>
  <pageSetup scale="42" orientation="landscape"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C053-0B10-1147-BE55-72B2280C8A3C}">
  <sheetPr>
    <tabColor theme="6" tint="0.79998168889431442"/>
    <pageSetUpPr fitToPage="1"/>
  </sheetPr>
  <dimension ref="B2:AT286"/>
  <sheetViews>
    <sheetView showGridLines="0" topLeftCell="B39" zoomScale="107" workbookViewId="0">
      <selection activeCell="E69" sqref="E69"/>
    </sheetView>
  </sheetViews>
  <sheetFormatPr baseColWidth="10" defaultRowHeight="16"/>
  <cols>
    <col min="2" max="2" width="34.33203125" customWidth="1"/>
    <col min="3" max="3" width="13" bestFit="1" customWidth="1"/>
    <col min="5" max="5" width="12.5" bestFit="1" customWidth="1"/>
    <col min="6" max="6" width="7.5" bestFit="1" customWidth="1"/>
    <col min="7" max="7" width="12.5" bestFit="1" customWidth="1"/>
    <col min="8" max="8" width="7.5" bestFit="1" customWidth="1"/>
    <col min="9" max="9" width="12.5" bestFit="1" customWidth="1"/>
    <col min="10" max="10" width="7.5" bestFit="1" customWidth="1"/>
    <col min="11" max="11" width="12.5" bestFit="1" customWidth="1"/>
    <col min="12" max="12" width="7.5" bestFit="1" customWidth="1"/>
    <col min="13" max="13" width="14.6640625" customWidth="1"/>
    <col min="14" max="14" width="7.5" bestFit="1" customWidth="1"/>
    <col min="15" max="15" width="12.5" bestFit="1" customWidth="1"/>
    <col min="16" max="16" width="7.5" bestFit="1" customWidth="1"/>
    <col min="17" max="17" width="12.5" bestFit="1" customWidth="1"/>
    <col min="18" max="18" width="7.5" bestFit="1" customWidth="1"/>
    <col min="19" max="19" width="12.5" bestFit="1" customWidth="1"/>
    <col min="20" max="20" width="7.5" bestFit="1" customWidth="1"/>
    <col min="21" max="21" width="12.5" bestFit="1" customWidth="1"/>
    <col min="22" max="22" width="7.5" bestFit="1" customWidth="1"/>
    <col min="23" max="23" width="12.5" bestFit="1" customWidth="1"/>
    <col min="24" max="24" width="7.5" bestFit="1" customWidth="1"/>
  </cols>
  <sheetData>
    <row r="2" spans="2:46" s="415" customFormat="1" ht="28" customHeight="1" thickBot="1">
      <c r="B2" s="415" t="s">
        <v>196</v>
      </c>
    </row>
    <row r="4" spans="2:46" ht="17" thickBot="1">
      <c r="B4" s="202" t="s">
        <v>237</v>
      </c>
      <c r="C4" s="207"/>
      <c r="D4" s="203"/>
      <c r="E4" s="169">
        <f>C5+1</f>
        <v>1</v>
      </c>
      <c r="G4" s="169">
        <f>E4+1</f>
        <v>2</v>
      </c>
      <c r="I4" s="169">
        <f>G4+1</f>
        <v>3</v>
      </c>
      <c r="K4" s="169">
        <f t="shared" ref="K4" si="0">I4+1</f>
        <v>4</v>
      </c>
      <c r="M4" s="169">
        <f t="shared" ref="M4" si="1">K4+1</f>
        <v>5</v>
      </c>
      <c r="O4" s="169">
        <f t="shared" ref="O4" si="2">M4+1</f>
        <v>6</v>
      </c>
      <c r="Q4" s="169">
        <f t="shared" ref="Q4" si="3">O4+1</f>
        <v>7</v>
      </c>
      <c r="S4" s="169">
        <f t="shared" ref="S4" si="4">Q4+1</f>
        <v>8</v>
      </c>
      <c r="U4" s="169">
        <f t="shared" ref="U4" si="5">S4+1</f>
        <v>9</v>
      </c>
      <c r="W4" s="169">
        <f t="shared" ref="W4" si="6">U4+1</f>
        <v>10</v>
      </c>
    </row>
    <row r="5" spans="2:46">
      <c r="B5" s="1025" t="s">
        <v>238</v>
      </c>
      <c r="C5" s="1026">
        <f>PROJECTIONS!H4</f>
        <v>0</v>
      </c>
      <c r="D5" s="1027"/>
      <c r="E5" s="1028">
        <v>1</v>
      </c>
      <c r="F5" s="1029"/>
      <c r="G5" s="1028" t="str">
        <f>IF(E5="","",IF(E5+1&lt;=INPUTS!$I$13,E5+1,""))</f>
        <v/>
      </c>
      <c r="H5" s="1029"/>
      <c r="I5" s="1028" t="str">
        <f>IF(G5="","",IF(G5+1&lt;=INPUTS!$I$13,G5+1,""))</f>
        <v/>
      </c>
      <c r="J5" s="1029"/>
      <c r="K5" s="1028" t="str">
        <f>IF(I5="","",IF(I5+1&lt;=INPUTS!$I$13,I5+1,""))</f>
        <v/>
      </c>
      <c r="L5" s="1029"/>
      <c r="M5" s="1028" t="str">
        <f>IF(K5="","",IF(K5+1&lt;=INPUTS!$I$13,K5+1,""))</f>
        <v/>
      </c>
      <c r="N5" s="1029"/>
      <c r="O5" s="1028" t="str">
        <f>IF(M5="","",IF(M5+1&lt;=INPUTS!$I$13,M5+1,""))</f>
        <v/>
      </c>
      <c r="P5" s="1029"/>
      <c r="Q5" s="1028" t="str">
        <f>IF(O5="","",IF(O5+1&lt;=INPUTS!$I$13,O5+1,""))</f>
        <v/>
      </c>
      <c r="R5" s="1029"/>
      <c r="S5" s="1028" t="str">
        <f>IF(Q5="","",IF(Q5+1&lt;=INPUTS!$I$13,Q5+1,""))</f>
        <v/>
      </c>
      <c r="T5" s="1029"/>
      <c r="U5" s="1028" t="str">
        <f>IF(S5="","",IF(S5+1&lt;=INPUTS!$I$13,S5+1,""))</f>
        <v/>
      </c>
      <c r="V5" s="1029"/>
      <c r="W5" s="1028" t="str">
        <f>IF(U5="","",IF(U5+1&lt;=INPUTS!$I$13,U5+1,""))</f>
        <v/>
      </c>
      <c r="X5" s="1029"/>
    </row>
    <row r="6" spans="2:46">
      <c r="B6" s="1030" t="s">
        <v>243</v>
      </c>
      <c r="C6" s="1031"/>
      <c r="D6" s="1032"/>
      <c r="E6" s="1031"/>
      <c r="F6" s="1031"/>
      <c r="G6" s="1031"/>
      <c r="H6" s="1031"/>
      <c r="I6" s="1031"/>
      <c r="J6" s="1031"/>
      <c r="K6" s="1031"/>
      <c r="L6" s="1031"/>
      <c r="M6" s="1031"/>
      <c r="N6" s="1031"/>
      <c r="O6" s="1031"/>
      <c r="P6" s="1031"/>
      <c r="Q6" s="1031"/>
      <c r="R6" s="1031"/>
      <c r="S6" s="1031"/>
      <c r="T6" s="1031"/>
      <c r="U6" s="1031"/>
      <c r="V6" s="1031"/>
      <c r="W6" s="1031"/>
      <c r="X6" s="1031"/>
    </row>
    <row r="7" spans="2:46">
      <c r="B7" s="133" t="s">
        <v>52</v>
      </c>
      <c r="C7" s="70">
        <f>'STR INPUT'!$G$7</f>
        <v>0</v>
      </c>
      <c r="D7" s="124"/>
      <c r="E7" s="70">
        <f>IF(E5="","",C7)</f>
        <v>0</v>
      </c>
      <c r="F7" s="5"/>
      <c r="G7" s="70">
        <f t="shared" ref="G7" si="7">E7</f>
        <v>0</v>
      </c>
      <c r="H7" s="5"/>
      <c r="I7" s="70">
        <f t="shared" ref="I7" si="8">G7</f>
        <v>0</v>
      </c>
      <c r="J7" s="5"/>
      <c r="K7" s="70">
        <f t="shared" ref="K7" si="9">I7</f>
        <v>0</v>
      </c>
      <c r="L7" s="5"/>
      <c r="M7" s="70">
        <f t="shared" ref="M7" si="10">K7</f>
        <v>0</v>
      </c>
      <c r="N7" s="5"/>
      <c r="O7" s="70">
        <f t="shared" ref="O7" si="11">M7</f>
        <v>0</v>
      </c>
      <c r="P7" s="5"/>
      <c r="Q7" s="70">
        <f t="shared" ref="Q7" si="12">O7</f>
        <v>0</v>
      </c>
      <c r="R7" s="5"/>
      <c r="S7" s="70">
        <f t="shared" ref="S7" si="13">Q7</f>
        <v>0</v>
      </c>
      <c r="T7" s="5"/>
      <c r="U7" s="70">
        <f t="shared" ref="U7" si="14">S7</f>
        <v>0</v>
      </c>
      <c r="V7" s="5"/>
      <c r="W7" s="70">
        <f t="shared" ref="W7" si="15">U7</f>
        <v>0</v>
      </c>
      <c r="X7" s="5"/>
      <c r="Y7" s="5"/>
      <c r="Z7" s="5"/>
      <c r="AA7" s="5"/>
      <c r="AB7" s="5"/>
      <c r="AC7" s="5"/>
      <c r="AD7" s="5"/>
      <c r="AE7" s="5"/>
      <c r="AF7" s="5"/>
      <c r="AG7" s="5"/>
      <c r="AH7" s="5"/>
      <c r="AI7" s="5"/>
      <c r="AJ7" s="5"/>
      <c r="AK7" s="5"/>
      <c r="AL7" s="5"/>
      <c r="AM7" s="5"/>
      <c r="AN7" s="5"/>
      <c r="AO7" s="5"/>
      <c r="AP7" s="5"/>
      <c r="AQ7" s="5"/>
      <c r="AR7" s="5"/>
      <c r="AS7" s="5"/>
      <c r="AT7" s="5"/>
    </row>
    <row r="8" spans="2:46">
      <c r="B8" s="133" t="s">
        <v>240</v>
      </c>
      <c r="C8" s="70">
        <f>(DATE(YEAR(C5), 12, 31)-DATE(YEAR(C5), 1, 1)+1)*'STR INPUT'!$G$7</f>
        <v>0</v>
      </c>
      <c r="D8" s="124"/>
      <c r="E8" s="70">
        <f>IF(E5="","",(DATE(E4+1,1,1)-DATE(E4,1,1))*'STR INPUT'!$G$7)</f>
        <v>0</v>
      </c>
      <c r="F8" s="5"/>
      <c r="G8" s="70" t="str">
        <f>IF(G5="","",(DATE(G4+1,1,1)-DATE(G4,1,1))*'STR INPUT'!$G$7)</f>
        <v/>
      </c>
      <c r="H8" s="5"/>
      <c r="I8" s="70" t="str">
        <f>IF(I5="","",(DATE(I4+1,1,1)-DATE(I4,1,1))*'STR INPUT'!$G$7)</f>
        <v/>
      </c>
      <c r="J8" s="5"/>
      <c r="K8" s="70" t="str">
        <f>IF(K5="","",(DATE(K4+1,1,1)-DATE(K4,1,1))*'STR INPUT'!$G$7)</f>
        <v/>
      </c>
      <c r="L8" s="5"/>
      <c r="M8" s="70" t="str">
        <f>IF(M5="","",(DATE(M4+1,1,1)-DATE(M4,1,1))*'STR INPUT'!$G$7)</f>
        <v/>
      </c>
      <c r="N8" s="5"/>
      <c r="O8" s="70" t="str">
        <f>IF(O5="","",(DATE(O4+1,1,1)-DATE(O4,1,1))*'STR INPUT'!$G$7)</f>
        <v/>
      </c>
      <c r="P8" s="5"/>
      <c r="Q8" s="70" t="str">
        <f>IF(Q5="","",(DATE(Q4+1,1,1)-DATE(Q4,1,1))*'STR INPUT'!$G$7)</f>
        <v/>
      </c>
      <c r="R8" s="5"/>
      <c r="S8" s="70" t="str">
        <f>IF(S5="","",(DATE(S4+1,1,1)-DATE(S4,1,1))*'STR INPUT'!$G$7)</f>
        <v/>
      </c>
      <c r="T8" s="5"/>
      <c r="U8" s="70" t="str">
        <f>IF(U5="","",(DATE(U4+1,1,1)-DATE(U4,1,1))*'STR INPUT'!$G$7)</f>
        <v/>
      </c>
      <c r="V8" s="5"/>
      <c r="W8" s="70" t="str">
        <f>IF(W5="","",(DATE(W4+1,1,1)-DATE(W4,1,1))*'STR INPUT'!$G$7)</f>
        <v/>
      </c>
      <c r="X8" s="5"/>
      <c r="Y8" s="5"/>
      <c r="Z8" s="5"/>
      <c r="AA8" s="5"/>
      <c r="AB8" s="5"/>
      <c r="AC8" s="5"/>
      <c r="AD8" s="5"/>
      <c r="AE8" s="5"/>
      <c r="AF8" s="5"/>
      <c r="AG8" s="5"/>
      <c r="AH8" s="5"/>
      <c r="AI8" s="5"/>
      <c r="AJ8" s="5"/>
      <c r="AK8" s="5"/>
      <c r="AL8" s="5"/>
      <c r="AM8" s="5"/>
      <c r="AN8" s="5"/>
      <c r="AO8" s="5"/>
      <c r="AP8" s="5"/>
      <c r="AQ8" s="5"/>
      <c r="AR8" s="5"/>
      <c r="AS8" s="5"/>
      <c r="AT8" s="5"/>
    </row>
    <row r="9" spans="2:46">
      <c r="B9" s="133" t="s">
        <v>84</v>
      </c>
      <c r="C9" s="70">
        <f>C10*C8</f>
        <v>0</v>
      </c>
      <c r="D9" s="124"/>
      <c r="E9" s="70">
        <f>IF(E5="","",E10*E8)</f>
        <v>0</v>
      </c>
      <c r="F9" s="5"/>
      <c r="G9" s="70" t="str">
        <f t="shared" ref="G9" si="16">IF(G5="","",G10*G8)</f>
        <v/>
      </c>
      <c r="H9" s="5"/>
      <c r="I9" s="70" t="str">
        <f t="shared" ref="I9" si="17">IF(I5="","",I10*I8)</f>
        <v/>
      </c>
      <c r="J9" s="5"/>
      <c r="K9" s="70" t="str">
        <f t="shared" ref="K9" si="18">IF(K5="","",K10*K8)</f>
        <v/>
      </c>
      <c r="L9" s="5"/>
      <c r="M9" s="70" t="str">
        <f t="shared" ref="M9" si="19">IF(M5="","",M10*M8)</f>
        <v/>
      </c>
      <c r="N9" s="5"/>
      <c r="O9" s="70" t="str">
        <f t="shared" ref="O9" si="20">IF(O5="","",O10*O8)</f>
        <v/>
      </c>
      <c r="P9" s="5"/>
      <c r="Q9" s="70" t="str">
        <f t="shared" ref="Q9" si="21">IF(Q5="","",Q10*Q8)</f>
        <v/>
      </c>
      <c r="R9" s="5"/>
      <c r="S9" s="70" t="str">
        <f t="shared" ref="S9" si="22">IF(S5="","",S10*S8)</f>
        <v/>
      </c>
      <c r="T9" s="5"/>
      <c r="U9" s="70" t="str">
        <f t="shared" ref="U9" si="23">IF(U5="","",U10*U8)</f>
        <v/>
      </c>
      <c r="V9" s="5"/>
      <c r="W9" s="70" t="str">
        <f t="shared" ref="W9" si="24">IF(W5="","",W10*W8)</f>
        <v/>
      </c>
      <c r="X9" s="5"/>
      <c r="Y9" s="5"/>
      <c r="Z9" s="5"/>
      <c r="AA9" s="5"/>
      <c r="AB9" s="5"/>
      <c r="AC9" s="5"/>
      <c r="AD9" s="5"/>
      <c r="AE9" s="5"/>
      <c r="AF9" s="5"/>
      <c r="AG9" s="5"/>
      <c r="AH9" s="5"/>
      <c r="AI9" s="5"/>
      <c r="AJ9" s="5"/>
      <c r="AK9" s="5"/>
      <c r="AL9" s="5"/>
      <c r="AM9" s="5"/>
      <c r="AN9" s="5"/>
      <c r="AO9" s="5"/>
      <c r="AP9" s="5"/>
      <c r="AQ9" s="5"/>
      <c r="AR9" s="5"/>
      <c r="AS9" s="5"/>
      <c r="AT9" s="5"/>
    </row>
    <row r="10" spans="2:46">
      <c r="B10" s="133" t="s">
        <v>71</v>
      </c>
      <c r="C10" s="204">
        <f>'STR PERFORMANCE'!D12</f>
        <v>0</v>
      </c>
      <c r="D10" s="124"/>
      <c r="E10" s="204">
        <f>IF(E5="","",PROJECTIONS!J6)</f>
        <v>0</v>
      </c>
      <c r="F10" s="5"/>
      <c r="G10" s="204" t="str">
        <f>IF(G5="","",PROJECTIONS!L6)</f>
        <v/>
      </c>
      <c r="H10" s="5"/>
      <c r="I10" s="204" t="str">
        <f>IF(I5="","",PROJECTIONS!N6)</f>
        <v/>
      </c>
      <c r="J10" s="5"/>
      <c r="K10" s="204" t="str">
        <f>IF(K5="","",PROJECTIONS!P6)</f>
        <v/>
      </c>
      <c r="L10" s="5"/>
      <c r="M10" s="204" t="str">
        <f>IF(M5="","",PROJECTIONS!R6)</f>
        <v/>
      </c>
      <c r="N10" s="5"/>
      <c r="O10" s="204" t="str">
        <f>IF(O5="","",PROJECTIONS!T6)</f>
        <v/>
      </c>
      <c r="P10" s="5"/>
      <c r="Q10" s="204" t="str">
        <f>IF(Q5="","",PROJECTIONS!V6)</f>
        <v/>
      </c>
      <c r="R10" s="5"/>
      <c r="S10" s="204" t="str">
        <f>IF(S5="","",PROJECTIONS!X6)</f>
        <v/>
      </c>
      <c r="T10" s="5"/>
      <c r="U10" s="204" t="str">
        <f>IF(U5="","",PROJECTIONS!Z6)</f>
        <v/>
      </c>
      <c r="V10" s="5"/>
      <c r="W10" s="204" t="str">
        <f>IF(W5="","",PROJECTIONS!AB6)</f>
        <v/>
      </c>
      <c r="X10" s="5"/>
      <c r="Y10" s="5"/>
      <c r="Z10" s="5"/>
      <c r="AA10" s="5"/>
      <c r="AB10" s="5"/>
      <c r="AC10" s="5"/>
      <c r="AD10" s="5"/>
      <c r="AE10" s="5"/>
      <c r="AF10" s="5"/>
      <c r="AG10" s="5"/>
      <c r="AH10" s="5"/>
      <c r="AI10" s="5"/>
      <c r="AJ10" s="5"/>
      <c r="AK10" s="5"/>
      <c r="AL10" s="5"/>
      <c r="AM10" s="5"/>
      <c r="AN10" s="5"/>
      <c r="AO10" s="5"/>
      <c r="AP10" s="5"/>
      <c r="AQ10" s="5"/>
      <c r="AR10" s="5"/>
      <c r="AS10" s="5"/>
      <c r="AT10" s="5"/>
    </row>
    <row r="11" spans="2:46">
      <c r="B11" s="133" t="s">
        <v>85</v>
      </c>
      <c r="C11" s="670">
        <f>'STR PERFORMANCE'!H12</f>
        <v>0</v>
      </c>
      <c r="D11" s="124"/>
      <c r="E11" s="670">
        <f>IF(E5="","",PROJECTIONS!J9)</f>
        <v>0</v>
      </c>
      <c r="F11" s="5"/>
      <c r="G11" s="670" t="str">
        <f>IF(G5="","",PROJECTIONS!L9)</f>
        <v/>
      </c>
      <c r="H11" s="5"/>
      <c r="I11" s="670" t="str">
        <f>IF(I5="","",PROJECTIONS!N9)</f>
        <v/>
      </c>
      <c r="J11" s="5"/>
      <c r="K11" s="670" t="str">
        <f>IF(K5="","",PROJECTIONS!P9)</f>
        <v/>
      </c>
      <c r="L11" s="5"/>
      <c r="M11" s="670" t="str">
        <f>IF(M5="","",PROJECTIONS!R9)</f>
        <v/>
      </c>
      <c r="N11" s="5"/>
      <c r="O11" s="670" t="str">
        <f>IF(O5="","",PROJECTIONS!T9)</f>
        <v/>
      </c>
      <c r="P11" s="5"/>
      <c r="Q11" s="670" t="str">
        <f>IF(Q5="","",PROJECTIONS!V9)</f>
        <v/>
      </c>
      <c r="R11" s="5"/>
      <c r="S11" s="670" t="str">
        <f>IF(S5="","",PROJECTIONS!X9)</f>
        <v/>
      </c>
      <c r="T11" s="5"/>
      <c r="U11" s="670" t="str">
        <f>IF(U5="","",PROJECTIONS!Z9)</f>
        <v/>
      </c>
      <c r="V11" s="5"/>
      <c r="W11" s="670" t="str">
        <f>IF(W5="","",PROJECTIONS!AB9)</f>
        <v/>
      </c>
      <c r="X11" s="5"/>
      <c r="Y11" s="5"/>
      <c r="Z11" s="5"/>
      <c r="AA11" s="5"/>
      <c r="AB11" s="5"/>
      <c r="AC11" s="5"/>
      <c r="AD11" s="5"/>
      <c r="AE11" s="5"/>
      <c r="AF11" s="5"/>
      <c r="AG11" s="5"/>
      <c r="AH11" s="5"/>
      <c r="AI11" s="5"/>
      <c r="AJ11" s="5"/>
      <c r="AK11" s="5"/>
      <c r="AL11" s="5"/>
      <c r="AM11" s="5"/>
      <c r="AN11" s="5"/>
      <c r="AO11" s="5"/>
      <c r="AP11" s="5"/>
      <c r="AQ11" s="5"/>
      <c r="AR11" s="5"/>
      <c r="AS11" s="5"/>
      <c r="AT11" s="5"/>
    </row>
    <row r="12" spans="2:46">
      <c r="B12" s="133" t="s">
        <v>86</v>
      </c>
      <c r="C12" s="670">
        <f>'STR PERFORMANCE'!L12</f>
        <v>0</v>
      </c>
      <c r="D12" s="124"/>
      <c r="E12" s="670">
        <f>IF(E5="","",PROJECTIONS!J12)</f>
        <v>0</v>
      </c>
      <c r="F12" s="5"/>
      <c r="G12" s="670" t="str">
        <f>IF(G5="","",PROJECTIONS!L12)</f>
        <v/>
      </c>
      <c r="H12" s="5"/>
      <c r="I12" s="670" t="str">
        <f>IF(I5="","",PROJECTIONS!N12)</f>
        <v/>
      </c>
      <c r="J12" s="5"/>
      <c r="K12" s="670" t="str">
        <f>IF(K5="","",PROJECTIONS!P12)</f>
        <v/>
      </c>
      <c r="L12" s="5"/>
      <c r="M12" s="670" t="str">
        <f>IF(M5="","",PROJECTIONS!R12)</f>
        <v/>
      </c>
      <c r="N12" s="5"/>
      <c r="O12" s="670" t="str">
        <f>IF(O5="","",PROJECTIONS!T12)</f>
        <v/>
      </c>
      <c r="P12" s="5"/>
      <c r="Q12" s="670" t="str">
        <f>IF(Q5="","",PROJECTIONS!V12)</f>
        <v/>
      </c>
      <c r="R12" s="5"/>
      <c r="S12" s="670" t="str">
        <f>IF(S5="","",PROJECTIONS!X12)</f>
        <v/>
      </c>
      <c r="T12" s="5"/>
      <c r="U12" s="670" t="str">
        <f>IF(U5="","",PROJECTIONS!Z12)</f>
        <v/>
      </c>
      <c r="V12" s="5"/>
      <c r="W12" s="670" t="str">
        <f>IF(W5="","",PROJECTIONS!AB12)</f>
        <v/>
      </c>
      <c r="X12" s="5"/>
      <c r="Y12" s="5"/>
      <c r="Z12" s="5"/>
      <c r="AA12" s="5"/>
      <c r="AB12" s="5"/>
      <c r="AC12" s="5"/>
      <c r="AD12" s="5"/>
      <c r="AE12" s="5"/>
      <c r="AF12" s="5"/>
      <c r="AG12" s="5"/>
      <c r="AH12" s="5"/>
      <c r="AI12" s="5"/>
      <c r="AJ12" s="5"/>
      <c r="AK12" s="5"/>
      <c r="AL12" s="5"/>
      <c r="AM12" s="5"/>
      <c r="AN12" s="5"/>
      <c r="AO12" s="5"/>
      <c r="AP12" s="5"/>
      <c r="AQ12" s="5"/>
      <c r="AR12" s="5"/>
      <c r="AS12" s="5"/>
      <c r="AT12" s="5"/>
    </row>
    <row r="13" spans="2:46">
      <c r="B13" s="133" t="s">
        <v>241</v>
      </c>
      <c r="C13" s="141" t="e">
        <f>C17/C7</f>
        <v>#DIV/0!</v>
      </c>
      <c r="D13" s="124"/>
      <c r="E13" s="141" t="e">
        <f>IF(E5="","",E17/E7)</f>
        <v>#DIV/0!</v>
      </c>
      <c r="F13" s="5"/>
      <c r="G13" s="141" t="str">
        <f t="shared" ref="G13" si="25">IF(G5="","",G17/G7)</f>
        <v/>
      </c>
      <c r="H13" s="5"/>
      <c r="I13" s="141" t="str">
        <f t="shared" ref="I13" si="26">IF(I5="","",I17/I7)</f>
        <v/>
      </c>
      <c r="J13" s="5"/>
      <c r="K13" s="141" t="str">
        <f t="shared" ref="K13" si="27">IF(K5="","",K17/K7)</f>
        <v/>
      </c>
      <c r="L13" s="5"/>
      <c r="M13" s="141" t="str">
        <f t="shared" ref="M13" si="28">IF(M5="","",M17/M7)</f>
        <v/>
      </c>
      <c r="N13" s="5"/>
      <c r="O13" s="141" t="str">
        <f t="shared" ref="O13" si="29">IF(O5="","",O17/O7)</f>
        <v/>
      </c>
      <c r="P13" s="5"/>
      <c r="Q13" s="141" t="str">
        <f t="shared" ref="Q13" si="30">IF(Q5="","",Q17/Q7)</f>
        <v/>
      </c>
      <c r="R13" s="5"/>
      <c r="S13" s="141" t="str">
        <f t="shared" ref="S13" si="31">IF(S5="","",S17/S7)</f>
        <v/>
      </c>
      <c r="T13" s="5"/>
      <c r="U13" s="141" t="str">
        <f t="shared" ref="U13" si="32">IF(U5="","",U17/U7)</f>
        <v/>
      </c>
      <c r="V13" s="5"/>
      <c r="W13" s="141" t="str">
        <f t="shared" ref="W13" si="33">IF(W5="","",W17/W7)</f>
        <v/>
      </c>
      <c r="X13" s="5"/>
      <c r="Y13" s="5"/>
      <c r="Z13" s="5"/>
      <c r="AA13" s="5"/>
      <c r="AB13" s="5"/>
      <c r="AC13" s="5"/>
      <c r="AD13" s="5"/>
      <c r="AE13" s="5"/>
      <c r="AF13" s="5"/>
      <c r="AG13" s="5"/>
      <c r="AH13" s="5"/>
      <c r="AI13" s="5"/>
      <c r="AJ13" s="5"/>
      <c r="AK13" s="5"/>
      <c r="AL13" s="5"/>
      <c r="AM13" s="5"/>
      <c r="AN13" s="5"/>
      <c r="AO13" s="5"/>
      <c r="AP13" s="5"/>
      <c r="AQ13" s="5"/>
      <c r="AR13" s="5"/>
      <c r="AS13" s="5"/>
      <c r="AT13" s="5"/>
    </row>
    <row r="14" spans="2:46">
      <c r="B14" s="133" t="s">
        <v>242</v>
      </c>
      <c r="C14" s="670" t="e">
        <f>(C30+C41+C49+C52+C53)/C9</f>
        <v>#DIV/0!</v>
      </c>
      <c r="D14" s="124"/>
      <c r="E14" s="670" t="e">
        <f>IF(E5="","",(E30+E41+E49+E52+E53)/E9)</f>
        <v>#DIV/0!</v>
      </c>
      <c r="F14" s="5"/>
      <c r="G14" s="670" t="str">
        <f t="shared" ref="G14" si="34">IF(G5="","",(G30+G41+G49+G52+G53)/G9)</f>
        <v/>
      </c>
      <c r="H14" s="5"/>
      <c r="I14" s="670" t="str">
        <f t="shared" ref="I14" si="35">IF(I5="","",(I30+I41+I49+I52+I53)/I9)</f>
        <v/>
      </c>
      <c r="J14" s="5"/>
      <c r="K14" s="670" t="str">
        <f t="shared" ref="K14" si="36">IF(K5="","",(K30+K41+K49+K52+K53)/K9)</f>
        <v/>
      </c>
      <c r="L14" s="5"/>
      <c r="M14" s="670" t="str">
        <f t="shared" ref="M14" si="37">IF(M5="","",(M30+M41+M49+M52+M53)/M9)</f>
        <v/>
      </c>
      <c r="N14" s="5"/>
      <c r="O14" s="670" t="str">
        <f t="shared" ref="O14" si="38">IF(O5="","",(O30+O41+O49+O52+O53)/O9)</f>
        <v/>
      </c>
      <c r="P14" s="5"/>
      <c r="Q14" s="670" t="str">
        <f t="shared" ref="Q14" si="39">IF(Q5="","",(Q30+Q41+Q49+Q52+Q53)/Q9)</f>
        <v/>
      </c>
      <c r="R14" s="5"/>
      <c r="S14" s="670" t="str">
        <f t="shared" ref="S14" si="40">IF(S5="","",(S30+S41+S49+S52+S53)/S9)</f>
        <v/>
      </c>
      <c r="T14" s="5"/>
      <c r="U14" s="670" t="str">
        <f t="shared" ref="U14" si="41">IF(U5="","",(U30+U41+U49+U52+U53)/U9)</f>
        <v/>
      </c>
      <c r="V14" s="5"/>
      <c r="W14" s="670" t="str">
        <f t="shared" ref="W14" si="42">IF(W5="","",(W30+W41+W49+W52+W53)/W9)</f>
        <v/>
      </c>
      <c r="X14" s="5"/>
      <c r="Y14" s="5"/>
      <c r="Z14" s="5"/>
      <c r="AA14" s="5"/>
      <c r="AB14" s="5"/>
      <c r="AC14" s="5"/>
      <c r="AD14" s="5"/>
      <c r="AE14" s="5"/>
      <c r="AF14" s="5"/>
      <c r="AG14" s="5"/>
      <c r="AH14" s="5"/>
      <c r="AI14" s="5"/>
      <c r="AJ14" s="5"/>
      <c r="AK14" s="5"/>
      <c r="AL14" s="5"/>
      <c r="AM14" s="5"/>
      <c r="AN14" s="5"/>
      <c r="AO14" s="5"/>
      <c r="AP14" s="5"/>
      <c r="AQ14" s="5"/>
      <c r="AR14" s="5"/>
      <c r="AS14" s="5"/>
      <c r="AT14" s="5"/>
    </row>
    <row r="15" spans="2:46">
      <c r="B15" s="14"/>
      <c r="C15" s="5"/>
      <c r="D15" s="124"/>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2:46">
      <c r="B16" s="1033" t="str">
        <f>'CLEAN P&amp;L'!B5</f>
        <v>INCOME</v>
      </c>
      <c r="C16" s="1034">
        <f>C5</f>
        <v>0</v>
      </c>
      <c r="D16" s="1035" t="s">
        <v>239</v>
      </c>
      <c r="E16" s="1034">
        <f>E5</f>
        <v>1</v>
      </c>
      <c r="F16" s="1034" t="str">
        <f>IF(E5="","","%'s")</f>
        <v>%'s</v>
      </c>
      <c r="G16" s="1034" t="str">
        <f t="shared" ref="G16" si="43">G5</f>
        <v/>
      </c>
      <c r="H16" s="1034" t="str">
        <f t="shared" ref="H16" si="44">IF(G5="","","%'s")</f>
        <v/>
      </c>
      <c r="I16" s="1034" t="str">
        <f t="shared" ref="I16" si="45">I5</f>
        <v/>
      </c>
      <c r="J16" s="1034" t="str">
        <f t="shared" ref="J16" si="46">IF(I5="","","%'s")</f>
        <v/>
      </c>
      <c r="K16" s="1034" t="str">
        <f t="shared" ref="K16" si="47">K5</f>
        <v/>
      </c>
      <c r="L16" s="1034" t="str">
        <f t="shared" ref="L16" si="48">IF(K5="","","%'s")</f>
        <v/>
      </c>
      <c r="M16" s="1034" t="str">
        <f t="shared" ref="M16" si="49">M5</f>
        <v/>
      </c>
      <c r="N16" s="1034" t="str">
        <f t="shared" ref="N16" si="50">IF(M5="","","%'s")</f>
        <v/>
      </c>
      <c r="O16" s="1034" t="str">
        <f t="shared" ref="O16" si="51">O5</f>
        <v/>
      </c>
      <c r="P16" s="1034" t="str">
        <f t="shared" ref="P16" si="52">IF(O5="","","%'s")</f>
        <v/>
      </c>
      <c r="Q16" s="1034" t="str">
        <f t="shared" ref="Q16" si="53">Q5</f>
        <v/>
      </c>
      <c r="R16" s="1034" t="str">
        <f t="shared" ref="R16" si="54">IF(Q5="","","%'s")</f>
        <v/>
      </c>
      <c r="S16" s="1034" t="str">
        <f t="shared" ref="S16" si="55">S5</f>
        <v/>
      </c>
      <c r="T16" s="1034" t="str">
        <f t="shared" ref="T16" si="56">IF(S5="","","%'s")</f>
        <v/>
      </c>
      <c r="U16" s="1034" t="str">
        <f t="shared" ref="U16" si="57">U5</f>
        <v/>
      </c>
      <c r="V16" s="1034" t="str">
        <f t="shared" ref="V16" si="58">IF(U5="","","%'s")</f>
        <v/>
      </c>
      <c r="W16" s="1034" t="str">
        <f t="shared" ref="W16" si="59">W5</f>
        <v/>
      </c>
      <c r="X16" s="1034" t="str">
        <f t="shared" ref="X16" si="60">IF(W5="","","%'s")</f>
        <v/>
      </c>
      <c r="Y16" s="5"/>
      <c r="Z16" s="5"/>
      <c r="AA16" s="5"/>
      <c r="AB16" s="5"/>
      <c r="AC16" s="5"/>
      <c r="AD16" s="5"/>
      <c r="AE16" s="5"/>
      <c r="AF16" s="5"/>
      <c r="AG16" s="5"/>
      <c r="AH16" s="5"/>
      <c r="AI16" s="5"/>
      <c r="AJ16" s="5"/>
      <c r="AK16" s="5"/>
      <c r="AL16" s="5"/>
      <c r="AM16" s="5"/>
      <c r="AN16" s="5"/>
      <c r="AO16" s="5"/>
      <c r="AP16" s="5"/>
      <c r="AQ16" s="5"/>
      <c r="AR16" s="5"/>
      <c r="AS16" s="5"/>
      <c r="AT16" s="5"/>
    </row>
    <row r="17" spans="2:46">
      <c r="B17" s="133" t="str">
        <f>'CLEAN P&amp;L'!B6</f>
        <v>Room Revenue</v>
      </c>
      <c r="C17" s="208">
        <f>'CLEAN P&amp;L'!H6</f>
        <v>0</v>
      </c>
      <c r="D17" s="182" t="e">
        <f>C17/$C$22</f>
        <v>#DIV/0!</v>
      </c>
      <c r="E17" s="208">
        <f>IF(E5="","",PROJECTIONS!J15)</f>
        <v>0</v>
      </c>
      <c r="F17" s="213" t="e">
        <f>IF(E5="","",E17/E22)</f>
        <v>#DIV/0!</v>
      </c>
      <c r="G17" s="208" t="str">
        <f>IF(G5="","",PROJECTIONS!L15)</f>
        <v/>
      </c>
      <c r="H17" s="213" t="str">
        <f t="shared" ref="H17" si="61">IF(G5="","",G17/G22)</f>
        <v/>
      </c>
      <c r="I17" s="208" t="str">
        <f>IF(I5="","",PROJECTIONS!N15)</f>
        <v/>
      </c>
      <c r="J17" s="213" t="str">
        <f t="shared" ref="J17" si="62">IF(I5="","",I17/I22)</f>
        <v/>
      </c>
      <c r="K17" s="208" t="str">
        <f>IF(K5="","",PROJECTIONS!P15)</f>
        <v/>
      </c>
      <c r="L17" s="213" t="str">
        <f t="shared" ref="L17" si="63">IF(K5="","",K17/K22)</f>
        <v/>
      </c>
      <c r="M17" s="208" t="str">
        <f>IF(M5="","",PROJECTIONS!R15)</f>
        <v/>
      </c>
      <c r="N17" s="213" t="str">
        <f>IF(M5="","",M17/M22)</f>
        <v/>
      </c>
      <c r="O17" s="208" t="str">
        <f>IF(O5="","",PROJECTIONS!T15)</f>
        <v/>
      </c>
      <c r="P17" s="213" t="str">
        <f t="shared" ref="P17" si="64">IF(O5="","",O17/O22)</f>
        <v/>
      </c>
      <c r="Q17" s="208" t="str">
        <f>IF(Q5="","",PROJECTIONS!V15)</f>
        <v/>
      </c>
      <c r="R17" s="213" t="str">
        <f t="shared" ref="R17" si="65">IF(Q5="","",Q17/Q22)</f>
        <v/>
      </c>
      <c r="S17" s="208" t="str">
        <f>IF(S5="","",PROJECTIONS!X15)</f>
        <v/>
      </c>
      <c r="T17" s="213" t="str">
        <f t="shared" ref="T17" si="66">IF(S5="","",S17/S22)</f>
        <v/>
      </c>
      <c r="U17" s="208" t="str">
        <f>IF(U5="","",PROJECTIONS!Z15)</f>
        <v/>
      </c>
      <c r="V17" s="213" t="str">
        <f t="shared" ref="V17" si="67">IF(U5="","",U17/U22)</f>
        <v/>
      </c>
      <c r="W17" s="208" t="str">
        <f>IF(W5="","",PROJECTIONS!AB15)</f>
        <v/>
      </c>
      <c r="X17" s="213" t="str">
        <f t="shared" ref="X17" si="68">IF(W5="","",W17/W22)</f>
        <v/>
      </c>
      <c r="Y17" s="5"/>
      <c r="Z17" s="5"/>
      <c r="AA17" s="5"/>
      <c r="AB17" s="5"/>
      <c r="AC17" s="5"/>
      <c r="AD17" s="5"/>
      <c r="AE17" s="5"/>
      <c r="AF17" s="5"/>
      <c r="AG17" s="5"/>
      <c r="AH17" s="5"/>
      <c r="AI17" s="5"/>
      <c r="AJ17" s="5"/>
      <c r="AK17" s="5"/>
      <c r="AL17" s="5"/>
      <c r="AM17" s="5"/>
      <c r="AN17" s="5"/>
      <c r="AO17" s="5"/>
      <c r="AP17" s="5"/>
      <c r="AQ17" s="5"/>
      <c r="AR17" s="5"/>
      <c r="AS17" s="5"/>
      <c r="AT17" s="5"/>
    </row>
    <row r="18" spans="2:46">
      <c r="B18" s="133" t="str">
        <f>'CLEAN P&amp;L'!B7</f>
        <v>Food &amp; Beverage</v>
      </c>
      <c r="C18" s="208">
        <f>'CLEAN P&amp;L'!H7</f>
        <v>0</v>
      </c>
      <c r="D18" s="182" t="e">
        <f t="shared" ref="D18:D21" si="69">C18/$C$22</f>
        <v>#DIV/0!</v>
      </c>
      <c r="E18" s="208">
        <f>IF(E5="","",PROJECTIONS!J20)</f>
        <v>0</v>
      </c>
      <c r="F18" s="213" t="e">
        <f>IF(E5="","",E18/E22)</f>
        <v>#DIV/0!</v>
      </c>
      <c r="G18" s="208" t="str">
        <f>IF(G5="","",PROJECTIONS!L20)</f>
        <v/>
      </c>
      <c r="H18" s="213" t="str">
        <f t="shared" ref="H18" si="70">IF(G5="","",G18/G22)</f>
        <v/>
      </c>
      <c r="I18" s="208" t="str">
        <f>IF(I5="","",PROJECTIONS!N20)</f>
        <v/>
      </c>
      <c r="J18" s="213" t="str">
        <f t="shared" ref="J18" si="71">IF(I5="","",I18/I22)</f>
        <v/>
      </c>
      <c r="K18" s="208" t="str">
        <f>IF(K5="","",PROJECTIONS!P20)</f>
        <v/>
      </c>
      <c r="L18" s="213" t="str">
        <f t="shared" ref="L18" si="72">IF(K5="","",K18/K22)</f>
        <v/>
      </c>
      <c r="M18" s="208" t="str">
        <f>IF(M5="","",PROJECTIONS!R20)</f>
        <v/>
      </c>
      <c r="N18" s="213" t="str">
        <f t="shared" ref="N18" si="73">IF(M5="","",M18/M22)</f>
        <v/>
      </c>
      <c r="O18" s="208" t="str">
        <f>IF(O5="","",PROJECTIONS!T20)</f>
        <v/>
      </c>
      <c r="P18" s="213" t="str">
        <f t="shared" ref="P18" si="74">IF(O5="","",O18/O22)</f>
        <v/>
      </c>
      <c r="Q18" s="208" t="str">
        <f>IF(Q5="","",PROJECTIONS!V20)</f>
        <v/>
      </c>
      <c r="R18" s="213" t="str">
        <f t="shared" ref="R18" si="75">IF(Q5="","",Q18/Q22)</f>
        <v/>
      </c>
      <c r="S18" s="208" t="str">
        <f>IF(S5="","",PROJECTIONS!X20)</f>
        <v/>
      </c>
      <c r="T18" s="213" t="str">
        <f t="shared" ref="T18" si="76">IF(S5="","",S18/S22)</f>
        <v/>
      </c>
      <c r="U18" s="208" t="str">
        <f>IF(U5="","",PROJECTIONS!Z20)</f>
        <v/>
      </c>
      <c r="V18" s="213" t="str">
        <f t="shared" ref="V18" si="77">IF(U5="","",U18/U22)</f>
        <v/>
      </c>
      <c r="W18" s="208" t="str">
        <f>IF(W5="","",PROJECTIONS!AB20)</f>
        <v/>
      </c>
      <c r="X18" s="213" t="str">
        <f t="shared" ref="X18" si="78">IF(W5="","",W18/W22)</f>
        <v/>
      </c>
      <c r="Y18" s="5"/>
      <c r="Z18" s="5"/>
      <c r="AA18" s="5"/>
      <c r="AB18" s="5"/>
      <c r="AC18" s="5"/>
      <c r="AD18" s="5"/>
      <c r="AE18" s="5"/>
      <c r="AF18" s="5"/>
      <c r="AG18" s="5"/>
      <c r="AH18" s="5"/>
      <c r="AI18" s="5"/>
      <c r="AJ18" s="5"/>
      <c r="AK18" s="5"/>
      <c r="AL18" s="5"/>
      <c r="AM18" s="5"/>
      <c r="AN18" s="5"/>
      <c r="AO18" s="5"/>
      <c r="AP18" s="5"/>
      <c r="AQ18" s="5"/>
      <c r="AR18" s="5"/>
      <c r="AS18" s="5"/>
      <c r="AT18" s="5"/>
    </row>
    <row r="19" spans="2:46">
      <c r="B19" s="133" t="str">
        <f>'CLEAN P&amp;L'!B8</f>
        <v>Other Income</v>
      </c>
      <c r="C19" s="208">
        <f>'CLEAN P&amp;L'!H8</f>
        <v>0</v>
      </c>
      <c r="D19" s="182" t="e">
        <f t="shared" si="69"/>
        <v>#DIV/0!</v>
      </c>
      <c r="E19" s="208">
        <f>IF(E5="","",PROJECTIONS!J23)</f>
        <v>0</v>
      </c>
      <c r="F19" s="213" t="e">
        <f>IF(E5="","",E19/E22)</f>
        <v>#DIV/0!</v>
      </c>
      <c r="G19" s="208" t="str">
        <f>IF(G5="","",PROJECTIONS!L23)</f>
        <v/>
      </c>
      <c r="H19" s="213" t="str">
        <f t="shared" ref="H19" si="79">IF(G5="","",G19/G22)</f>
        <v/>
      </c>
      <c r="I19" s="208" t="str">
        <f>IF(I5="","",PROJECTIONS!N23)</f>
        <v/>
      </c>
      <c r="J19" s="213" t="str">
        <f t="shared" ref="J19" si="80">IF(I5="","",I19/I22)</f>
        <v/>
      </c>
      <c r="K19" s="208" t="str">
        <f>IF(K5="","",PROJECTIONS!P23)</f>
        <v/>
      </c>
      <c r="L19" s="213" t="str">
        <f t="shared" ref="L19" si="81">IF(K5="","",K19/K22)</f>
        <v/>
      </c>
      <c r="M19" s="208" t="str">
        <f>IF(M5="","",PROJECTIONS!R23)</f>
        <v/>
      </c>
      <c r="N19" s="213" t="str">
        <f t="shared" ref="N19" si="82">IF(M5="","",M19/M22)</f>
        <v/>
      </c>
      <c r="O19" s="208" t="str">
        <f>IF(O5="","",PROJECTIONS!T23)</f>
        <v/>
      </c>
      <c r="P19" s="213" t="str">
        <f t="shared" ref="P19" si="83">IF(O5="","",O19/O22)</f>
        <v/>
      </c>
      <c r="Q19" s="208" t="str">
        <f>IF(Q5="","",PROJECTIONS!V23)</f>
        <v/>
      </c>
      <c r="R19" s="213" t="str">
        <f t="shared" ref="R19" si="84">IF(Q5="","",Q19/Q22)</f>
        <v/>
      </c>
      <c r="S19" s="208" t="str">
        <f>IF(S5="","",PROJECTIONS!X23)</f>
        <v/>
      </c>
      <c r="T19" s="213" t="str">
        <f t="shared" ref="T19" si="85">IF(S5="","",S19/S22)</f>
        <v/>
      </c>
      <c r="U19" s="208" t="str">
        <f>IF(U5="","",PROJECTIONS!Z23)</f>
        <v/>
      </c>
      <c r="V19" s="213" t="str">
        <f t="shared" ref="V19" si="86">IF(U5="","",U19/U22)</f>
        <v/>
      </c>
      <c r="W19" s="208" t="str">
        <f>IF(W5="","",PROJECTIONS!AB23)</f>
        <v/>
      </c>
      <c r="X19" s="213" t="str">
        <f t="shared" ref="X19" si="87">IF(W5="","",W19/W22)</f>
        <v/>
      </c>
      <c r="Y19" s="5"/>
      <c r="Z19" s="5"/>
      <c r="AA19" s="5"/>
      <c r="AB19" s="5"/>
      <c r="AC19" s="5"/>
      <c r="AD19" s="5"/>
      <c r="AE19" s="5"/>
      <c r="AF19" s="5"/>
      <c r="AG19" s="5"/>
      <c r="AH19" s="5"/>
      <c r="AI19" s="5"/>
      <c r="AJ19" s="5"/>
      <c r="AK19" s="5"/>
      <c r="AL19" s="5"/>
      <c r="AM19" s="5"/>
      <c r="AN19" s="5"/>
      <c r="AO19" s="5"/>
      <c r="AP19" s="5"/>
      <c r="AQ19" s="5"/>
      <c r="AR19" s="5"/>
      <c r="AS19" s="5"/>
      <c r="AT19" s="5"/>
    </row>
    <row r="20" spans="2:46">
      <c r="B20" s="133" t="str">
        <f>'CLEAN P&amp;L'!B9</f>
        <v xml:space="preserve">Other Operated Depts. </v>
      </c>
      <c r="C20" s="208">
        <f>'CLEAN P&amp;L'!H9</f>
        <v>0</v>
      </c>
      <c r="D20" s="182" t="e">
        <f t="shared" si="69"/>
        <v>#DIV/0!</v>
      </c>
      <c r="E20" s="208">
        <f>IF(E5="","",PROJECTIONS!J26)</f>
        <v>0</v>
      </c>
      <c r="F20" s="213" t="e">
        <f>IF(E5="","",E20/E22)</f>
        <v>#DIV/0!</v>
      </c>
      <c r="G20" s="208" t="str">
        <f>IF(G5="","",PROJECTIONS!L26)</f>
        <v/>
      </c>
      <c r="H20" s="213" t="str">
        <f t="shared" ref="H20" si="88">IF(G5="","",G20/G22)</f>
        <v/>
      </c>
      <c r="I20" s="208" t="str">
        <f>IF(I5="","",PROJECTIONS!N26)</f>
        <v/>
      </c>
      <c r="J20" s="213" t="str">
        <f t="shared" ref="J20" si="89">IF(I5="","",I20/I22)</f>
        <v/>
      </c>
      <c r="K20" s="208" t="str">
        <f>IF(K5="","",PROJECTIONS!P26)</f>
        <v/>
      </c>
      <c r="L20" s="213" t="str">
        <f t="shared" ref="L20" si="90">IF(K5="","",K20/K22)</f>
        <v/>
      </c>
      <c r="M20" s="208" t="str">
        <f>IF(M5="","",PROJECTIONS!R26)</f>
        <v/>
      </c>
      <c r="N20" s="213" t="str">
        <f t="shared" ref="N20" si="91">IF(M5="","",M20/M22)</f>
        <v/>
      </c>
      <c r="O20" s="208" t="str">
        <f>IF(O5="","",PROJECTIONS!T26)</f>
        <v/>
      </c>
      <c r="P20" s="213" t="str">
        <f t="shared" ref="P20" si="92">IF(O5="","",O20/O22)</f>
        <v/>
      </c>
      <c r="Q20" s="208" t="str">
        <f>IF(Q5="","",PROJECTIONS!V26)</f>
        <v/>
      </c>
      <c r="R20" s="213" t="str">
        <f t="shared" ref="R20" si="93">IF(Q5="","",Q20/Q22)</f>
        <v/>
      </c>
      <c r="S20" s="208" t="str">
        <f>IF(S5="","",PROJECTIONS!X26)</f>
        <v/>
      </c>
      <c r="T20" s="213" t="str">
        <f t="shared" ref="T20" si="94">IF(S5="","",S20/S22)</f>
        <v/>
      </c>
      <c r="U20" s="208" t="str">
        <f>IF(U5="","",PROJECTIONS!Z26)</f>
        <v/>
      </c>
      <c r="V20" s="213" t="str">
        <f t="shared" ref="V20" si="95">IF(U5="","",U20/U22)</f>
        <v/>
      </c>
      <c r="W20" s="208" t="str">
        <f>IF(W5="","",PROJECTIONS!AB26)</f>
        <v/>
      </c>
      <c r="X20" s="213" t="str">
        <f t="shared" ref="X20" si="96">IF(W5="","",W20/W22)</f>
        <v/>
      </c>
      <c r="Y20" s="5"/>
      <c r="Z20" s="5"/>
      <c r="AA20" s="5"/>
      <c r="AB20" s="5"/>
      <c r="AC20" s="5"/>
      <c r="AD20" s="5"/>
      <c r="AE20" s="5"/>
      <c r="AF20" s="5"/>
      <c r="AG20" s="5"/>
      <c r="AH20" s="5"/>
      <c r="AI20" s="5"/>
      <c r="AJ20" s="5"/>
      <c r="AK20" s="5"/>
      <c r="AL20" s="5"/>
      <c r="AM20" s="5"/>
      <c r="AN20" s="5"/>
      <c r="AO20" s="5"/>
      <c r="AP20" s="5"/>
      <c r="AQ20" s="5"/>
      <c r="AR20" s="5"/>
      <c r="AS20" s="5"/>
      <c r="AT20" s="5"/>
    </row>
    <row r="21" spans="2:46">
      <c r="B21" s="133" t="str">
        <f>'CLEAN P&amp;L'!B10</f>
        <v>Custom</v>
      </c>
      <c r="C21" s="208">
        <f>'CLEAN P&amp;L'!H10</f>
        <v>0</v>
      </c>
      <c r="D21" s="182" t="e">
        <f t="shared" si="69"/>
        <v>#DIV/0!</v>
      </c>
      <c r="E21" s="208">
        <f>IF(E5="","",PROJECTIONS!J29)</f>
        <v>0</v>
      </c>
      <c r="F21" s="213" t="e">
        <f>IF(E5="","",E21/E22)</f>
        <v>#DIV/0!</v>
      </c>
      <c r="G21" s="208" t="str">
        <f>IF(G5="","",PROJECTIONS!L29)</f>
        <v/>
      </c>
      <c r="H21" s="213" t="str">
        <f t="shared" ref="H21" si="97">IF(G5="","",G21/G22)</f>
        <v/>
      </c>
      <c r="I21" s="208" t="str">
        <f>IF(I5="","",PROJECTIONS!N29)</f>
        <v/>
      </c>
      <c r="J21" s="213" t="str">
        <f t="shared" ref="J21" si="98">IF(I5="","",I21/I22)</f>
        <v/>
      </c>
      <c r="K21" s="208" t="str">
        <f>IF(K5="","",PROJECTIONS!P29)</f>
        <v/>
      </c>
      <c r="L21" s="213" t="str">
        <f t="shared" ref="L21" si="99">IF(K5="","",K21/K22)</f>
        <v/>
      </c>
      <c r="M21" s="208" t="str">
        <f>IF(M5="","",PROJECTIONS!R29)</f>
        <v/>
      </c>
      <c r="N21" s="213" t="str">
        <f t="shared" ref="N21" si="100">IF(M5="","",M21/M22)</f>
        <v/>
      </c>
      <c r="O21" s="208" t="str">
        <f>IF(O5="","",PROJECTIONS!T29)</f>
        <v/>
      </c>
      <c r="P21" s="213" t="str">
        <f t="shared" ref="P21" si="101">IF(O5="","",O21/O22)</f>
        <v/>
      </c>
      <c r="Q21" s="208" t="str">
        <f>IF(Q5="","",PROJECTIONS!V29)</f>
        <v/>
      </c>
      <c r="R21" s="213" t="str">
        <f t="shared" ref="R21" si="102">IF(Q5="","",Q21/Q22)</f>
        <v/>
      </c>
      <c r="S21" s="208" t="str">
        <f>IF(S5="","",PROJECTIONS!X29)</f>
        <v/>
      </c>
      <c r="T21" s="213" t="str">
        <f t="shared" ref="T21" si="103">IF(S5="","",S21/S22)</f>
        <v/>
      </c>
      <c r="U21" s="208" t="str">
        <f>IF(U5="","",PROJECTIONS!Z29)</f>
        <v/>
      </c>
      <c r="V21" s="213" t="str">
        <f t="shared" ref="V21" si="104">IF(U5="","",U21/U22)</f>
        <v/>
      </c>
      <c r="W21" s="208" t="str">
        <f>IF(W5="","",PROJECTIONS!AB29)</f>
        <v/>
      </c>
      <c r="X21" s="213" t="str">
        <f t="shared" ref="X21" si="105">IF(W5="","",W21/W22)</f>
        <v/>
      </c>
      <c r="Y21" s="5"/>
      <c r="Z21" s="5"/>
      <c r="AA21" s="5"/>
      <c r="AB21" s="5"/>
      <c r="AC21" s="5"/>
      <c r="AD21" s="5"/>
      <c r="AE21" s="5"/>
      <c r="AF21" s="5"/>
      <c r="AG21" s="5"/>
      <c r="AH21" s="5"/>
      <c r="AI21" s="5"/>
      <c r="AJ21" s="5"/>
      <c r="AK21" s="5"/>
      <c r="AL21" s="5"/>
      <c r="AM21" s="5"/>
      <c r="AN21" s="5"/>
      <c r="AO21" s="5"/>
      <c r="AP21" s="5"/>
      <c r="AQ21" s="5"/>
      <c r="AR21" s="5"/>
      <c r="AS21" s="5"/>
      <c r="AT21" s="5"/>
    </row>
    <row r="22" spans="2:46" s="301" customFormat="1">
      <c r="B22" s="270" t="str">
        <f>'CLEAN P&amp;L'!B11</f>
        <v>TOTAL INCOME</v>
      </c>
      <c r="C22" s="271">
        <f>SUM(C17:C21)</f>
        <v>0</v>
      </c>
      <c r="D22" s="273" t="e">
        <f>C22/(C17+C19+C18+C20+C21)</f>
        <v>#DIV/0!</v>
      </c>
      <c r="E22" s="271">
        <f>IF(E5="","",SUM(E17:E21))</f>
        <v>0</v>
      </c>
      <c r="F22" s="674" t="e">
        <f>IF(E5="","",E22/(E17+E19+E18+E20+E21))</f>
        <v>#DIV/0!</v>
      </c>
      <c r="G22" s="271" t="str">
        <f t="shared" ref="G22" si="106">IF(G5="","",SUM(G17:G21))</f>
        <v/>
      </c>
      <c r="H22" s="674" t="str">
        <f t="shared" ref="H22" si="107">IF(G5="","",G22/(G17+G19+G18+G20+G21))</f>
        <v/>
      </c>
      <c r="I22" s="271" t="str">
        <f t="shared" ref="I22" si="108">IF(I5="","",SUM(I17:I21))</f>
        <v/>
      </c>
      <c r="J22" s="674" t="str">
        <f t="shared" ref="J22" si="109">IF(I5="","",I22/(I17+I19+I18+I20+I21))</f>
        <v/>
      </c>
      <c r="K22" s="271" t="str">
        <f t="shared" ref="K22" si="110">IF(K5="","",SUM(K17:K21))</f>
        <v/>
      </c>
      <c r="L22" s="674" t="str">
        <f t="shared" ref="L22" si="111">IF(K5="","",K22/(K17+K19+K18+K20+K21))</f>
        <v/>
      </c>
      <c r="M22" s="271" t="str">
        <f t="shared" ref="M22" si="112">IF(M5="","",SUM(M17:M21))</f>
        <v/>
      </c>
      <c r="N22" s="674" t="str">
        <f t="shared" ref="N22" si="113">IF(M5="","",M22/(M17+M19+M18+M20+M21))</f>
        <v/>
      </c>
      <c r="O22" s="271" t="str">
        <f t="shared" ref="O22" si="114">IF(O5="","",SUM(O17:O21))</f>
        <v/>
      </c>
      <c r="P22" s="674" t="str">
        <f t="shared" ref="P22" si="115">IF(O5="","",O22/(O17+O19+O18+O20+O21))</f>
        <v/>
      </c>
      <c r="Q22" s="271" t="str">
        <f t="shared" ref="Q22" si="116">IF(Q5="","",SUM(Q17:Q21))</f>
        <v/>
      </c>
      <c r="R22" s="674" t="str">
        <f t="shared" ref="R22" si="117">IF(Q5="","",Q22/(Q17+Q19+Q18+Q20+Q21))</f>
        <v/>
      </c>
      <c r="S22" s="271" t="str">
        <f t="shared" ref="S22" si="118">IF(S5="","",SUM(S17:S21))</f>
        <v/>
      </c>
      <c r="T22" s="674" t="str">
        <f t="shared" ref="T22" si="119">IF(S5="","",S22/(S17+S19+S18+S20+S21))</f>
        <v/>
      </c>
      <c r="U22" s="271" t="str">
        <f t="shared" ref="U22" si="120">IF(U5="","",SUM(U17:U21))</f>
        <v/>
      </c>
      <c r="V22" s="674" t="str">
        <f t="shared" ref="V22" si="121">IF(U5="","",U22/(U17+U19+U18+U20+U21))</f>
        <v/>
      </c>
      <c r="W22" s="271" t="str">
        <f t="shared" ref="W22" si="122">IF(W5="","",SUM(W17:W21))</f>
        <v/>
      </c>
      <c r="X22" s="674" t="str">
        <f t="shared" ref="X22" si="123">IF(W5="","",W22/(W17+W19+W18+W20+W21))</f>
        <v/>
      </c>
      <c r="Y22" s="673"/>
      <c r="Z22" s="673"/>
      <c r="AA22" s="673"/>
      <c r="AB22" s="673"/>
      <c r="AC22" s="673"/>
      <c r="AD22" s="673"/>
      <c r="AE22" s="673"/>
      <c r="AF22" s="673"/>
      <c r="AG22" s="673"/>
      <c r="AH22" s="673"/>
      <c r="AI22" s="673"/>
      <c r="AJ22" s="673"/>
      <c r="AK22" s="673"/>
      <c r="AL22" s="673"/>
      <c r="AM22" s="673"/>
      <c r="AN22" s="673"/>
      <c r="AO22" s="673"/>
      <c r="AP22" s="673"/>
      <c r="AQ22" s="673"/>
      <c r="AR22" s="673"/>
      <c r="AS22" s="673"/>
      <c r="AT22" s="673"/>
    </row>
    <row r="23" spans="2:46">
      <c r="B23" s="14"/>
      <c r="C23" s="208"/>
      <c r="D23" s="210"/>
      <c r="E23" s="208"/>
      <c r="F23" s="214"/>
      <c r="G23" s="208"/>
      <c r="H23" s="214"/>
      <c r="I23" s="208"/>
      <c r="J23" s="214"/>
      <c r="K23" s="208"/>
      <c r="L23" s="214"/>
      <c r="M23" s="208"/>
      <c r="N23" s="214"/>
      <c r="O23" s="208"/>
      <c r="P23" s="214"/>
      <c r="Q23" s="208"/>
      <c r="R23" s="214"/>
      <c r="S23" s="208"/>
      <c r="T23" s="214"/>
      <c r="U23" s="208"/>
      <c r="V23" s="214"/>
      <c r="W23" s="208"/>
      <c r="X23" s="214"/>
      <c r="Y23" s="5"/>
      <c r="Z23" s="5"/>
      <c r="AA23" s="5"/>
      <c r="AB23" s="5"/>
      <c r="AC23" s="5"/>
      <c r="AD23" s="5"/>
      <c r="AE23" s="5"/>
      <c r="AF23" s="5"/>
      <c r="AG23" s="5"/>
      <c r="AH23" s="5"/>
      <c r="AI23" s="5"/>
      <c r="AJ23" s="5"/>
      <c r="AK23" s="5"/>
      <c r="AL23" s="5"/>
      <c r="AM23" s="5"/>
      <c r="AN23" s="5"/>
      <c r="AO23" s="5"/>
      <c r="AP23" s="5"/>
      <c r="AQ23" s="5"/>
      <c r="AR23" s="5"/>
      <c r="AS23" s="5"/>
      <c r="AT23" s="5"/>
    </row>
    <row r="24" spans="2:46">
      <c r="B24" s="157" t="str">
        <f>'CLEAN P&amp;L'!B13</f>
        <v>EXPENSES</v>
      </c>
      <c r="C24" s="208"/>
      <c r="D24" s="210"/>
      <c r="E24" s="208"/>
      <c r="F24" s="214"/>
      <c r="G24" s="208"/>
      <c r="H24" s="214"/>
      <c r="I24" s="208"/>
      <c r="J24" s="214"/>
      <c r="K24" s="208"/>
      <c r="L24" s="214"/>
      <c r="M24" s="208"/>
      <c r="N24" s="214"/>
      <c r="O24" s="208"/>
      <c r="P24" s="214"/>
      <c r="Q24" s="208"/>
      <c r="R24" s="214"/>
      <c r="S24" s="208"/>
      <c r="T24" s="214"/>
      <c r="U24" s="208"/>
      <c r="V24" s="214"/>
      <c r="W24" s="208"/>
      <c r="X24" s="214"/>
      <c r="Y24" s="5"/>
      <c r="Z24" s="5"/>
      <c r="AA24" s="5"/>
      <c r="AB24" s="5"/>
      <c r="AC24" s="5"/>
      <c r="AD24" s="5"/>
      <c r="AE24" s="5"/>
      <c r="AF24" s="5"/>
      <c r="AG24" s="5"/>
      <c r="AH24" s="5"/>
      <c r="AI24" s="5"/>
      <c r="AJ24" s="5"/>
      <c r="AK24" s="5"/>
      <c r="AL24" s="5"/>
      <c r="AM24" s="5"/>
      <c r="AN24" s="5"/>
      <c r="AO24" s="5"/>
      <c r="AP24" s="5"/>
      <c r="AQ24" s="5"/>
      <c r="AR24" s="5"/>
      <c r="AS24" s="5"/>
      <c r="AT24" s="5"/>
    </row>
    <row r="25" spans="2:46">
      <c r="B25" s="200" t="str">
        <f>'CLEAN P&amp;L'!B14</f>
        <v>Departmental Expenses</v>
      </c>
      <c r="C25" s="208"/>
      <c r="D25" s="210"/>
      <c r="E25" s="208"/>
      <c r="F25" s="214"/>
      <c r="G25" s="208"/>
      <c r="H25" s="214"/>
      <c r="I25" s="208"/>
      <c r="J25" s="214"/>
      <c r="K25" s="208"/>
      <c r="L25" s="214"/>
      <c r="M25" s="208"/>
      <c r="N25" s="214"/>
      <c r="O25" s="208"/>
      <c r="P25" s="214"/>
      <c r="Q25" s="208"/>
      <c r="R25" s="214"/>
      <c r="S25" s="208"/>
      <c r="T25" s="214"/>
      <c r="U25" s="208"/>
      <c r="V25" s="214"/>
      <c r="W25" s="208"/>
      <c r="X25" s="214"/>
      <c r="Y25" s="5"/>
      <c r="Z25" s="5"/>
      <c r="AA25" s="5"/>
      <c r="AB25" s="5"/>
      <c r="AC25" s="5"/>
      <c r="AD25" s="5"/>
      <c r="AE25" s="5"/>
      <c r="AF25" s="5"/>
      <c r="AG25" s="5"/>
      <c r="AH25" s="5"/>
      <c r="AI25" s="5"/>
      <c r="AJ25" s="5"/>
      <c r="AK25" s="5"/>
      <c r="AL25" s="5"/>
      <c r="AM25" s="5"/>
      <c r="AN25" s="5"/>
      <c r="AO25" s="5"/>
      <c r="AP25" s="5"/>
      <c r="AQ25" s="5"/>
      <c r="AR25" s="5"/>
      <c r="AS25" s="5"/>
      <c r="AT25" s="5"/>
    </row>
    <row r="26" spans="2:46">
      <c r="B26" s="133" t="str">
        <f>'CLEAN P&amp;L'!B15</f>
        <v>Rooms</v>
      </c>
      <c r="C26" s="208">
        <f>'CLEAN P&amp;L'!H15</f>
        <v>0</v>
      </c>
      <c r="D26" s="182" t="e">
        <f>C26/C17</f>
        <v>#DIV/0!</v>
      </c>
      <c r="E26" s="208">
        <f>IF(E5="","",PROJECTIONS!J33)</f>
        <v>0</v>
      </c>
      <c r="F26" s="213" t="e">
        <f>IF(E5="","",E26/E17)</f>
        <v>#DIV/0!</v>
      </c>
      <c r="G26" s="208" t="str">
        <f>IF(G5="","",PROJECTIONS!L33)</f>
        <v/>
      </c>
      <c r="H26" s="213" t="str">
        <f t="shared" ref="H26" si="124">IF(G5="","",G26/G17)</f>
        <v/>
      </c>
      <c r="I26" s="208" t="str">
        <f>IF(I5="","",PROJECTIONS!N33)</f>
        <v/>
      </c>
      <c r="J26" s="213" t="str">
        <f t="shared" ref="J26" si="125">IF(I5="","",I26/I17)</f>
        <v/>
      </c>
      <c r="K26" s="208" t="str">
        <f>IF(K5="","",PROJECTIONS!P33)</f>
        <v/>
      </c>
      <c r="L26" s="213" t="str">
        <f t="shared" ref="L26" si="126">IF(K5="","",K26/K17)</f>
        <v/>
      </c>
      <c r="M26" s="208" t="str">
        <f>IF(M5="","",PROJECTIONS!R33)</f>
        <v/>
      </c>
      <c r="N26" s="213" t="str">
        <f t="shared" ref="N26" si="127">IF(M5="","",M26/M17)</f>
        <v/>
      </c>
      <c r="O26" s="208" t="str">
        <f>IF(O5="","",PROJECTIONS!T33)</f>
        <v/>
      </c>
      <c r="P26" s="213" t="str">
        <f t="shared" ref="P26" si="128">IF(O5="","",O26/O17)</f>
        <v/>
      </c>
      <c r="Q26" s="208" t="str">
        <f>IF(Q5="","",PROJECTIONS!V33)</f>
        <v/>
      </c>
      <c r="R26" s="213" t="str">
        <f t="shared" ref="R26" si="129">IF(Q5="","",Q26/Q17)</f>
        <v/>
      </c>
      <c r="S26" s="208" t="str">
        <f>IF(S5="","",PROJECTIONS!X33)</f>
        <v/>
      </c>
      <c r="T26" s="213" t="str">
        <f t="shared" ref="T26" si="130">IF(S5="","",S26/S17)</f>
        <v/>
      </c>
      <c r="U26" s="208" t="str">
        <f>IF(U5="","",PROJECTIONS!Z33)</f>
        <v/>
      </c>
      <c r="V26" s="213" t="str">
        <f t="shared" ref="V26" si="131">IF(U5="","",U26/U17)</f>
        <v/>
      </c>
      <c r="W26" s="208" t="str">
        <f>IF(W5="","",PROJECTIONS!AB33)</f>
        <v/>
      </c>
      <c r="X26" s="213" t="str">
        <f t="shared" ref="X26" si="132">IF(W5="","",W26/W17)</f>
        <v/>
      </c>
      <c r="Y26" s="5"/>
      <c r="Z26" s="5"/>
      <c r="AA26" s="5"/>
      <c r="AB26" s="5"/>
      <c r="AC26" s="5"/>
      <c r="AD26" s="5"/>
      <c r="AE26" s="5"/>
      <c r="AF26" s="5"/>
      <c r="AG26" s="5"/>
      <c r="AH26" s="5"/>
      <c r="AI26" s="5"/>
      <c r="AJ26" s="5"/>
      <c r="AK26" s="5"/>
      <c r="AL26" s="5"/>
      <c r="AM26" s="5"/>
      <c r="AN26" s="5"/>
      <c r="AO26" s="5"/>
      <c r="AP26" s="5"/>
      <c r="AQ26" s="5"/>
      <c r="AR26" s="5"/>
      <c r="AS26" s="5"/>
      <c r="AT26" s="5"/>
    </row>
    <row r="27" spans="2:46">
      <c r="B27" s="133" t="str">
        <f>'CLEAN P&amp;L'!B16</f>
        <v>Food &amp; Beverage</v>
      </c>
      <c r="C27" s="208">
        <f>'CLEAN P&amp;L'!H16</f>
        <v>0</v>
      </c>
      <c r="D27" s="182">
        <f>IFERROR(C27/C18,0)</f>
        <v>0</v>
      </c>
      <c r="E27" s="208">
        <f>IF(E5="","",PROJECTIONS!J36)</f>
        <v>0</v>
      </c>
      <c r="F27" s="213" t="e">
        <f>IF(E5="","",E27/E18)</f>
        <v>#DIV/0!</v>
      </c>
      <c r="G27" s="208" t="str">
        <f>IF(G5="","",PROJECTIONS!L36)</f>
        <v/>
      </c>
      <c r="H27" s="213" t="str">
        <f t="shared" ref="H27" si="133">IF(G5="","",G27/G18)</f>
        <v/>
      </c>
      <c r="I27" s="208" t="str">
        <f>IF(I5="","",PROJECTIONS!N36)</f>
        <v/>
      </c>
      <c r="J27" s="213" t="str">
        <f t="shared" ref="J27" si="134">IF(I5="","",I27/I18)</f>
        <v/>
      </c>
      <c r="K27" s="208" t="str">
        <f>IF(K5="","",PROJECTIONS!P36)</f>
        <v/>
      </c>
      <c r="L27" s="213" t="str">
        <f t="shared" ref="L27" si="135">IF(K5="","",K27/K18)</f>
        <v/>
      </c>
      <c r="M27" s="208" t="str">
        <f>IF(M5="","",PROJECTIONS!R36)</f>
        <v/>
      </c>
      <c r="N27" s="213" t="str">
        <f t="shared" ref="N27" si="136">IF(M5="","",M27/M18)</f>
        <v/>
      </c>
      <c r="O27" s="208" t="str">
        <f>IF(O5="","",PROJECTIONS!T36)</f>
        <v/>
      </c>
      <c r="P27" s="213" t="str">
        <f t="shared" ref="P27" si="137">IF(O5="","",O27/O18)</f>
        <v/>
      </c>
      <c r="Q27" s="208" t="str">
        <f>IF(Q5="","",PROJECTIONS!V36)</f>
        <v/>
      </c>
      <c r="R27" s="213" t="str">
        <f t="shared" ref="R27" si="138">IF(Q5="","",Q27/Q18)</f>
        <v/>
      </c>
      <c r="S27" s="208" t="str">
        <f>IF(S5="","",PROJECTIONS!X36)</f>
        <v/>
      </c>
      <c r="T27" s="213" t="str">
        <f t="shared" ref="T27" si="139">IF(S5="","",S27/S18)</f>
        <v/>
      </c>
      <c r="U27" s="208" t="str">
        <f>IF(U5="","",PROJECTIONS!Z36)</f>
        <v/>
      </c>
      <c r="V27" s="213" t="str">
        <f t="shared" ref="V27" si="140">IF(U5="","",U27/U18)</f>
        <v/>
      </c>
      <c r="W27" s="208" t="str">
        <f>IF(W5="","",PROJECTIONS!AB36)</f>
        <v/>
      </c>
      <c r="X27" s="213" t="str">
        <f t="shared" ref="X27" si="141">IF(W5="","",W27/W18)</f>
        <v/>
      </c>
      <c r="Y27" s="5"/>
      <c r="Z27" s="5"/>
      <c r="AA27" s="5"/>
      <c r="AB27" s="5"/>
      <c r="AC27" s="5"/>
      <c r="AD27" s="5"/>
      <c r="AE27" s="5"/>
      <c r="AF27" s="5"/>
      <c r="AG27" s="5"/>
      <c r="AH27" s="5"/>
      <c r="AI27" s="5"/>
      <c r="AJ27" s="5"/>
      <c r="AK27" s="5"/>
      <c r="AL27" s="5"/>
      <c r="AM27" s="5"/>
      <c r="AN27" s="5"/>
      <c r="AO27" s="5"/>
      <c r="AP27" s="5"/>
      <c r="AQ27" s="5"/>
      <c r="AR27" s="5"/>
      <c r="AS27" s="5"/>
      <c r="AT27" s="5"/>
    </row>
    <row r="28" spans="2:46">
      <c r="B28" s="133" t="str">
        <f>'CLEAN P&amp;L'!B17</f>
        <v>Custom</v>
      </c>
      <c r="C28" s="208">
        <f>'CLEAN P&amp;L'!H17</f>
        <v>0</v>
      </c>
      <c r="D28" s="182">
        <f>IFERROR(C28/C21,0)</f>
        <v>0</v>
      </c>
      <c r="E28" s="208">
        <f>IF(E5="","",PROJECTIONS!J39)</f>
        <v>0</v>
      </c>
      <c r="F28" s="213">
        <f>IF(E5="","",IFERROR(E28/E21,0))</f>
        <v>0</v>
      </c>
      <c r="G28" s="208" t="str">
        <f>IF(G5="","",PROJECTIONS!L39)</f>
        <v/>
      </c>
      <c r="H28" s="213" t="str">
        <f>IF(G5="","",IFERROR(G28/G21,0))</f>
        <v/>
      </c>
      <c r="I28" s="208" t="str">
        <f>IF(I5="","",PROJECTIONS!N39)</f>
        <v/>
      </c>
      <c r="J28" s="213" t="str">
        <f>IF(I5="","",IFERROR(I28/I21,0))</f>
        <v/>
      </c>
      <c r="K28" s="208" t="str">
        <f>IF(K5="","",PROJECTIONS!P39)</f>
        <v/>
      </c>
      <c r="L28" s="213" t="str">
        <f>IF(K5="","",IFERROR(K28/K21,0))</f>
        <v/>
      </c>
      <c r="M28" s="208" t="str">
        <f>IF(M5="","",PROJECTIONS!R39)</f>
        <v/>
      </c>
      <c r="N28" s="213" t="str">
        <f>IF(M5="","",IFERROR(M28/M21,0))</f>
        <v/>
      </c>
      <c r="O28" s="208" t="str">
        <f>IF(O5="","",PROJECTIONS!T39)</f>
        <v/>
      </c>
      <c r="P28" s="213" t="str">
        <f>IF(O5="","",IFERROR(O28/O21,0))</f>
        <v/>
      </c>
      <c r="Q28" s="208" t="str">
        <f>IF(Q5="","",PROJECTIONS!V39)</f>
        <v/>
      </c>
      <c r="R28" s="213" t="str">
        <f>IF(Q5="","",IFERROR(Q28/Q21,0))</f>
        <v/>
      </c>
      <c r="S28" s="208" t="str">
        <f>IF(S5="","",PROJECTIONS!X39)</f>
        <v/>
      </c>
      <c r="T28" s="213" t="str">
        <f>IF(S5="","",IFERROR(S28/S21,0))</f>
        <v/>
      </c>
      <c r="U28" s="208" t="str">
        <f>IF(U5="","",PROJECTIONS!Z39)</f>
        <v/>
      </c>
      <c r="V28" s="213" t="str">
        <f>IF(U5="","",IFERROR(U28/U21,0))</f>
        <v/>
      </c>
      <c r="W28" s="208" t="str">
        <f>IF(W5="","",PROJECTIONS!AB39)</f>
        <v/>
      </c>
      <c r="X28" s="213" t="str">
        <f>IF(W5="","",IFERROR(W28/W21,0))</f>
        <v/>
      </c>
      <c r="Y28" s="5"/>
      <c r="Z28" s="5"/>
      <c r="AA28" s="5"/>
      <c r="AB28" s="5"/>
      <c r="AC28" s="5"/>
      <c r="AD28" s="5"/>
      <c r="AE28" s="5"/>
      <c r="AF28" s="5"/>
      <c r="AG28" s="5"/>
      <c r="AH28" s="5"/>
      <c r="AI28" s="5"/>
      <c r="AJ28" s="5"/>
      <c r="AK28" s="5"/>
      <c r="AL28" s="5"/>
      <c r="AM28" s="5"/>
      <c r="AN28" s="5"/>
      <c r="AO28" s="5"/>
      <c r="AP28" s="5"/>
      <c r="AQ28" s="5"/>
      <c r="AR28" s="5"/>
      <c r="AS28" s="5"/>
      <c r="AT28" s="5"/>
    </row>
    <row r="29" spans="2:46">
      <c r="B29" s="133" t="str">
        <f>'CLEAN P&amp;L'!B18</f>
        <v>Payroll</v>
      </c>
      <c r="C29" s="208">
        <f>'CLEAN P&amp;L'!H18</f>
        <v>0</v>
      </c>
      <c r="D29" s="182" t="e">
        <f>C29/$C$22</f>
        <v>#DIV/0!</v>
      </c>
      <c r="E29" s="208">
        <f>IF(E5="","",PROJECTIONS!J42)</f>
        <v>0</v>
      </c>
      <c r="F29" s="213" t="e">
        <f>IF(E5="","",E29/E22)</f>
        <v>#DIV/0!</v>
      </c>
      <c r="G29" s="208" t="str">
        <f>IF(G5="","",PROJECTIONS!L42)</f>
        <v/>
      </c>
      <c r="H29" s="213" t="str">
        <f t="shared" ref="H29" si="142">IF(G5="","",G29/G22)</f>
        <v/>
      </c>
      <c r="I29" s="208" t="str">
        <f>IF(I5="","",PROJECTIONS!N42)</f>
        <v/>
      </c>
      <c r="J29" s="213" t="str">
        <f t="shared" ref="J29" si="143">IF(I5="","",I29/I22)</f>
        <v/>
      </c>
      <c r="K29" s="208" t="str">
        <f>IF(K5="","",PROJECTIONS!P42)</f>
        <v/>
      </c>
      <c r="L29" s="213" t="str">
        <f t="shared" ref="L29" si="144">IF(K5="","",K29/K22)</f>
        <v/>
      </c>
      <c r="M29" s="208" t="str">
        <f>IF(M5="","",PROJECTIONS!R42)</f>
        <v/>
      </c>
      <c r="N29" s="213" t="str">
        <f t="shared" ref="N29" si="145">IF(M5="","",M29/M22)</f>
        <v/>
      </c>
      <c r="O29" s="208" t="str">
        <f>IF(O5="","",PROJECTIONS!T42)</f>
        <v/>
      </c>
      <c r="P29" s="213" t="str">
        <f t="shared" ref="P29" si="146">IF(O5="","",O29/O22)</f>
        <v/>
      </c>
      <c r="Q29" s="208" t="str">
        <f>IF(Q5="","",PROJECTIONS!V42)</f>
        <v/>
      </c>
      <c r="R29" s="213" t="str">
        <f t="shared" ref="R29" si="147">IF(Q5="","",Q29/Q22)</f>
        <v/>
      </c>
      <c r="S29" s="208" t="str">
        <f>IF(S5="","",PROJECTIONS!X42)</f>
        <v/>
      </c>
      <c r="T29" s="213" t="str">
        <f t="shared" ref="T29" si="148">IF(S5="","",S29/S22)</f>
        <v/>
      </c>
      <c r="U29" s="208" t="str">
        <f>IF(U5="","",PROJECTIONS!Z42)</f>
        <v/>
      </c>
      <c r="V29" s="213" t="str">
        <f t="shared" ref="V29" si="149">IF(U5="","",U29/U22)</f>
        <v/>
      </c>
      <c r="W29" s="208" t="str">
        <f>IF(W5="","",PROJECTIONS!AB42)</f>
        <v/>
      </c>
      <c r="X29" s="213" t="str">
        <f t="shared" ref="X29" si="150">IF(W5="","",W29/W22)</f>
        <v/>
      </c>
      <c r="Y29" s="5"/>
      <c r="Z29" s="5"/>
      <c r="AA29" s="5"/>
      <c r="AB29" s="5"/>
      <c r="AC29" s="5"/>
      <c r="AD29" s="5"/>
      <c r="AE29" s="5"/>
      <c r="AF29" s="5"/>
      <c r="AG29" s="5"/>
      <c r="AH29" s="5"/>
      <c r="AI29" s="5"/>
      <c r="AJ29" s="5"/>
      <c r="AK29" s="5"/>
      <c r="AL29" s="5"/>
      <c r="AM29" s="5"/>
      <c r="AN29" s="5"/>
      <c r="AO29" s="5"/>
      <c r="AP29" s="5"/>
      <c r="AQ29" s="5"/>
      <c r="AR29" s="5"/>
      <c r="AS29" s="5"/>
      <c r="AT29" s="5"/>
    </row>
    <row r="30" spans="2:46">
      <c r="B30" s="121" t="str">
        <f>'CLEAN P&amp;L'!B19</f>
        <v>Total Dept Expenses</v>
      </c>
      <c r="C30" s="266">
        <f>SUM(C26:C29)</f>
        <v>0</v>
      </c>
      <c r="D30" s="211" t="e">
        <f>C30/C22</f>
        <v>#DIV/0!</v>
      </c>
      <c r="E30" s="266">
        <f>IF(E5="","",SUM(E26:E29))</f>
        <v>0</v>
      </c>
      <c r="F30" s="181" t="e">
        <f>IF(E5="","",E30/E22)</f>
        <v>#DIV/0!</v>
      </c>
      <c r="G30" s="266" t="str">
        <f t="shared" ref="G30" si="151">IF(G5="","",SUM(G26:G29))</f>
        <v/>
      </c>
      <c r="H30" s="181" t="str">
        <f t="shared" ref="H30" si="152">IF(G5="","",G30/G22)</f>
        <v/>
      </c>
      <c r="I30" s="266" t="str">
        <f t="shared" ref="I30" si="153">IF(I5="","",SUM(I26:I29))</f>
        <v/>
      </c>
      <c r="J30" s="181" t="str">
        <f t="shared" ref="J30" si="154">IF(I5="","",I30/I22)</f>
        <v/>
      </c>
      <c r="K30" s="266" t="str">
        <f t="shared" ref="K30" si="155">IF(K5="","",SUM(K26:K29))</f>
        <v/>
      </c>
      <c r="L30" s="181" t="str">
        <f t="shared" ref="L30" si="156">IF(K5="","",K30/K22)</f>
        <v/>
      </c>
      <c r="M30" s="266" t="str">
        <f t="shared" ref="M30" si="157">IF(M5="","",SUM(M26:M29))</f>
        <v/>
      </c>
      <c r="N30" s="181" t="str">
        <f t="shared" ref="N30" si="158">IF(M5="","",M30/M22)</f>
        <v/>
      </c>
      <c r="O30" s="266" t="str">
        <f t="shared" ref="O30" si="159">IF(O5="","",SUM(O26:O29))</f>
        <v/>
      </c>
      <c r="P30" s="181" t="str">
        <f t="shared" ref="P30" si="160">IF(O5="","",O30/O22)</f>
        <v/>
      </c>
      <c r="Q30" s="266" t="str">
        <f t="shared" ref="Q30" si="161">IF(Q5="","",SUM(Q26:Q29))</f>
        <v/>
      </c>
      <c r="R30" s="181" t="str">
        <f t="shared" ref="R30" si="162">IF(Q5="","",Q30/Q22)</f>
        <v/>
      </c>
      <c r="S30" s="266" t="str">
        <f t="shared" ref="S30" si="163">IF(S5="","",SUM(S26:S29))</f>
        <v/>
      </c>
      <c r="T30" s="181" t="str">
        <f t="shared" ref="T30" si="164">IF(S5="","",S30/S22)</f>
        <v/>
      </c>
      <c r="U30" s="266" t="str">
        <f t="shared" ref="U30" si="165">IF(U5="","",SUM(U26:U29))</f>
        <v/>
      </c>
      <c r="V30" s="181" t="str">
        <f t="shared" ref="V30" si="166">IF(U5="","",U30/U22)</f>
        <v/>
      </c>
      <c r="W30" s="266" t="str">
        <f t="shared" ref="W30" si="167">IF(W5="","",SUM(W26:W29))</f>
        <v/>
      </c>
      <c r="X30" s="181" t="str">
        <f t="shared" ref="X30" si="168">IF(W5="","",W30/W22)</f>
        <v/>
      </c>
      <c r="Y30" s="5"/>
      <c r="Z30" s="5"/>
      <c r="AA30" s="5"/>
      <c r="AB30" s="5"/>
      <c r="AC30" s="5"/>
      <c r="AD30" s="5"/>
      <c r="AE30" s="5"/>
      <c r="AF30" s="5"/>
      <c r="AG30" s="5"/>
      <c r="AH30" s="5"/>
      <c r="AI30" s="5"/>
      <c r="AJ30" s="5"/>
      <c r="AK30" s="5"/>
      <c r="AL30" s="5"/>
      <c r="AM30" s="5"/>
      <c r="AN30" s="5"/>
      <c r="AO30" s="5"/>
      <c r="AP30" s="5"/>
      <c r="AQ30" s="5"/>
      <c r="AR30" s="5"/>
      <c r="AS30" s="5"/>
      <c r="AT30" s="5"/>
    </row>
    <row r="31" spans="2:46" s="301" customFormat="1" ht="17" thickBot="1">
      <c r="B31" s="270" t="str">
        <f>'CLEAN P&amp;L'!B20</f>
        <v>Total Departmental Profit</v>
      </c>
      <c r="C31" s="344">
        <f>C22-C30</f>
        <v>0</v>
      </c>
      <c r="D31" s="273" t="e">
        <f>C31/C22</f>
        <v>#DIV/0!</v>
      </c>
      <c r="E31" s="344">
        <f>IF(E5="","",E22-E30)</f>
        <v>0</v>
      </c>
      <c r="F31" s="272" t="e">
        <f>IF(E5="","",E31/E22)</f>
        <v>#DIV/0!</v>
      </c>
      <c r="G31" s="344" t="str">
        <f t="shared" ref="G31" si="169">IF(G5="","",G22-G30)</f>
        <v/>
      </c>
      <c r="H31" s="272" t="str">
        <f t="shared" ref="H31" si="170">IF(G5="","",G31/G22)</f>
        <v/>
      </c>
      <c r="I31" s="344" t="str">
        <f t="shared" ref="I31" si="171">IF(I5="","",I22-I30)</f>
        <v/>
      </c>
      <c r="J31" s="272" t="str">
        <f t="shared" ref="J31" si="172">IF(I5="","",I31/I22)</f>
        <v/>
      </c>
      <c r="K31" s="344" t="str">
        <f t="shared" ref="K31" si="173">IF(K5="","",K22-K30)</f>
        <v/>
      </c>
      <c r="L31" s="272" t="str">
        <f t="shared" ref="L31" si="174">IF(K5="","",K31/K22)</f>
        <v/>
      </c>
      <c r="M31" s="344" t="str">
        <f t="shared" ref="M31" si="175">IF(M5="","",M22-M30)</f>
        <v/>
      </c>
      <c r="N31" s="272" t="str">
        <f t="shared" ref="N31" si="176">IF(M5="","",M31/M22)</f>
        <v/>
      </c>
      <c r="O31" s="344" t="str">
        <f t="shared" ref="O31" si="177">IF(O5="","",O22-O30)</f>
        <v/>
      </c>
      <c r="P31" s="272" t="str">
        <f t="shared" ref="P31" si="178">IF(O5="","",O31/O22)</f>
        <v/>
      </c>
      <c r="Q31" s="344" t="str">
        <f t="shared" ref="Q31" si="179">IF(Q5="","",Q22-Q30)</f>
        <v/>
      </c>
      <c r="R31" s="272" t="str">
        <f t="shared" ref="R31" si="180">IF(Q5="","",Q31/Q22)</f>
        <v/>
      </c>
      <c r="S31" s="344" t="str">
        <f t="shared" ref="S31" si="181">IF(S5="","",S22-S30)</f>
        <v/>
      </c>
      <c r="T31" s="272" t="str">
        <f t="shared" ref="T31" si="182">IF(S5="","",S31/S22)</f>
        <v/>
      </c>
      <c r="U31" s="344" t="str">
        <f t="shared" ref="U31" si="183">IF(U5="","",U22-U30)</f>
        <v/>
      </c>
      <c r="V31" s="272" t="str">
        <f t="shared" ref="V31" si="184">IF(U5="","",U31/U22)</f>
        <v/>
      </c>
      <c r="W31" s="344" t="str">
        <f t="shared" ref="W31" si="185">IF(W5="","",W22-W30)</f>
        <v/>
      </c>
      <c r="X31" s="272" t="str">
        <f t="shared" ref="X31" si="186">IF(W5="","",W31/W22)</f>
        <v/>
      </c>
      <c r="Y31" s="673"/>
      <c r="Z31" s="673"/>
      <c r="AA31" s="673"/>
      <c r="AB31" s="673"/>
      <c r="AC31" s="673"/>
      <c r="AD31" s="673"/>
      <c r="AE31" s="673"/>
      <c r="AF31" s="673"/>
      <c r="AG31" s="673"/>
      <c r="AH31" s="673"/>
      <c r="AI31" s="673"/>
      <c r="AJ31" s="673"/>
      <c r="AK31" s="673"/>
      <c r="AL31" s="673"/>
      <c r="AM31" s="673"/>
      <c r="AN31" s="673"/>
      <c r="AO31" s="673"/>
      <c r="AP31" s="673"/>
      <c r="AQ31" s="673"/>
      <c r="AR31" s="673"/>
      <c r="AS31" s="673"/>
      <c r="AT31" s="673"/>
    </row>
    <row r="32" spans="2:46" ht="17" customHeight="1">
      <c r="B32" s="121"/>
      <c r="C32" s="266"/>
      <c r="D32" s="269"/>
      <c r="E32" s="266"/>
      <c r="F32" s="268"/>
      <c r="G32" s="266"/>
      <c r="H32" s="268"/>
      <c r="I32" s="266"/>
      <c r="J32" s="268"/>
      <c r="K32" s="266"/>
      <c r="L32" s="268"/>
      <c r="M32" s="266"/>
      <c r="N32" s="268"/>
      <c r="O32" s="266"/>
      <c r="P32" s="268"/>
      <c r="Q32" s="266"/>
      <c r="R32" s="268"/>
      <c r="S32" s="266"/>
      <c r="T32" s="268"/>
      <c r="U32" s="266"/>
      <c r="V32" s="268"/>
      <c r="W32" s="266"/>
      <c r="X32" s="268"/>
      <c r="Y32" s="5"/>
      <c r="Z32" s="5"/>
      <c r="AA32" s="5"/>
      <c r="AB32" s="5"/>
      <c r="AC32" s="5"/>
      <c r="AD32" s="5"/>
      <c r="AE32" s="5"/>
      <c r="AF32" s="5"/>
      <c r="AG32" s="5"/>
      <c r="AH32" s="5"/>
      <c r="AI32" s="5"/>
      <c r="AJ32" s="5"/>
      <c r="AK32" s="5"/>
      <c r="AL32" s="5"/>
      <c r="AM32" s="5"/>
      <c r="AN32" s="5"/>
      <c r="AO32" s="5"/>
      <c r="AP32" s="5"/>
      <c r="AQ32" s="5"/>
      <c r="AR32" s="5"/>
      <c r="AS32" s="5"/>
      <c r="AT32" s="5"/>
    </row>
    <row r="33" spans="2:46">
      <c r="B33" s="121" t="str">
        <f>'CLEAN P&amp;L'!B22</f>
        <v>Undistributed Expenses</v>
      </c>
      <c r="C33" s="208"/>
      <c r="D33" s="182"/>
      <c r="E33" s="208"/>
      <c r="F33" s="213"/>
      <c r="G33" s="208"/>
      <c r="H33" s="213"/>
      <c r="I33" s="208"/>
      <c r="J33" s="213"/>
      <c r="K33" s="208"/>
      <c r="L33" s="213"/>
      <c r="M33" s="208"/>
      <c r="N33" s="213"/>
      <c r="O33" s="208"/>
      <c r="P33" s="213"/>
      <c r="Q33" s="208"/>
      <c r="R33" s="213"/>
      <c r="S33" s="208"/>
      <c r="T33" s="213"/>
      <c r="U33" s="208"/>
      <c r="V33" s="213"/>
      <c r="W33" s="208"/>
      <c r="X33" s="213"/>
      <c r="Y33" s="5"/>
      <c r="Z33" s="5"/>
      <c r="AA33" s="5"/>
      <c r="AB33" s="5"/>
      <c r="AC33" s="5"/>
      <c r="AD33" s="5"/>
      <c r="AE33" s="5"/>
      <c r="AF33" s="5"/>
      <c r="AG33" s="5"/>
      <c r="AH33" s="5"/>
      <c r="AI33" s="5"/>
      <c r="AJ33" s="5"/>
      <c r="AK33" s="5"/>
      <c r="AL33" s="5"/>
      <c r="AM33" s="5"/>
      <c r="AN33" s="5"/>
      <c r="AO33" s="5"/>
      <c r="AP33" s="5"/>
      <c r="AQ33" s="5"/>
      <c r="AR33" s="5"/>
      <c r="AS33" s="5"/>
      <c r="AT33" s="5"/>
    </row>
    <row r="34" spans="2:46">
      <c r="B34" s="133" t="str">
        <f>'CLEAN P&amp;L'!B23</f>
        <v>Administrative &amp; General</v>
      </c>
      <c r="C34" s="208">
        <f>'CLEAN P&amp;L'!H23</f>
        <v>0</v>
      </c>
      <c r="D34" s="182" t="e">
        <f>C34/$C$22</f>
        <v>#DIV/0!</v>
      </c>
      <c r="E34" s="208">
        <f>IF(E5="","",PROJECTIONS!J46)</f>
        <v>0</v>
      </c>
      <c r="F34" s="213" t="e">
        <f>IF(E5="","",E34/E$22)</f>
        <v>#DIV/0!</v>
      </c>
      <c r="G34" s="208" t="str">
        <f>IF(G5="","",PROJECTIONS!L46)</f>
        <v/>
      </c>
      <c r="H34" s="213" t="str">
        <f t="shared" ref="H34" si="187">IF(G5="","",G34/G$22)</f>
        <v/>
      </c>
      <c r="I34" s="208" t="str">
        <f>IF(I5="","",PROJECTIONS!N46)</f>
        <v/>
      </c>
      <c r="J34" s="213" t="str">
        <f t="shared" ref="J34" si="188">IF(I5="","",I34/I$22)</f>
        <v/>
      </c>
      <c r="K34" s="208" t="str">
        <f>IF(K5="","",PROJECTIONS!P46)</f>
        <v/>
      </c>
      <c r="L34" s="213" t="str">
        <f t="shared" ref="L34" si="189">IF(K5="","",K34/K$22)</f>
        <v/>
      </c>
      <c r="M34" s="208" t="str">
        <f>IF(M5="","",PROJECTIONS!R46)</f>
        <v/>
      </c>
      <c r="N34" s="213" t="str">
        <f t="shared" ref="N34" si="190">IF(M5="","",M34/M$22)</f>
        <v/>
      </c>
      <c r="O34" s="208" t="str">
        <f>IF(O5="","",PROJECTIONS!T46)</f>
        <v/>
      </c>
      <c r="P34" s="213" t="str">
        <f t="shared" ref="P34" si="191">IF(O5="","",O34/O$22)</f>
        <v/>
      </c>
      <c r="Q34" s="208" t="str">
        <f>IF(Q5="","",PROJECTIONS!V46)</f>
        <v/>
      </c>
      <c r="R34" s="213" t="str">
        <f t="shared" ref="R34" si="192">IF(Q5="","",Q34/Q$22)</f>
        <v/>
      </c>
      <c r="S34" s="208" t="str">
        <f>IF(S5="","",PROJECTIONS!X46)</f>
        <v/>
      </c>
      <c r="T34" s="213" t="str">
        <f t="shared" ref="T34" si="193">IF(S5="","",S34/S$22)</f>
        <v/>
      </c>
      <c r="U34" s="208" t="str">
        <f>IF(U5="","",PROJECTIONS!Z46)</f>
        <v/>
      </c>
      <c r="V34" s="213" t="str">
        <f t="shared" ref="V34" si="194">IF(U5="","",U34/U$22)</f>
        <v/>
      </c>
      <c r="W34" s="208" t="str">
        <f>IF(W5="","",PROJECTIONS!AB46)</f>
        <v/>
      </c>
      <c r="X34" s="213" t="str">
        <f t="shared" ref="X34" si="195">IF(W5="","",W34/W$22)</f>
        <v/>
      </c>
      <c r="Y34" s="5"/>
      <c r="Z34" s="5"/>
      <c r="AA34" s="5"/>
      <c r="AB34" s="5"/>
      <c r="AC34" s="5"/>
      <c r="AD34" s="5"/>
      <c r="AE34" s="5"/>
      <c r="AF34" s="5"/>
      <c r="AG34" s="5"/>
      <c r="AH34" s="5"/>
      <c r="AI34" s="5"/>
      <c r="AJ34" s="5"/>
      <c r="AK34" s="5"/>
      <c r="AL34" s="5"/>
      <c r="AM34" s="5"/>
      <c r="AN34" s="5"/>
      <c r="AO34" s="5"/>
      <c r="AP34" s="5"/>
      <c r="AQ34" s="5"/>
      <c r="AR34" s="5"/>
      <c r="AS34" s="5"/>
      <c r="AT34" s="5"/>
    </row>
    <row r="35" spans="2:46">
      <c r="B35" s="133" t="str">
        <f>'CLEAN P&amp;L'!B24</f>
        <v>A&amp;G Credit Card Comm</v>
      </c>
      <c r="C35" s="208">
        <f>'CLEAN P&amp;L'!H24</f>
        <v>0</v>
      </c>
      <c r="D35" s="182" t="e">
        <f t="shared" ref="D35:D40" si="196">C35/$C$22</f>
        <v>#DIV/0!</v>
      </c>
      <c r="E35" s="208">
        <f>IF(E5="","",PROJECTIONS!J49)</f>
        <v>0</v>
      </c>
      <c r="F35" s="213" t="e">
        <f>IF(E5="","",E35/E$22)</f>
        <v>#DIV/0!</v>
      </c>
      <c r="G35" s="208" t="str">
        <f>IF(G5="","",PROJECTIONS!L49)</f>
        <v/>
      </c>
      <c r="H35" s="213" t="str">
        <f t="shared" ref="H35" si="197">IF(G5="","",G35/G$22)</f>
        <v/>
      </c>
      <c r="I35" s="208" t="str">
        <f>IF(I5="","",PROJECTIONS!N49)</f>
        <v/>
      </c>
      <c r="J35" s="213" t="str">
        <f t="shared" ref="J35" si="198">IF(I5="","",I35/I$22)</f>
        <v/>
      </c>
      <c r="K35" s="208" t="str">
        <f>IF(K5="","",PROJECTIONS!P49)</f>
        <v/>
      </c>
      <c r="L35" s="213" t="str">
        <f t="shared" ref="L35" si="199">IF(K5="","",K35/K$22)</f>
        <v/>
      </c>
      <c r="M35" s="208" t="str">
        <f>IF(M5="","",PROJECTIONS!R49)</f>
        <v/>
      </c>
      <c r="N35" s="213" t="str">
        <f t="shared" ref="N35" si="200">IF(M5="","",M35/M$22)</f>
        <v/>
      </c>
      <c r="O35" s="208" t="str">
        <f>IF(O5="","",PROJECTIONS!T49)</f>
        <v/>
      </c>
      <c r="P35" s="213" t="str">
        <f t="shared" ref="P35" si="201">IF(O5="","",O35/O$22)</f>
        <v/>
      </c>
      <c r="Q35" s="208" t="str">
        <f>IF(Q5="","",PROJECTIONS!V49)</f>
        <v/>
      </c>
      <c r="R35" s="213" t="str">
        <f t="shared" ref="R35" si="202">IF(Q5="","",Q35/Q$22)</f>
        <v/>
      </c>
      <c r="S35" s="208" t="str">
        <f>IF(S5="","",PROJECTIONS!X49)</f>
        <v/>
      </c>
      <c r="T35" s="213" t="str">
        <f t="shared" ref="T35" si="203">IF(S5="","",S35/S$22)</f>
        <v/>
      </c>
      <c r="U35" s="208" t="str">
        <f>IF(U5="","",PROJECTIONS!Z49)</f>
        <v/>
      </c>
      <c r="V35" s="213" t="str">
        <f t="shared" ref="V35" si="204">IF(U5="","",U35/U$22)</f>
        <v/>
      </c>
      <c r="W35" s="208" t="str">
        <f>IF(W5="","",PROJECTIONS!AB49)</f>
        <v/>
      </c>
      <c r="X35" s="213" t="str">
        <f t="shared" ref="X35" si="205">IF(W5="","",W35/W$22)</f>
        <v/>
      </c>
      <c r="Y35" s="5"/>
      <c r="Z35" s="5"/>
      <c r="AA35" s="5"/>
      <c r="AB35" s="5"/>
      <c r="AC35" s="5"/>
      <c r="AD35" s="5"/>
      <c r="AE35" s="5"/>
      <c r="AF35" s="5"/>
      <c r="AG35" s="5"/>
      <c r="AH35" s="5"/>
      <c r="AI35" s="5"/>
      <c r="AJ35" s="5"/>
      <c r="AK35" s="5"/>
      <c r="AL35" s="5"/>
      <c r="AM35" s="5"/>
      <c r="AN35" s="5"/>
      <c r="AO35" s="5"/>
      <c r="AP35" s="5"/>
      <c r="AQ35" s="5"/>
      <c r="AR35" s="5"/>
      <c r="AS35" s="5"/>
      <c r="AT35" s="5"/>
    </row>
    <row r="36" spans="2:46">
      <c r="B36" s="133" t="str">
        <f>'CLEAN P&amp;L'!B25</f>
        <v>Sales &amp; Marketing</v>
      </c>
      <c r="C36" s="208">
        <f>'CLEAN P&amp;L'!H25</f>
        <v>0</v>
      </c>
      <c r="D36" s="182" t="e">
        <f t="shared" si="196"/>
        <v>#DIV/0!</v>
      </c>
      <c r="E36" s="208">
        <f>IF(E5="","",PROJECTIONS!J52)</f>
        <v>0</v>
      </c>
      <c r="F36" s="213" t="e">
        <f>IF(E5="","",E36/E$22)</f>
        <v>#DIV/0!</v>
      </c>
      <c r="G36" s="208" t="str">
        <f>IF(G5="","",PROJECTIONS!L52)</f>
        <v/>
      </c>
      <c r="H36" s="213" t="str">
        <f t="shared" ref="H36" si="206">IF(G5="","",G36/G$22)</f>
        <v/>
      </c>
      <c r="I36" s="208" t="str">
        <f>IF(I5="","",PROJECTIONS!N52)</f>
        <v/>
      </c>
      <c r="J36" s="213" t="str">
        <f t="shared" ref="J36" si="207">IF(I5="","",I36/I$22)</f>
        <v/>
      </c>
      <c r="K36" s="208" t="str">
        <f>IF(K5="","",PROJECTIONS!P52)</f>
        <v/>
      </c>
      <c r="L36" s="213" t="str">
        <f t="shared" ref="L36" si="208">IF(K5="","",K36/K$22)</f>
        <v/>
      </c>
      <c r="M36" s="208" t="str">
        <f>IF(M5="","",PROJECTIONS!R52)</f>
        <v/>
      </c>
      <c r="N36" s="213" t="str">
        <f t="shared" ref="N36" si="209">IF(M5="","",M36/M$22)</f>
        <v/>
      </c>
      <c r="O36" s="208" t="str">
        <f>IF(O5="","",PROJECTIONS!T52)</f>
        <v/>
      </c>
      <c r="P36" s="213" t="str">
        <f t="shared" ref="P36" si="210">IF(O5="","",O36/O$22)</f>
        <v/>
      </c>
      <c r="Q36" s="208" t="str">
        <f>IF(Q5="","",PROJECTIONS!V52)</f>
        <v/>
      </c>
      <c r="R36" s="213" t="str">
        <f t="shared" ref="R36" si="211">IF(Q5="","",Q36/Q$22)</f>
        <v/>
      </c>
      <c r="S36" s="208" t="str">
        <f>IF(S5="","",PROJECTIONS!X52)</f>
        <v/>
      </c>
      <c r="T36" s="213" t="str">
        <f t="shared" ref="T36" si="212">IF(S5="","",S36/S$22)</f>
        <v/>
      </c>
      <c r="U36" s="208" t="str">
        <f>IF(U5="","",PROJECTIONS!Z52)</f>
        <v/>
      </c>
      <c r="V36" s="213" t="str">
        <f t="shared" ref="V36" si="213">IF(U5="","",U36/U$22)</f>
        <v/>
      </c>
      <c r="W36" s="208" t="str">
        <f>IF(W5="","",PROJECTIONS!AB52)</f>
        <v/>
      </c>
      <c r="X36" s="213" t="str">
        <f t="shared" ref="X36" si="214">IF(W5="","",W36/W$22)</f>
        <v/>
      </c>
      <c r="Y36" s="5"/>
      <c r="Z36" s="5"/>
      <c r="AA36" s="5"/>
      <c r="AB36" s="5"/>
      <c r="AC36" s="5"/>
      <c r="AD36" s="5"/>
      <c r="AE36" s="5"/>
      <c r="AF36" s="5"/>
      <c r="AG36" s="5"/>
      <c r="AH36" s="5"/>
      <c r="AI36" s="5"/>
      <c r="AJ36" s="5"/>
      <c r="AK36" s="5"/>
      <c r="AL36" s="5"/>
      <c r="AM36" s="5"/>
      <c r="AN36" s="5"/>
      <c r="AO36" s="5"/>
      <c r="AP36" s="5"/>
      <c r="AQ36" s="5"/>
      <c r="AR36" s="5"/>
      <c r="AS36" s="5"/>
      <c r="AT36" s="5"/>
    </row>
    <row r="37" spans="2:46">
      <c r="B37" s="133" t="str">
        <f>'CLEAN P&amp;L'!B26</f>
        <v>Franchise Fees</v>
      </c>
      <c r="C37" s="208">
        <f>'CLEAN P&amp;L'!H26</f>
        <v>0</v>
      </c>
      <c r="D37" s="182" t="e">
        <f t="shared" si="196"/>
        <v>#DIV/0!</v>
      </c>
      <c r="E37" s="208">
        <f>IF(E5="","",PROJECTIONS!J55)</f>
        <v>0</v>
      </c>
      <c r="F37" s="213" t="e">
        <f>IF(E5="","",E37/E$22)</f>
        <v>#DIV/0!</v>
      </c>
      <c r="G37" s="208" t="str">
        <f>IF(G5="","",PROJECTIONS!L55)</f>
        <v/>
      </c>
      <c r="H37" s="213" t="str">
        <f t="shared" ref="H37" si="215">IF(G5="","",G37/G$22)</f>
        <v/>
      </c>
      <c r="I37" s="208" t="str">
        <f>IF(I5="","",PROJECTIONS!N55)</f>
        <v/>
      </c>
      <c r="J37" s="213" t="str">
        <f t="shared" ref="J37" si="216">IF(I5="","",I37/I$22)</f>
        <v/>
      </c>
      <c r="K37" s="208" t="str">
        <f>IF(K5="","",PROJECTIONS!P55)</f>
        <v/>
      </c>
      <c r="L37" s="213" t="str">
        <f t="shared" ref="L37" si="217">IF(K5="","",K37/K$22)</f>
        <v/>
      </c>
      <c r="M37" s="208" t="str">
        <f>IF(M5="","",PROJECTIONS!R55)</f>
        <v/>
      </c>
      <c r="N37" s="213" t="str">
        <f t="shared" ref="N37" si="218">IF(M5="","",M37/M$22)</f>
        <v/>
      </c>
      <c r="O37" s="208" t="str">
        <f>IF(O5="","",PROJECTIONS!T55)</f>
        <v/>
      </c>
      <c r="P37" s="213" t="str">
        <f t="shared" ref="P37" si="219">IF(O5="","",O37/O$22)</f>
        <v/>
      </c>
      <c r="Q37" s="208" t="str">
        <f>IF(Q5="","",PROJECTIONS!V55)</f>
        <v/>
      </c>
      <c r="R37" s="213" t="str">
        <f t="shared" ref="R37" si="220">IF(Q5="","",Q37/Q$22)</f>
        <v/>
      </c>
      <c r="S37" s="208" t="str">
        <f>IF(S5="","",PROJECTIONS!X55)</f>
        <v/>
      </c>
      <c r="T37" s="213" t="str">
        <f t="shared" ref="T37" si="221">IF(S5="","",S37/S$22)</f>
        <v/>
      </c>
      <c r="U37" s="208" t="str">
        <f>IF(U5="","",PROJECTIONS!Z55)</f>
        <v/>
      </c>
      <c r="V37" s="213" t="str">
        <f t="shared" ref="V37" si="222">IF(U5="","",U37/U$22)</f>
        <v/>
      </c>
      <c r="W37" s="208" t="str">
        <f>IF(W5="","",PROJECTIONS!AB55)</f>
        <v/>
      </c>
      <c r="X37" s="213" t="str">
        <f t="shared" ref="X37" si="223">IF(W5="","",W37/W$22)</f>
        <v/>
      </c>
      <c r="Y37" s="5"/>
      <c r="Z37" s="5"/>
      <c r="AA37" s="5"/>
      <c r="AB37" s="5"/>
      <c r="AC37" s="5"/>
      <c r="AD37" s="5"/>
      <c r="AE37" s="5"/>
      <c r="AF37" s="5"/>
      <c r="AG37" s="5"/>
      <c r="AH37" s="5"/>
      <c r="AI37" s="5"/>
      <c r="AJ37" s="5"/>
      <c r="AK37" s="5"/>
      <c r="AL37" s="5"/>
      <c r="AM37" s="5"/>
      <c r="AN37" s="5"/>
      <c r="AO37" s="5"/>
      <c r="AP37" s="5"/>
      <c r="AQ37" s="5"/>
      <c r="AR37" s="5"/>
      <c r="AS37" s="5"/>
      <c r="AT37" s="5"/>
    </row>
    <row r="38" spans="2:46">
      <c r="B38" s="133" t="str">
        <f>'CLEAN P&amp;L'!B27</f>
        <v>Utilities</v>
      </c>
      <c r="C38" s="208">
        <f>'CLEAN P&amp;L'!H27</f>
        <v>0</v>
      </c>
      <c r="D38" s="182" t="e">
        <f t="shared" si="196"/>
        <v>#DIV/0!</v>
      </c>
      <c r="E38" s="208">
        <f>IF(E5="","",PROJECTIONS!J58)</f>
        <v>0</v>
      </c>
      <c r="F38" s="213" t="e">
        <f>IF(E5="","",E38/E$22)</f>
        <v>#DIV/0!</v>
      </c>
      <c r="G38" s="208" t="str">
        <f>IF(G5="","",PROJECTIONS!L58)</f>
        <v/>
      </c>
      <c r="H38" s="213" t="str">
        <f t="shared" ref="H38" si="224">IF(G5="","",G38/G$22)</f>
        <v/>
      </c>
      <c r="I38" s="208" t="str">
        <f>IF(I5="","",PROJECTIONS!N58)</f>
        <v/>
      </c>
      <c r="J38" s="213" t="str">
        <f t="shared" ref="J38" si="225">IF(I5="","",I38/I$22)</f>
        <v/>
      </c>
      <c r="K38" s="208" t="str">
        <f>IF(K5="","",PROJECTIONS!P58)</f>
        <v/>
      </c>
      <c r="L38" s="213" t="str">
        <f t="shared" ref="L38" si="226">IF(K5="","",K38/K$22)</f>
        <v/>
      </c>
      <c r="M38" s="208" t="str">
        <f>IF(M5="","",PROJECTIONS!R58)</f>
        <v/>
      </c>
      <c r="N38" s="213" t="str">
        <f t="shared" ref="N38" si="227">IF(M5="","",M38/M$22)</f>
        <v/>
      </c>
      <c r="O38" s="208" t="str">
        <f>IF(O5="","",PROJECTIONS!T58)</f>
        <v/>
      </c>
      <c r="P38" s="213" t="str">
        <f t="shared" ref="P38" si="228">IF(O5="","",O38/O$22)</f>
        <v/>
      </c>
      <c r="Q38" s="208" t="str">
        <f>IF(Q5="","",PROJECTIONS!V58)</f>
        <v/>
      </c>
      <c r="R38" s="213" t="str">
        <f t="shared" ref="R38" si="229">IF(Q5="","",Q38/Q$22)</f>
        <v/>
      </c>
      <c r="S38" s="208" t="str">
        <f>IF(S5="","",PROJECTIONS!X58)</f>
        <v/>
      </c>
      <c r="T38" s="213" t="str">
        <f t="shared" ref="T38" si="230">IF(S5="","",S38/S$22)</f>
        <v/>
      </c>
      <c r="U38" s="208" t="str">
        <f>IF(U5="","",PROJECTIONS!Z58)</f>
        <v/>
      </c>
      <c r="V38" s="213" t="str">
        <f t="shared" ref="V38" si="231">IF(U5="","",U38/U$22)</f>
        <v/>
      </c>
      <c r="W38" s="208" t="str">
        <f>IF(W5="","",PROJECTIONS!AB58)</f>
        <v/>
      </c>
      <c r="X38" s="213" t="str">
        <f t="shared" ref="X38" si="232">IF(W5="","",W38/W$22)</f>
        <v/>
      </c>
      <c r="Y38" s="5"/>
      <c r="Z38" s="5"/>
      <c r="AA38" s="5"/>
      <c r="AB38" s="5"/>
      <c r="AC38" s="5"/>
      <c r="AD38" s="5"/>
      <c r="AE38" s="5"/>
      <c r="AF38" s="5"/>
      <c r="AG38" s="5"/>
      <c r="AH38" s="5"/>
      <c r="AI38" s="5"/>
      <c r="AJ38" s="5"/>
      <c r="AK38" s="5"/>
      <c r="AL38" s="5"/>
      <c r="AM38" s="5"/>
      <c r="AN38" s="5"/>
      <c r="AO38" s="5"/>
      <c r="AP38" s="5"/>
      <c r="AQ38" s="5"/>
      <c r="AR38" s="5"/>
      <c r="AS38" s="5"/>
      <c r="AT38" s="5"/>
    </row>
    <row r="39" spans="2:46">
      <c r="B39" s="133" t="str">
        <f>'CLEAN P&amp;L'!B28</f>
        <v>Property Operations &amp; Maintenance</v>
      </c>
      <c r="C39" s="208">
        <f>'CLEAN P&amp;L'!H28</f>
        <v>0</v>
      </c>
      <c r="D39" s="182" t="e">
        <f t="shared" si="196"/>
        <v>#DIV/0!</v>
      </c>
      <c r="E39" s="208">
        <f>IF(E5="","",PROJECTIONS!J61)</f>
        <v>0</v>
      </c>
      <c r="F39" s="213" t="e">
        <f>IF(E5="","",E39/E$22)</f>
        <v>#DIV/0!</v>
      </c>
      <c r="G39" s="208" t="str">
        <f>IF(G5="","",PROJECTIONS!L61)</f>
        <v/>
      </c>
      <c r="H39" s="213" t="str">
        <f t="shared" ref="H39" si="233">IF(G5="","",G39/G$22)</f>
        <v/>
      </c>
      <c r="I39" s="208" t="str">
        <f>IF(I5="","",PROJECTIONS!N61)</f>
        <v/>
      </c>
      <c r="J39" s="213" t="str">
        <f t="shared" ref="J39" si="234">IF(I5="","",I39/I$22)</f>
        <v/>
      </c>
      <c r="K39" s="208" t="str">
        <f>IF(K5="","",PROJECTIONS!P61)</f>
        <v/>
      </c>
      <c r="L39" s="213" t="str">
        <f t="shared" ref="L39" si="235">IF(K5="","",K39/K$22)</f>
        <v/>
      </c>
      <c r="M39" s="208" t="str">
        <f>IF(M5="","",PROJECTIONS!R61)</f>
        <v/>
      </c>
      <c r="N39" s="213" t="str">
        <f t="shared" ref="N39" si="236">IF(M5="","",M39/M$22)</f>
        <v/>
      </c>
      <c r="O39" s="208" t="str">
        <f>IF(O5="","",PROJECTIONS!T61)</f>
        <v/>
      </c>
      <c r="P39" s="213" t="str">
        <f t="shared" ref="P39" si="237">IF(O5="","",O39/O$22)</f>
        <v/>
      </c>
      <c r="Q39" s="208" t="str">
        <f>IF(Q5="","",PROJECTIONS!V61)</f>
        <v/>
      </c>
      <c r="R39" s="213" t="str">
        <f t="shared" ref="R39" si="238">IF(Q5="","",Q39/Q$22)</f>
        <v/>
      </c>
      <c r="S39" s="208" t="str">
        <f>IF(S5="","",PROJECTIONS!X61)</f>
        <v/>
      </c>
      <c r="T39" s="213" t="str">
        <f t="shared" ref="T39" si="239">IF(S5="","",S39/S$22)</f>
        <v/>
      </c>
      <c r="U39" s="208" t="str">
        <f>IF(U5="","",PROJECTIONS!Z61)</f>
        <v/>
      </c>
      <c r="V39" s="213" t="str">
        <f t="shared" ref="V39" si="240">IF(U5="","",U39/U$22)</f>
        <v/>
      </c>
      <c r="W39" s="208" t="str">
        <f>IF(W5="","",PROJECTIONS!AB61)</f>
        <v/>
      </c>
      <c r="X39" s="213" t="str">
        <f t="shared" ref="X39" si="241">IF(W5="","",W39/W$22)</f>
        <v/>
      </c>
      <c r="Y39" s="5"/>
      <c r="Z39" s="5"/>
      <c r="AA39" s="5"/>
      <c r="AB39" s="5"/>
      <c r="AC39" s="5"/>
      <c r="AD39" s="5"/>
      <c r="AE39" s="5"/>
      <c r="AF39" s="5"/>
      <c r="AG39" s="5"/>
      <c r="AH39" s="5"/>
      <c r="AI39" s="5"/>
      <c r="AJ39" s="5"/>
      <c r="AK39" s="5"/>
      <c r="AL39" s="5"/>
      <c r="AM39" s="5"/>
      <c r="AN39" s="5"/>
      <c r="AO39" s="5"/>
      <c r="AP39" s="5"/>
      <c r="AQ39" s="5"/>
      <c r="AR39" s="5"/>
      <c r="AS39" s="5"/>
      <c r="AT39" s="5"/>
    </row>
    <row r="40" spans="2:46">
      <c r="B40" s="133" t="str">
        <f>'CLEAN P&amp;L'!B29</f>
        <v>Info &amp; Telecom Systems</v>
      </c>
      <c r="C40" s="208">
        <f>'CLEAN P&amp;L'!H29</f>
        <v>0</v>
      </c>
      <c r="D40" s="182" t="e">
        <f t="shared" si="196"/>
        <v>#DIV/0!</v>
      </c>
      <c r="E40" s="208">
        <f>IF(E5="","",PROJECTIONS!J64)</f>
        <v>0</v>
      </c>
      <c r="F40" s="213" t="e">
        <f>IF(E5="","",E40/E$22)</f>
        <v>#DIV/0!</v>
      </c>
      <c r="G40" s="208" t="str">
        <f>IF(G5="","",PROJECTIONS!L64)</f>
        <v/>
      </c>
      <c r="H40" s="213" t="str">
        <f t="shared" ref="H40" si="242">IF(G5="","",G40/G$22)</f>
        <v/>
      </c>
      <c r="I40" s="208" t="str">
        <f>IF(I5="","",PROJECTIONS!N64)</f>
        <v/>
      </c>
      <c r="J40" s="213" t="str">
        <f t="shared" ref="J40" si="243">IF(I5="","",I40/I$22)</f>
        <v/>
      </c>
      <c r="K40" s="208" t="str">
        <f>IF(K5="","",PROJECTIONS!P64)</f>
        <v/>
      </c>
      <c r="L40" s="213" t="str">
        <f t="shared" ref="L40" si="244">IF(K5="","",K40/K$22)</f>
        <v/>
      </c>
      <c r="M40" s="208" t="str">
        <f>IF(M5="","",PROJECTIONS!R64)</f>
        <v/>
      </c>
      <c r="N40" s="213" t="str">
        <f t="shared" ref="N40" si="245">IF(M5="","",M40/M$22)</f>
        <v/>
      </c>
      <c r="O40" s="208" t="str">
        <f>IF(O5="","",PROJECTIONS!T64)</f>
        <v/>
      </c>
      <c r="P40" s="213" t="str">
        <f t="shared" ref="P40" si="246">IF(O5="","",O40/O$22)</f>
        <v/>
      </c>
      <c r="Q40" s="208" t="str">
        <f>IF(Q5="","",PROJECTIONS!V64)</f>
        <v/>
      </c>
      <c r="R40" s="213" t="str">
        <f t="shared" ref="R40" si="247">IF(Q5="","",Q40/Q$22)</f>
        <v/>
      </c>
      <c r="S40" s="208" t="str">
        <f>IF(S5="","",PROJECTIONS!X64)</f>
        <v/>
      </c>
      <c r="T40" s="213" t="str">
        <f t="shared" ref="T40" si="248">IF(S5="","",S40/S$22)</f>
        <v/>
      </c>
      <c r="U40" s="208" t="str">
        <f>IF(U5="","",PROJECTIONS!Z64)</f>
        <v/>
      </c>
      <c r="V40" s="213" t="str">
        <f t="shared" ref="V40" si="249">IF(U5="","",U40/U$22)</f>
        <v/>
      </c>
      <c r="W40" s="208" t="str">
        <f>IF(W5="","",PROJECTIONS!AB64)</f>
        <v/>
      </c>
      <c r="X40" s="213" t="str">
        <f t="shared" ref="X40" si="250">IF(W5="","",W40/W$22)</f>
        <v/>
      </c>
      <c r="Y40" s="5"/>
      <c r="Z40" s="5"/>
      <c r="AA40" s="5"/>
      <c r="AB40" s="5"/>
      <c r="AC40" s="5"/>
      <c r="AD40" s="5"/>
      <c r="AE40" s="5"/>
      <c r="AF40" s="5"/>
      <c r="AG40" s="5"/>
      <c r="AH40" s="5"/>
      <c r="AI40" s="5"/>
      <c r="AJ40" s="5"/>
      <c r="AK40" s="5"/>
      <c r="AL40" s="5"/>
      <c r="AM40" s="5"/>
      <c r="AN40" s="5"/>
      <c r="AO40" s="5"/>
      <c r="AP40" s="5"/>
      <c r="AQ40" s="5"/>
      <c r="AR40" s="5"/>
      <c r="AS40" s="5"/>
      <c r="AT40" s="5"/>
    </row>
    <row r="41" spans="2:46">
      <c r="B41" s="200" t="str">
        <f>'CLEAN P&amp;L'!B30</f>
        <v>Total Undistributed Expenses</v>
      </c>
      <c r="C41" s="266">
        <f>SUM(C34:C40)</f>
        <v>0</v>
      </c>
      <c r="D41" s="211" t="e">
        <f>C41/C22</f>
        <v>#DIV/0!</v>
      </c>
      <c r="E41" s="266">
        <f>IF(E5="","",SUM(E34:E40))</f>
        <v>0</v>
      </c>
      <c r="F41" s="181" t="e">
        <f>IF(E5="","",E41/E22)</f>
        <v>#DIV/0!</v>
      </c>
      <c r="G41" s="266" t="str">
        <f t="shared" ref="G41" si="251">IF(G5="","",SUM(G34:G40))</f>
        <v/>
      </c>
      <c r="H41" s="181" t="str">
        <f t="shared" ref="H41" si="252">IF(G5="","",G41/G22)</f>
        <v/>
      </c>
      <c r="I41" s="266" t="str">
        <f t="shared" ref="I41" si="253">IF(I5="","",SUM(I34:I40))</f>
        <v/>
      </c>
      <c r="J41" s="181" t="str">
        <f t="shared" ref="J41" si="254">IF(I5="","",I41/I22)</f>
        <v/>
      </c>
      <c r="K41" s="266" t="str">
        <f t="shared" ref="K41" si="255">IF(K5="","",SUM(K34:K40))</f>
        <v/>
      </c>
      <c r="L41" s="181" t="str">
        <f t="shared" ref="L41" si="256">IF(K5="","",K41/K22)</f>
        <v/>
      </c>
      <c r="M41" s="266" t="str">
        <f t="shared" ref="M41" si="257">IF(M5="","",SUM(M34:M40))</f>
        <v/>
      </c>
      <c r="N41" s="181" t="str">
        <f t="shared" ref="N41" si="258">IF(M5="","",M41/M22)</f>
        <v/>
      </c>
      <c r="O41" s="266" t="str">
        <f t="shared" ref="O41" si="259">IF(O5="","",SUM(O34:O40))</f>
        <v/>
      </c>
      <c r="P41" s="181" t="str">
        <f t="shared" ref="P41" si="260">IF(O5="","",O41/O22)</f>
        <v/>
      </c>
      <c r="Q41" s="266" t="str">
        <f t="shared" ref="Q41" si="261">IF(Q5="","",SUM(Q34:Q40))</f>
        <v/>
      </c>
      <c r="R41" s="181" t="str">
        <f t="shared" ref="R41" si="262">IF(Q5="","",Q41/Q22)</f>
        <v/>
      </c>
      <c r="S41" s="266" t="str">
        <f t="shared" ref="S41" si="263">IF(S5="","",SUM(S34:S40))</f>
        <v/>
      </c>
      <c r="T41" s="181" t="str">
        <f t="shared" ref="T41" si="264">IF(S5="","",S41/S22)</f>
        <v/>
      </c>
      <c r="U41" s="266" t="str">
        <f t="shared" ref="U41" si="265">IF(U5="","",SUM(U34:U40))</f>
        <v/>
      </c>
      <c r="V41" s="181" t="str">
        <f t="shared" ref="V41" si="266">IF(U5="","",U41/U22)</f>
        <v/>
      </c>
      <c r="W41" s="266" t="str">
        <f t="shared" ref="W41" si="267">IF(W5="","",SUM(W34:W40))</f>
        <v/>
      </c>
      <c r="X41" s="181" t="str">
        <f t="shared" ref="X41" si="268">IF(W5="","",W41/W22)</f>
        <v/>
      </c>
      <c r="Y41" s="5"/>
      <c r="Z41" s="5"/>
      <c r="AA41" s="5"/>
      <c r="AB41" s="5"/>
      <c r="AC41" s="5"/>
      <c r="AD41" s="5"/>
      <c r="AE41" s="5"/>
      <c r="AF41" s="5"/>
      <c r="AG41" s="5"/>
      <c r="AH41" s="5"/>
      <c r="AI41" s="5"/>
      <c r="AJ41" s="5"/>
      <c r="AK41" s="5"/>
      <c r="AL41" s="5"/>
      <c r="AM41" s="5"/>
      <c r="AN41" s="5"/>
      <c r="AO41" s="5"/>
      <c r="AP41" s="5"/>
      <c r="AQ41" s="5"/>
      <c r="AR41" s="5"/>
      <c r="AS41" s="5"/>
      <c r="AT41" s="5"/>
    </row>
    <row r="42" spans="2:46" s="301" customFormat="1" ht="17" thickBot="1">
      <c r="B42" s="274" t="str">
        <f>'CLEAN P&amp;L'!B31</f>
        <v>Gross Operating Profit</v>
      </c>
      <c r="C42" s="344">
        <f>C31-C41</f>
        <v>0</v>
      </c>
      <c r="D42" s="273" t="e">
        <f>C42/C22</f>
        <v>#DIV/0!</v>
      </c>
      <c r="E42" s="344">
        <f>IF(E5="","",E31-E41)</f>
        <v>0</v>
      </c>
      <c r="F42" s="272" t="e">
        <f>IF(E5="","",E42/E22)</f>
        <v>#DIV/0!</v>
      </c>
      <c r="G42" s="344" t="str">
        <f t="shared" ref="G42" si="269">IF(G5="","",G31-G41)</f>
        <v/>
      </c>
      <c r="H42" s="272" t="str">
        <f t="shared" ref="H42" si="270">IF(G5="","",G42/G22)</f>
        <v/>
      </c>
      <c r="I42" s="344" t="str">
        <f t="shared" ref="I42" si="271">IF(I5="","",I31-I41)</f>
        <v/>
      </c>
      <c r="J42" s="272" t="str">
        <f t="shared" ref="J42" si="272">IF(I5="","",I42/I22)</f>
        <v/>
      </c>
      <c r="K42" s="344" t="str">
        <f t="shared" ref="K42" si="273">IF(K5="","",K31-K41)</f>
        <v/>
      </c>
      <c r="L42" s="272" t="str">
        <f t="shared" ref="L42" si="274">IF(K5="","",K42/K22)</f>
        <v/>
      </c>
      <c r="M42" s="344" t="str">
        <f t="shared" ref="M42" si="275">IF(M5="","",M31-M41)</f>
        <v/>
      </c>
      <c r="N42" s="272" t="str">
        <f t="shared" ref="N42" si="276">IF(M5="","",M42/M22)</f>
        <v/>
      </c>
      <c r="O42" s="344" t="str">
        <f t="shared" ref="O42" si="277">IF(O5="","",O31-O41)</f>
        <v/>
      </c>
      <c r="P42" s="272" t="str">
        <f t="shared" ref="P42" si="278">IF(O5="","",O42/O22)</f>
        <v/>
      </c>
      <c r="Q42" s="344" t="str">
        <f t="shared" ref="Q42" si="279">IF(Q5="","",Q31-Q41)</f>
        <v/>
      </c>
      <c r="R42" s="272" t="str">
        <f t="shared" ref="R42" si="280">IF(Q5="","",Q42/Q22)</f>
        <v/>
      </c>
      <c r="S42" s="344" t="str">
        <f t="shared" ref="S42" si="281">IF(S5="","",S31-S41)</f>
        <v/>
      </c>
      <c r="T42" s="272" t="str">
        <f t="shared" ref="T42" si="282">IF(S5="","",S42/S22)</f>
        <v/>
      </c>
      <c r="U42" s="344" t="str">
        <f t="shared" ref="U42" si="283">IF(U5="","",U31-U41)</f>
        <v/>
      </c>
      <c r="V42" s="272" t="str">
        <f t="shared" ref="V42" si="284">IF(U5="","",U42/U22)</f>
        <v/>
      </c>
      <c r="W42" s="344" t="str">
        <f t="shared" ref="W42" si="285">IF(W5="","",W31-W41)</f>
        <v/>
      </c>
      <c r="X42" s="272" t="str">
        <f t="shared" ref="X42" si="286">IF(W5="","",W42/W22)</f>
        <v/>
      </c>
      <c r="Y42" s="673"/>
      <c r="Z42" s="673"/>
      <c r="AA42" s="673"/>
      <c r="AB42" s="673"/>
      <c r="AC42" s="673"/>
      <c r="AD42" s="673"/>
      <c r="AE42" s="673"/>
      <c r="AF42" s="673"/>
      <c r="AG42" s="673"/>
      <c r="AH42" s="673"/>
      <c r="AI42" s="673"/>
      <c r="AJ42" s="673"/>
      <c r="AK42" s="673"/>
      <c r="AL42" s="673"/>
      <c r="AM42" s="673"/>
      <c r="AN42" s="673"/>
      <c r="AO42" s="673"/>
      <c r="AP42" s="673"/>
      <c r="AQ42" s="673"/>
      <c r="AR42" s="673"/>
      <c r="AS42" s="673"/>
      <c r="AT42" s="673"/>
    </row>
    <row r="43" spans="2:46">
      <c r="B43" s="133"/>
      <c r="C43" s="208"/>
      <c r="D43" s="182"/>
      <c r="E43" s="208"/>
      <c r="F43" s="213"/>
      <c r="G43" s="208"/>
      <c r="H43" s="213"/>
      <c r="I43" s="208"/>
      <c r="J43" s="213"/>
      <c r="K43" s="208"/>
      <c r="L43" s="213"/>
      <c r="M43" s="208"/>
      <c r="N43" s="213"/>
      <c r="O43" s="208"/>
      <c r="P43" s="213"/>
      <c r="Q43" s="208"/>
      <c r="R43" s="213"/>
      <c r="S43" s="208"/>
      <c r="T43" s="213"/>
      <c r="U43" s="208"/>
      <c r="V43" s="213"/>
      <c r="W43" s="208"/>
      <c r="X43" s="213"/>
      <c r="Y43" s="5"/>
      <c r="Z43" s="5"/>
      <c r="AA43" s="5"/>
      <c r="AB43" s="5"/>
      <c r="AC43" s="5"/>
      <c r="AD43" s="5"/>
      <c r="AE43" s="5"/>
      <c r="AF43" s="5"/>
      <c r="AG43" s="5"/>
      <c r="AH43" s="5"/>
      <c r="AI43" s="5"/>
      <c r="AJ43" s="5"/>
      <c r="AK43" s="5"/>
      <c r="AL43" s="5"/>
      <c r="AM43" s="5"/>
      <c r="AN43" s="5"/>
      <c r="AO43" s="5"/>
      <c r="AP43" s="5"/>
      <c r="AQ43" s="5"/>
      <c r="AR43" s="5"/>
      <c r="AS43" s="5"/>
      <c r="AT43" s="5"/>
    </row>
    <row r="44" spans="2:46">
      <c r="B44" s="200" t="str">
        <f>'CLEAN P&amp;L'!B33</f>
        <v>Non-Operating Expenses</v>
      </c>
      <c r="C44" s="208"/>
      <c r="D44" s="182"/>
      <c r="E44" s="208"/>
      <c r="F44" s="213"/>
      <c r="G44" s="208"/>
      <c r="H44" s="213"/>
      <c r="I44" s="208"/>
      <c r="J44" s="213"/>
      <c r="K44" s="208"/>
      <c r="L44" s="213"/>
      <c r="M44" s="208"/>
      <c r="N44" s="213"/>
      <c r="O44" s="208"/>
      <c r="P44" s="213"/>
      <c r="Q44" s="208"/>
      <c r="R44" s="213"/>
      <c r="S44" s="208"/>
      <c r="T44" s="213"/>
      <c r="U44" s="208"/>
      <c r="V44" s="213"/>
      <c r="W44" s="208"/>
      <c r="X44" s="213"/>
      <c r="Y44" s="5"/>
      <c r="Z44" s="5"/>
      <c r="AA44" s="5"/>
      <c r="AB44" s="5"/>
      <c r="AC44" s="5"/>
      <c r="AD44" s="5"/>
      <c r="AE44" s="5"/>
      <c r="AF44" s="5"/>
      <c r="AG44" s="5"/>
      <c r="AH44" s="5"/>
      <c r="AI44" s="5"/>
      <c r="AJ44" s="5"/>
      <c r="AK44" s="5"/>
      <c r="AL44" s="5"/>
      <c r="AM44" s="5"/>
      <c r="AN44" s="5"/>
      <c r="AO44" s="5"/>
      <c r="AP44" s="5"/>
      <c r="AQ44" s="5"/>
      <c r="AR44" s="5"/>
      <c r="AS44" s="5"/>
      <c r="AT44" s="5"/>
    </row>
    <row r="45" spans="2:46">
      <c r="B45" s="133" t="str">
        <f>'CLEAN P&amp;L'!B34</f>
        <v>Property Taxes</v>
      </c>
      <c r="C45" s="208">
        <f>'CLEAN P&amp;L'!H34</f>
        <v>0</v>
      </c>
      <c r="D45" s="182" t="e">
        <f>C45/$C$22</f>
        <v>#DIV/0!</v>
      </c>
      <c r="E45" s="208">
        <f>IF(E5="","",PROJECTIONS!J68)</f>
        <v>0</v>
      </c>
      <c r="F45" s="213" t="e">
        <f>IF(E5="","",E45/E$22)</f>
        <v>#DIV/0!</v>
      </c>
      <c r="G45" s="208" t="str">
        <f>IF(G5="","",PROJECTIONS!L68)</f>
        <v/>
      </c>
      <c r="H45" s="213" t="str">
        <f t="shared" ref="H45" si="287">IF(G5="","",G45/G$22)</f>
        <v/>
      </c>
      <c r="I45" s="208" t="str">
        <f>IF(I5="","",PROJECTIONS!N68)</f>
        <v/>
      </c>
      <c r="J45" s="213" t="str">
        <f t="shared" ref="J45" si="288">IF(I5="","",I45/I$22)</f>
        <v/>
      </c>
      <c r="K45" s="208" t="str">
        <f>IF(K5="","",PROJECTIONS!P68)</f>
        <v/>
      </c>
      <c r="L45" s="213" t="str">
        <f t="shared" ref="L45" si="289">IF(K5="","",K45/K$22)</f>
        <v/>
      </c>
      <c r="M45" s="208" t="str">
        <f>IF(M5="","",PROJECTIONS!R68)</f>
        <v/>
      </c>
      <c r="N45" s="213" t="str">
        <f t="shared" ref="N45" si="290">IF(M5="","",M45/M$22)</f>
        <v/>
      </c>
      <c r="O45" s="208" t="str">
        <f>IF(O5="","",PROJECTIONS!T68)</f>
        <v/>
      </c>
      <c r="P45" s="213" t="str">
        <f t="shared" ref="P45" si="291">IF(O5="","",O45/O$22)</f>
        <v/>
      </c>
      <c r="Q45" s="208" t="str">
        <f>IF(Q5="","",PROJECTIONS!V68)</f>
        <v/>
      </c>
      <c r="R45" s="213" t="str">
        <f t="shared" ref="R45" si="292">IF(Q5="","",Q45/Q$22)</f>
        <v/>
      </c>
      <c r="S45" s="208" t="str">
        <f>IF(S5="","",PROJECTIONS!X68)</f>
        <v/>
      </c>
      <c r="T45" s="213" t="str">
        <f t="shared" ref="T45" si="293">IF(S5="","",S45/S$22)</f>
        <v/>
      </c>
      <c r="U45" s="208" t="str">
        <f>IF(U5="","",PROJECTIONS!Z68)</f>
        <v/>
      </c>
      <c r="V45" s="213" t="str">
        <f t="shared" ref="V45" si="294">IF(U5="","",U45/U$22)</f>
        <v/>
      </c>
      <c r="W45" s="208" t="str">
        <f>IF(W5="","",PROJECTIONS!AB68)</f>
        <v/>
      </c>
      <c r="X45" s="213" t="str">
        <f t="shared" ref="X45" si="295">IF(W5="","",W45/W$22)</f>
        <v/>
      </c>
      <c r="Y45" s="5"/>
      <c r="Z45" s="5"/>
      <c r="AA45" s="5"/>
      <c r="AB45" s="5"/>
      <c r="AC45" s="5"/>
      <c r="AD45" s="5"/>
      <c r="AE45" s="5"/>
      <c r="AF45" s="5"/>
      <c r="AG45" s="5"/>
      <c r="AH45" s="5"/>
      <c r="AI45" s="5"/>
      <c r="AJ45" s="5"/>
      <c r="AK45" s="5"/>
      <c r="AL45" s="5"/>
      <c r="AM45" s="5"/>
      <c r="AN45" s="5"/>
      <c r="AO45" s="5"/>
      <c r="AP45" s="5"/>
      <c r="AQ45" s="5"/>
      <c r="AR45" s="5"/>
      <c r="AS45" s="5"/>
      <c r="AT45" s="5"/>
    </row>
    <row r="46" spans="2:46">
      <c r="B46" s="133" t="str">
        <f>'CLEAN P&amp;L'!B35</f>
        <v>Insurance</v>
      </c>
      <c r="C46" s="208">
        <f>'CLEAN P&amp;L'!H35</f>
        <v>0</v>
      </c>
      <c r="D46" s="182" t="e">
        <f t="shared" ref="D46:D48" si="296">C46/$C$22</f>
        <v>#DIV/0!</v>
      </c>
      <c r="E46" s="208">
        <f>IF(E5="","",PROJECTIONS!J71)</f>
        <v>0</v>
      </c>
      <c r="F46" s="213" t="e">
        <f>IF(E5="","",E46/E$22)</f>
        <v>#DIV/0!</v>
      </c>
      <c r="G46" s="208" t="str">
        <f>IF(G5="","",PROJECTIONS!L71)</f>
        <v/>
      </c>
      <c r="H46" s="213" t="str">
        <f t="shared" ref="H46" si="297">IF(G5="","",G46/G$22)</f>
        <v/>
      </c>
      <c r="I46" s="208" t="str">
        <f>IF(I5="","",PROJECTIONS!N71)</f>
        <v/>
      </c>
      <c r="J46" s="213" t="str">
        <f t="shared" ref="J46" si="298">IF(I5="","",I46/I$22)</f>
        <v/>
      </c>
      <c r="K46" s="208" t="str">
        <f>IF(K5="","",PROJECTIONS!P71)</f>
        <v/>
      </c>
      <c r="L46" s="213" t="str">
        <f t="shared" ref="L46" si="299">IF(K5="","",K46/K$22)</f>
        <v/>
      </c>
      <c r="M46" s="208" t="str">
        <f>IF(M5="","",PROJECTIONS!R71)</f>
        <v/>
      </c>
      <c r="N46" s="213" t="str">
        <f t="shared" ref="N46" si="300">IF(M5="","",M46/M$22)</f>
        <v/>
      </c>
      <c r="O46" s="208" t="str">
        <f>IF(O5="","",PROJECTIONS!T71)</f>
        <v/>
      </c>
      <c r="P46" s="213" t="str">
        <f t="shared" ref="P46" si="301">IF(O5="","",O46/O$22)</f>
        <v/>
      </c>
      <c r="Q46" s="208" t="str">
        <f>IF(Q5="","",PROJECTIONS!V71)</f>
        <v/>
      </c>
      <c r="R46" s="213" t="str">
        <f t="shared" ref="R46" si="302">IF(Q5="","",Q46/Q$22)</f>
        <v/>
      </c>
      <c r="S46" s="208" t="str">
        <f>IF(S5="","",PROJECTIONS!X71)</f>
        <v/>
      </c>
      <c r="T46" s="213" t="str">
        <f t="shared" ref="T46" si="303">IF(S5="","",S46/S$22)</f>
        <v/>
      </c>
      <c r="U46" s="208" t="str">
        <f>IF(U5="","",PROJECTIONS!Z71)</f>
        <v/>
      </c>
      <c r="V46" s="213" t="str">
        <f t="shared" ref="V46" si="304">IF(U5="","",U46/U$22)</f>
        <v/>
      </c>
      <c r="W46" s="208" t="str">
        <f>IF(W5="","",PROJECTIONS!AB71)</f>
        <v/>
      </c>
      <c r="X46" s="213" t="str">
        <f t="shared" ref="X46" si="305">IF(W5="","",W46/W$22)</f>
        <v/>
      </c>
      <c r="Y46" s="5"/>
      <c r="Z46" s="5"/>
      <c r="AA46" s="5"/>
      <c r="AB46" s="5"/>
      <c r="AC46" s="5"/>
      <c r="AD46" s="5"/>
      <c r="AE46" s="5"/>
      <c r="AF46" s="5"/>
      <c r="AG46" s="5"/>
      <c r="AH46" s="5"/>
      <c r="AI46" s="5"/>
      <c r="AJ46" s="5"/>
      <c r="AK46" s="5"/>
      <c r="AL46" s="5"/>
      <c r="AM46" s="5"/>
      <c r="AN46" s="5"/>
      <c r="AO46" s="5"/>
      <c r="AP46" s="5"/>
      <c r="AQ46" s="5"/>
      <c r="AR46" s="5"/>
      <c r="AS46" s="5"/>
      <c r="AT46" s="5"/>
    </row>
    <row r="47" spans="2:46">
      <c r="B47" s="133" t="str">
        <f>'CLEAN P&amp;L'!B36</f>
        <v>Rent Expense</v>
      </c>
      <c r="C47" s="208">
        <f>'CLEAN P&amp;L'!H36</f>
        <v>0</v>
      </c>
      <c r="D47" s="182" t="e">
        <f t="shared" si="296"/>
        <v>#DIV/0!</v>
      </c>
      <c r="E47" s="208">
        <f>IF(E5="","",PROJECTIONS!J74)</f>
        <v>0</v>
      </c>
      <c r="F47" s="213" t="e">
        <f>IF(E5="","",E47/E$22)</f>
        <v>#DIV/0!</v>
      </c>
      <c r="G47" s="208" t="str">
        <f>IF(G5="","",PROJECTIONS!L74)</f>
        <v/>
      </c>
      <c r="H47" s="213" t="str">
        <f t="shared" ref="H47" si="306">IF(G5="","",G47/G$22)</f>
        <v/>
      </c>
      <c r="I47" s="208" t="str">
        <f>IF(I5="","",PROJECTIONS!N74)</f>
        <v/>
      </c>
      <c r="J47" s="213" t="str">
        <f t="shared" ref="J47" si="307">IF(I5="","",I47/I$22)</f>
        <v/>
      </c>
      <c r="K47" s="208" t="str">
        <f>IF(K5="","",PROJECTIONS!P74)</f>
        <v/>
      </c>
      <c r="L47" s="213" t="str">
        <f t="shared" ref="L47" si="308">IF(K5="","",K47/K$22)</f>
        <v/>
      </c>
      <c r="M47" s="208" t="str">
        <f>IF(M5="","",PROJECTIONS!R74)</f>
        <v/>
      </c>
      <c r="N47" s="213" t="str">
        <f t="shared" ref="N47" si="309">IF(M5="","",M47/M$22)</f>
        <v/>
      </c>
      <c r="O47" s="208" t="str">
        <f>IF(O5="","",PROJECTIONS!T74)</f>
        <v/>
      </c>
      <c r="P47" s="213" t="str">
        <f t="shared" ref="P47" si="310">IF(O5="","",O47/O$22)</f>
        <v/>
      </c>
      <c r="Q47" s="208" t="str">
        <f>IF(Q5="","",PROJECTIONS!V74)</f>
        <v/>
      </c>
      <c r="R47" s="213" t="str">
        <f t="shared" ref="R47" si="311">IF(Q5="","",Q47/Q$22)</f>
        <v/>
      </c>
      <c r="S47" s="208" t="str">
        <f>IF(S5="","",PROJECTIONS!X74)</f>
        <v/>
      </c>
      <c r="T47" s="213" t="str">
        <f t="shared" ref="T47" si="312">IF(S5="","",S47/S$22)</f>
        <v/>
      </c>
      <c r="U47" s="208" t="str">
        <f>IF(U5="","",PROJECTIONS!Z74)</f>
        <v/>
      </c>
      <c r="V47" s="213" t="str">
        <f t="shared" ref="V47" si="313">IF(U5="","",U47/U$22)</f>
        <v/>
      </c>
      <c r="W47" s="208" t="str">
        <f>IF(W5="","",PROJECTIONS!AB74)</f>
        <v/>
      </c>
      <c r="X47" s="213" t="str">
        <f t="shared" ref="X47" si="314">IF(W5="","",W47/W$22)</f>
        <v/>
      </c>
      <c r="Y47" s="5"/>
      <c r="Z47" s="5"/>
      <c r="AA47" s="5"/>
      <c r="AB47" s="5"/>
      <c r="AC47" s="5"/>
      <c r="AD47" s="5"/>
      <c r="AE47" s="5"/>
      <c r="AF47" s="5"/>
      <c r="AG47" s="5"/>
      <c r="AH47" s="5"/>
      <c r="AI47" s="5"/>
      <c r="AJ47" s="5"/>
      <c r="AK47" s="5"/>
      <c r="AL47" s="5"/>
      <c r="AM47" s="5"/>
      <c r="AN47" s="5"/>
      <c r="AO47" s="5"/>
      <c r="AP47" s="5"/>
      <c r="AQ47" s="5"/>
      <c r="AR47" s="5"/>
      <c r="AS47" s="5"/>
      <c r="AT47" s="5"/>
    </row>
    <row r="48" spans="2:46">
      <c r="B48" s="133" t="str">
        <f>'CLEAN P&amp;L'!B37</f>
        <v xml:space="preserve">Other </v>
      </c>
      <c r="C48" s="208">
        <f>'CLEAN P&amp;L'!H37</f>
        <v>0</v>
      </c>
      <c r="D48" s="182" t="e">
        <f t="shared" si="296"/>
        <v>#DIV/0!</v>
      </c>
      <c r="E48" s="208">
        <f>IF(E5="","",PROJECTIONS!J77)</f>
        <v>0</v>
      </c>
      <c r="F48" s="213" t="e">
        <f>IF(E5="","",E48/E$22)</f>
        <v>#DIV/0!</v>
      </c>
      <c r="G48" s="208" t="str">
        <f>IF(G5="","",PROJECTIONS!L77)</f>
        <v/>
      </c>
      <c r="H48" s="213" t="str">
        <f t="shared" ref="H48" si="315">IF(G5="","",G48/G$22)</f>
        <v/>
      </c>
      <c r="I48" s="208" t="str">
        <f>IF(I5="","",PROJECTIONS!N77)</f>
        <v/>
      </c>
      <c r="J48" s="213" t="str">
        <f t="shared" ref="J48" si="316">IF(I5="","",I48/I$22)</f>
        <v/>
      </c>
      <c r="K48" s="208" t="str">
        <f>IF(K5="","",PROJECTIONS!P77)</f>
        <v/>
      </c>
      <c r="L48" s="213" t="str">
        <f t="shared" ref="L48" si="317">IF(K5="","",K48/K$22)</f>
        <v/>
      </c>
      <c r="M48" s="208" t="str">
        <f>IF(M5="","",PROJECTIONS!R77)</f>
        <v/>
      </c>
      <c r="N48" s="213" t="str">
        <f t="shared" ref="N48" si="318">IF(M5="","",M48/M$22)</f>
        <v/>
      </c>
      <c r="O48" s="208" t="str">
        <f>IF(O5="","",PROJECTIONS!T77)</f>
        <v/>
      </c>
      <c r="P48" s="213" t="str">
        <f t="shared" ref="P48" si="319">IF(O5="","",O48/O$22)</f>
        <v/>
      </c>
      <c r="Q48" s="208" t="str">
        <f>IF(Q5="","",PROJECTIONS!V77)</f>
        <v/>
      </c>
      <c r="R48" s="213" t="str">
        <f t="shared" ref="R48" si="320">IF(Q5="","",Q48/Q$22)</f>
        <v/>
      </c>
      <c r="S48" s="208" t="str">
        <f>IF(S5="","",PROJECTIONS!X77)</f>
        <v/>
      </c>
      <c r="T48" s="213" t="str">
        <f t="shared" ref="T48" si="321">IF(S5="","",S48/S$22)</f>
        <v/>
      </c>
      <c r="U48" s="208" t="str">
        <f>IF(U5="","",PROJECTIONS!Z77)</f>
        <v/>
      </c>
      <c r="V48" s="213" t="str">
        <f t="shared" ref="V48" si="322">IF(U5="","",U48/U$22)</f>
        <v/>
      </c>
      <c r="W48" s="208" t="str">
        <f>IF(W5="","",PROJECTIONS!AB77)</f>
        <v/>
      </c>
      <c r="X48" s="213" t="str">
        <f t="shared" ref="X48" si="323">IF(W5="","",W48/W$22)</f>
        <v/>
      </c>
      <c r="Y48" s="5"/>
      <c r="Z48" s="5"/>
      <c r="AA48" s="5"/>
      <c r="AB48" s="5"/>
      <c r="AC48" s="5"/>
      <c r="AD48" s="5"/>
      <c r="AE48" s="5"/>
      <c r="AF48" s="5"/>
      <c r="AG48" s="5"/>
      <c r="AH48" s="5"/>
      <c r="AI48" s="5"/>
      <c r="AJ48" s="5"/>
      <c r="AK48" s="5"/>
      <c r="AL48" s="5"/>
      <c r="AM48" s="5"/>
      <c r="AN48" s="5"/>
      <c r="AO48" s="5"/>
      <c r="AP48" s="5"/>
      <c r="AQ48" s="5"/>
      <c r="AR48" s="5"/>
      <c r="AS48" s="5"/>
      <c r="AT48" s="5"/>
    </row>
    <row r="49" spans="2:46">
      <c r="B49" s="121" t="str">
        <f>'CLEAN P&amp;L'!B38</f>
        <v>Total Non-Operating Expenses</v>
      </c>
      <c r="C49" s="266">
        <f>SUM(C45:C48)</f>
        <v>0</v>
      </c>
      <c r="D49" s="211" t="e">
        <f>C49/C22</f>
        <v>#DIV/0!</v>
      </c>
      <c r="E49" s="266">
        <f>IF(E5="","",SUM(E45:E48))</f>
        <v>0</v>
      </c>
      <c r="F49" s="181" t="e">
        <f>IF(E5="","",E49/E22)</f>
        <v>#DIV/0!</v>
      </c>
      <c r="G49" s="266" t="str">
        <f t="shared" ref="G49" si="324">IF(G5="","",SUM(G45:G48))</f>
        <v/>
      </c>
      <c r="H49" s="181" t="str">
        <f t="shared" ref="H49" si="325">IF(G5="","",G49/G22)</f>
        <v/>
      </c>
      <c r="I49" s="266" t="str">
        <f t="shared" ref="I49" si="326">IF(I5="","",SUM(I45:I48))</f>
        <v/>
      </c>
      <c r="J49" s="181" t="str">
        <f t="shared" ref="J49" si="327">IF(I5="","",I49/I22)</f>
        <v/>
      </c>
      <c r="K49" s="266" t="str">
        <f t="shared" ref="K49" si="328">IF(K5="","",SUM(K45:K48))</f>
        <v/>
      </c>
      <c r="L49" s="181" t="str">
        <f t="shared" ref="L49" si="329">IF(K5="","",K49/K22)</f>
        <v/>
      </c>
      <c r="M49" s="266" t="str">
        <f t="shared" ref="M49" si="330">IF(M5="","",SUM(M45:M48))</f>
        <v/>
      </c>
      <c r="N49" s="181" t="str">
        <f t="shared" ref="N49" si="331">IF(M5="","",M49/M22)</f>
        <v/>
      </c>
      <c r="O49" s="266" t="str">
        <f t="shared" ref="O49" si="332">IF(O5="","",SUM(O45:O48))</f>
        <v/>
      </c>
      <c r="P49" s="181" t="str">
        <f t="shared" ref="P49" si="333">IF(O5="","",O49/O22)</f>
        <v/>
      </c>
      <c r="Q49" s="266" t="str">
        <f t="shared" ref="Q49" si="334">IF(Q5="","",SUM(Q45:Q48))</f>
        <v/>
      </c>
      <c r="R49" s="181" t="str">
        <f t="shared" ref="R49" si="335">IF(Q5="","",Q49/Q22)</f>
        <v/>
      </c>
      <c r="S49" s="266" t="str">
        <f t="shared" ref="S49" si="336">IF(S5="","",SUM(S45:S48))</f>
        <v/>
      </c>
      <c r="T49" s="181" t="str">
        <f t="shared" ref="T49" si="337">IF(S5="","",S49/S22)</f>
        <v/>
      </c>
      <c r="U49" s="266" t="str">
        <f t="shared" ref="U49" si="338">IF(U5="","",SUM(U45:U48))</f>
        <v/>
      </c>
      <c r="V49" s="181" t="str">
        <f t="shared" ref="V49" si="339">IF(U5="","",U49/U22)</f>
        <v/>
      </c>
      <c r="W49" s="266" t="str">
        <f t="shared" ref="W49" si="340">IF(W5="","",SUM(W45:W48))</f>
        <v/>
      </c>
      <c r="X49" s="181" t="str">
        <f t="shared" ref="X49" si="341">IF(W5="","",W49/W22)</f>
        <v/>
      </c>
      <c r="Y49" s="5"/>
      <c r="Z49" s="5"/>
      <c r="AA49" s="5"/>
      <c r="AB49" s="5"/>
      <c r="AC49" s="5"/>
      <c r="AD49" s="5"/>
      <c r="AE49" s="5"/>
      <c r="AF49" s="5"/>
      <c r="AG49" s="5"/>
      <c r="AH49" s="5"/>
      <c r="AI49" s="5"/>
      <c r="AJ49" s="5"/>
      <c r="AK49" s="5"/>
      <c r="AL49" s="5"/>
      <c r="AM49" s="5"/>
      <c r="AN49" s="5"/>
      <c r="AO49" s="5"/>
      <c r="AP49" s="5"/>
      <c r="AQ49" s="5"/>
      <c r="AR49" s="5"/>
      <c r="AS49" s="5"/>
      <c r="AT49" s="5"/>
    </row>
    <row r="50" spans="2:46" s="301" customFormat="1" ht="17" thickBot="1">
      <c r="B50" s="270" t="str">
        <f>'CLEAN P&amp;L'!B39</f>
        <v>EBITDA Before Reserves &amp; Management</v>
      </c>
      <c r="C50" s="344">
        <f>'CLEAN P&amp;L'!H39</f>
        <v>0</v>
      </c>
      <c r="D50" s="273" t="e">
        <f>C50/C22</f>
        <v>#DIV/0!</v>
      </c>
      <c r="E50" s="344">
        <f>IF(E5="","",E42-E49)</f>
        <v>0</v>
      </c>
      <c r="F50" s="272" t="e">
        <f>IF(E5="","",E50/E22)</f>
        <v>#DIV/0!</v>
      </c>
      <c r="G50" s="344" t="str">
        <f t="shared" ref="G50" si="342">IF(G5="","",G42-G49)</f>
        <v/>
      </c>
      <c r="H50" s="272" t="str">
        <f t="shared" ref="H50" si="343">IF(G5="","",G50/G22)</f>
        <v/>
      </c>
      <c r="I50" s="344" t="str">
        <f t="shared" ref="I50" si="344">IF(I5="","",I42-I49)</f>
        <v/>
      </c>
      <c r="J50" s="272" t="str">
        <f t="shared" ref="J50" si="345">IF(I5="","",I50/I22)</f>
        <v/>
      </c>
      <c r="K50" s="344" t="str">
        <f t="shared" ref="K50" si="346">IF(K5="","",K42-K49)</f>
        <v/>
      </c>
      <c r="L50" s="272" t="str">
        <f t="shared" ref="L50" si="347">IF(K5="","",K50/K22)</f>
        <v/>
      </c>
      <c r="M50" s="344" t="str">
        <f t="shared" ref="M50" si="348">IF(M5="","",M42-M49)</f>
        <v/>
      </c>
      <c r="N50" s="272" t="str">
        <f t="shared" ref="N50" si="349">IF(M5="","",M50/M22)</f>
        <v/>
      </c>
      <c r="O50" s="344" t="str">
        <f t="shared" ref="O50" si="350">IF(O5="","",O42-O49)</f>
        <v/>
      </c>
      <c r="P50" s="272" t="str">
        <f t="shared" ref="P50" si="351">IF(O5="","",O50/O22)</f>
        <v/>
      </c>
      <c r="Q50" s="344" t="str">
        <f t="shared" ref="Q50" si="352">IF(Q5="","",Q42-Q49)</f>
        <v/>
      </c>
      <c r="R50" s="272" t="str">
        <f t="shared" ref="R50" si="353">IF(Q5="","",Q50/Q22)</f>
        <v/>
      </c>
      <c r="S50" s="344" t="str">
        <f t="shared" ref="S50" si="354">IF(S5="","",S42-S49)</f>
        <v/>
      </c>
      <c r="T50" s="272" t="str">
        <f t="shared" ref="T50" si="355">IF(S5="","",S50/S22)</f>
        <v/>
      </c>
      <c r="U50" s="344" t="str">
        <f t="shared" ref="U50" si="356">IF(U5="","",U42-U49)</f>
        <v/>
      </c>
      <c r="V50" s="272" t="str">
        <f t="shared" ref="V50" si="357">IF(U5="","",U50/U22)</f>
        <v/>
      </c>
      <c r="W50" s="344" t="str">
        <f t="shared" ref="W50" si="358">IF(W5="","",W42-W49)</f>
        <v/>
      </c>
      <c r="X50" s="272" t="str">
        <f t="shared" ref="X50" si="359">IF(W5="","",W50/W22)</f>
        <v/>
      </c>
      <c r="Y50" s="673"/>
      <c r="Z50" s="673"/>
      <c r="AA50" s="673"/>
      <c r="AB50" s="673"/>
      <c r="AC50" s="673"/>
      <c r="AD50" s="673"/>
      <c r="AE50" s="673"/>
      <c r="AF50" s="673"/>
      <c r="AG50" s="673"/>
      <c r="AH50" s="673"/>
      <c r="AI50" s="673"/>
      <c r="AJ50" s="673"/>
      <c r="AK50" s="673"/>
      <c r="AL50" s="673"/>
      <c r="AM50" s="673"/>
      <c r="AN50" s="673"/>
      <c r="AO50" s="673"/>
      <c r="AP50" s="673"/>
      <c r="AQ50" s="673"/>
      <c r="AR50" s="673"/>
      <c r="AS50" s="673"/>
      <c r="AT50" s="673"/>
    </row>
    <row r="51" spans="2:46">
      <c r="B51" s="14"/>
      <c r="C51" s="208"/>
      <c r="D51" s="20"/>
      <c r="E51" s="208"/>
      <c r="F51" s="179"/>
      <c r="G51" s="208"/>
      <c r="H51" s="179"/>
      <c r="I51" s="208"/>
      <c r="J51" s="179"/>
      <c r="K51" s="208"/>
      <c r="L51" s="179"/>
      <c r="M51" s="208"/>
      <c r="N51" s="179"/>
      <c r="O51" s="208"/>
      <c r="P51" s="179"/>
      <c r="Q51" s="208"/>
      <c r="R51" s="179"/>
      <c r="S51" s="208"/>
      <c r="T51" s="179"/>
      <c r="U51" s="208"/>
      <c r="V51" s="179"/>
      <c r="W51" s="208"/>
      <c r="X51" s="179"/>
      <c r="Y51" s="5"/>
      <c r="Z51" s="5"/>
      <c r="AA51" s="5"/>
      <c r="AB51" s="5"/>
      <c r="AC51" s="5"/>
      <c r="AD51" s="5"/>
      <c r="AE51" s="5"/>
      <c r="AF51" s="5"/>
      <c r="AG51" s="5"/>
      <c r="AH51" s="5"/>
      <c r="AI51" s="5"/>
      <c r="AJ51" s="5"/>
      <c r="AK51" s="5"/>
      <c r="AL51" s="5"/>
      <c r="AM51" s="5"/>
      <c r="AN51" s="5"/>
      <c r="AO51" s="5"/>
      <c r="AP51" s="5"/>
      <c r="AQ51" s="5"/>
      <c r="AR51" s="5"/>
      <c r="AS51" s="5"/>
      <c r="AT51" s="5"/>
    </row>
    <row r="52" spans="2:46">
      <c r="B52" s="14" t="str">
        <f>'CLEAN P&amp;L'!B41</f>
        <v>Capital Reserves</v>
      </c>
      <c r="C52" s="209">
        <f>'CLEAN P&amp;L'!H41</f>
        <v>0</v>
      </c>
      <c r="D52" s="210" t="e">
        <f>C52/$C$22</f>
        <v>#DIV/0!</v>
      </c>
      <c r="E52" s="209">
        <f>IF(E5="","",PROJECTIONS!J83)</f>
        <v>0</v>
      </c>
      <c r="F52" s="214" t="e">
        <f>IF(E5="","",E52/E22)</f>
        <v>#DIV/0!</v>
      </c>
      <c r="G52" s="209" t="str">
        <f>IF(G5="","",PROJECTIONS!L83)</f>
        <v/>
      </c>
      <c r="H52" s="214" t="str">
        <f t="shared" ref="H52" si="360">IF(G5="","",G52/G22)</f>
        <v/>
      </c>
      <c r="I52" s="209" t="str">
        <f>IF(I5="","",PROJECTIONS!N83)</f>
        <v/>
      </c>
      <c r="J52" s="214" t="str">
        <f t="shared" ref="J52" si="361">IF(I5="","",I52/I22)</f>
        <v/>
      </c>
      <c r="K52" s="209" t="str">
        <f>IF(K5="","",PROJECTIONS!P83)</f>
        <v/>
      </c>
      <c r="L52" s="214" t="str">
        <f t="shared" ref="L52" si="362">IF(K5="","",K52/K22)</f>
        <v/>
      </c>
      <c r="M52" s="209" t="str">
        <f>IF(M5="","",PROJECTIONS!R83)</f>
        <v/>
      </c>
      <c r="N52" s="214" t="str">
        <f t="shared" ref="N52" si="363">IF(M5="","",M52/M22)</f>
        <v/>
      </c>
      <c r="O52" s="209" t="str">
        <f>IF(O5="","",PROJECTIONS!T83)</f>
        <v/>
      </c>
      <c r="P52" s="214" t="str">
        <f t="shared" ref="P52" si="364">IF(O5="","",O52/O22)</f>
        <v/>
      </c>
      <c r="Q52" s="209" t="str">
        <f>IF(Q5="","",PROJECTIONS!V83)</f>
        <v/>
      </c>
      <c r="R52" s="214" t="str">
        <f t="shared" ref="R52" si="365">IF(Q5="","",Q52/Q22)</f>
        <v/>
      </c>
      <c r="S52" s="209" t="str">
        <f>IF(S5="","",PROJECTIONS!X83)</f>
        <v/>
      </c>
      <c r="T52" s="214" t="str">
        <f t="shared" ref="T52" si="366">IF(S5="","",S52/S22)</f>
        <v/>
      </c>
      <c r="U52" s="209" t="str">
        <f>IF(U5="","",PROJECTIONS!Z83)</f>
        <v/>
      </c>
      <c r="V52" s="214" t="str">
        <f t="shared" ref="V52" si="367">IF(U5="","",U52/U22)</f>
        <v/>
      </c>
      <c r="W52" s="209" t="str">
        <f>IF(W5="","",PROJECTIONS!AB83)</f>
        <v/>
      </c>
      <c r="X52" s="214" t="str">
        <f t="shared" ref="X52" si="368">IF(W5="","",W52/W22)</f>
        <v/>
      </c>
      <c r="Y52" s="5"/>
      <c r="Z52" s="5"/>
      <c r="AA52" s="5"/>
      <c r="AB52" s="5"/>
      <c r="AC52" s="5"/>
      <c r="AD52" s="5"/>
      <c r="AE52" s="5"/>
      <c r="AF52" s="5"/>
      <c r="AG52" s="5"/>
      <c r="AH52" s="5"/>
      <c r="AI52" s="5"/>
      <c r="AJ52" s="5"/>
      <c r="AK52" s="5"/>
      <c r="AL52" s="5"/>
      <c r="AM52" s="5"/>
      <c r="AN52" s="5"/>
      <c r="AO52" s="5"/>
      <c r="AP52" s="5"/>
      <c r="AQ52" s="5"/>
      <c r="AR52" s="5"/>
      <c r="AS52" s="5"/>
      <c r="AT52" s="5"/>
    </row>
    <row r="53" spans="2:46">
      <c r="B53" s="14" t="s">
        <v>422</v>
      </c>
      <c r="C53" s="209">
        <f>'CLEAN P&amp;L'!H42</f>
        <v>0</v>
      </c>
      <c r="D53" s="210" t="e">
        <f>C53/$C$22</f>
        <v>#DIV/0!</v>
      </c>
      <c r="E53" s="209">
        <f>IF(E5="","",PROJECTIONS!J80)</f>
        <v>0</v>
      </c>
      <c r="F53" s="214" t="e">
        <f>IF(E5="","",E53/E22)</f>
        <v>#DIV/0!</v>
      </c>
      <c r="G53" s="209" t="str">
        <f>IF(G5="","",PROJECTIONS!L80)</f>
        <v/>
      </c>
      <c r="H53" s="214" t="str">
        <f t="shared" ref="H53" si="369">IF(G5="","",G53/G22)</f>
        <v/>
      </c>
      <c r="I53" s="209" t="str">
        <f>IF(I5="","",PROJECTIONS!N80)</f>
        <v/>
      </c>
      <c r="J53" s="214" t="str">
        <f t="shared" ref="J53" si="370">IF(I5="","",I53/I22)</f>
        <v/>
      </c>
      <c r="K53" s="209" t="str">
        <f>IF(K5="","",PROJECTIONS!P80)</f>
        <v/>
      </c>
      <c r="L53" s="214" t="str">
        <f t="shared" ref="L53" si="371">IF(K5="","",K53/K22)</f>
        <v/>
      </c>
      <c r="M53" s="209" t="str">
        <f>IF(M5="","",PROJECTIONS!R80)</f>
        <v/>
      </c>
      <c r="N53" s="214" t="str">
        <f t="shared" ref="N53" si="372">IF(M5="","",M53/M22)</f>
        <v/>
      </c>
      <c r="O53" s="209" t="str">
        <f>IF(O5="","",PROJECTIONS!T80)</f>
        <v/>
      </c>
      <c r="P53" s="214" t="str">
        <f t="shared" ref="P53" si="373">IF(O5="","",O53/O22)</f>
        <v/>
      </c>
      <c r="Q53" s="209" t="str">
        <f>IF(Q5="","",PROJECTIONS!V80)</f>
        <v/>
      </c>
      <c r="R53" s="214" t="str">
        <f t="shared" ref="R53" si="374">IF(Q5="","",Q53/Q22)</f>
        <v/>
      </c>
      <c r="S53" s="209" t="str">
        <f>IF(S5="","",PROJECTIONS!X80)</f>
        <v/>
      </c>
      <c r="T53" s="214" t="str">
        <f t="shared" ref="T53" si="375">IF(S5="","",S53/S22)</f>
        <v/>
      </c>
      <c r="U53" s="209" t="str">
        <f>IF(U5="","",PROJECTIONS!Z80)</f>
        <v/>
      </c>
      <c r="V53" s="214" t="str">
        <f t="shared" ref="V53" si="376">IF(U5="","",U53/U22)</f>
        <v/>
      </c>
      <c r="W53" s="209" t="str">
        <f>IF(W5="","",PROJECTIONS!AB80)</f>
        <v/>
      </c>
      <c r="X53" s="214" t="str">
        <f t="shared" ref="X53" si="377">IF(W5="","",W53/W22)</f>
        <v/>
      </c>
      <c r="Y53" s="5"/>
      <c r="Z53" s="5"/>
      <c r="AA53" s="5"/>
      <c r="AB53" s="5"/>
      <c r="AC53" s="5"/>
      <c r="AD53" s="5"/>
      <c r="AE53" s="5"/>
      <c r="AF53" s="5"/>
      <c r="AG53" s="5"/>
      <c r="AH53" s="5"/>
      <c r="AI53" s="5"/>
      <c r="AJ53" s="5"/>
      <c r="AK53" s="5"/>
      <c r="AL53" s="5"/>
      <c r="AM53" s="5"/>
      <c r="AN53" s="5"/>
      <c r="AO53" s="5"/>
      <c r="AP53" s="5"/>
      <c r="AQ53" s="5"/>
      <c r="AR53" s="5"/>
      <c r="AS53" s="5"/>
      <c r="AT53" s="5"/>
    </row>
    <row r="54" spans="2:46" ht="6" customHeight="1">
      <c r="B54" s="14"/>
      <c r="C54" s="209"/>
      <c r="D54" s="182"/>
      <c r="E54" s="209"/>
      <c r="F54" s="213"/>
      <c r="G54" s="209"/>
      <c r="H54" s="213"/>
      <c r="I54" s="209"/>
      <c r="J54" s="213"/>
      <c r="K54" s="209"/>
      <c r="L54" s="213"/>
      <c r="M54" s="209"/>
      <c r="N54" s="213"/>
      <c r="O54" s="209"/>
      <c r="P54" s="213"/>
      <c r="Q54" s="209"/>
      <c r="R54" s="213"/>
      <c r="S54" s="209"/>
      <c r="T54" s="213"/>
      <c r="U54" s="209"/>
      <c r="V54" s="213"/>
      <c r="W54" s="209"/>
      <c r="X54" s="213"/>
      <c r="Y54" s="5"/>
      <c r="Z54" s="5"/>
      <c r="AA54" s="5"/>
      <c r="AB54" s="5"/>
      <c r="AC54" s="5"/>
      <c r="AD54" s="5"/>
      <c r="AE54" s="5"/>
      <c r="AF54" s="5"/>
      <c r="AG54" s="5"/>
      <c r="AH54" s="5"/>
      <c r="AI54" s="5"/>
      <c r="AJ54" s="5"/>
      <c r="AK54" s="5"/>
      <c r="AL54" s="5"/>
      <c r="AM54" s="5"/>
      <c r="AN54" s="5"/>
      <c r="AO54" s="5"/>
      <c r="AP54" s="5"/>
      <c r="AQ54" s="5"/>
      <c r="AR54" s="5"/>
      <c r="AS54" s="5"/>
      <c r="AT54" s="5"/>
    </row>
    <row r="55" spans="2:46" s="301" customFormat="1" ht="17" customHeight="1">
      <c r="B55" s="675" t="s">
        <v>41</v>
      </c>
      <c r="C55" s="676">
        <f>C50-(C52+C53)</f>
        <v>0</v>
      </c>
      <c r="D55" s="677" t="e">
        <f>C55/C22</f>
        <v>#DIV/0!</v>
      </c>
      <c r="E55" s="941">
        <f>IF(E5="","",E50-(E52+E53))</f>
        <v>0</v>
      </c>
      <c r="F55" s="678" t="e">
        <f>IF(E5="","",E55/E22)</f>
        <v>#DIV/0!</v>
      </c>
      <c r="G55" s="941" t="str">
        <f t="shared" ref="G55" si="378">IF(G5="","",G50-(G52+G53))</f>
        <v/>
      </c>
      <c r="H55" s="678" t="str">
        <f t="shared" ref="H55" si="379">IF(G5="","",G55/G22)</f>
        <v/>
      </c>
      <c r="I55" s="941" t="str">
        <f t="shared" ref="I55" si="380">IF(I5="","",I50-(I52+I53))</f>
        <v/>
      </c>
      <c r="J55" s="678" t="str">
        <f t="shared" ref="J55" si="381">IF(I5="","",I55/I22)</f>
        <v/>
      </c>
      <c r="K55" s="941" t="str">
        <f t="shared" ref="K55" si="382">IF(K5="","",K50-(K52+K53))</f>
        <v/>
      </c>
      <c r="L55" s="678" t="str">
        <f t="shared" ref="L55" si="383">IF(K5="","",K55/K22)</f>
        <v/>
      </c>
      <c r="M55" s="941" t="str">
        <f t="shared" ref="M55" si="384">IF(M5="","",M50-(M52+M53))</f>
        <v/>
      </c>
      <c r="N55" s="678" t="str">
        <f t="shared" ref="N55" si="385">IF(M5="","",M55/M22)</f>
        <v/>
      </c>
      <c r="O55" s="941" t="str">
        <f t="shared" ref="O55" si="386">IF(O5="","",O50-(O52+O53))</f>
        <v/>
      </c>
      <c r="P55" s="678" t="str">
        <f t="shared" ref="P55" si="387">IF(O5="","",O55/O22)</f>
        <v/>
      </c>
      <c r="Q55" s="941" t="str">
        <f t="shared" ref="Q55" si="388">IF(Q5="","",Q50-(Q52+Q53))</f>
        <v/>
      </c>
      <c r="R55" s="678" t="str">
        <f t="shared" ref="R55" si="389">IF(Q5="","",Q55/Q22)</f>
        <v/>
      </c>
      <c r="S55" s="941" t="str">
        <f t="shared" ref="S55" si="390">IF(S5="","",S50-(S52+S53))</f>
        <v/>
      </c>
      <c r="T55" s="678" t="str">
        <f t="shared" ref="T55" si="391">IF(S5="","",S55/S22)</f>
        <v/>
      </c>
      <c r="U55" s="941" t="str">
        <f t="shared" ref="U55" si="392">IF(U5="","",U50-(U52+U53))</f>
        <v/>
      </c>
      <c r="V55" s="678" t="str">
        <f t="shared" ref="V55" si="393">IF(U5="","",U55/U22)</f>
        <v/>
      </c>
      <c r="W55" s="941" t="str">
        <f t="shared" ref="W55" si="394">IF(W5="","",W50-(W52+W53))</f>
        <v/>
      </c>
      <c r="X55" s="678" t="str">
        <f t="shared" ref="X55" si="395">IF(W5="","",W55/W22)</f>
        <v/>
      </c>
      <c r="Y55" s="673"/>
      <c r="Z55" s="673"/>
      <c r="AA55" s="673"/>
      <c r="AB55" s="673"/>
      <c r="AC55" s="673"/>
      <c r="AD55" s="673"/>
      <c r="AE55" s="673"/>
      <c r="AF55" s="673"/>
      <c r="AG55" s="673"/>
      <c r="AH55" s="673"/>
      <c r="AI55" s="673"/>
      <c r="AJ55" s="673"/>
      <c r="AK55" s="673"/>
      <c r="AL55" s="673"/>
      <c r="AM55" s="673"/>
      <c r="AN55" s="673"/>
      <c r="AO55" s="673"/>
      <c r="AP55" s="673"/>
      <c r="AQ55" s="673"/>
      <c r="AR55" s="673"/>
      <c r="AS55" s="673"/>
      <c r="AT55" s="673"/>
    </row>
    <row r="56" spans="2:46">
      <c r="B56" s="133" t="s">
        <v>244</v>
      </c>
      <c r="C56" s="5"/>
      <c r="D56" s="942"/>
      <c r="E56" s="939">
        <f>IF(E5="","",IF(AND(INPUTS!$C$33&lt;&gt;"",E5&gt;=INPUTS!$C$33),-DEBT!$AB$10,-DEBT!$M$9))</f>
        <v>0</v>
      </c>
      <c r="F56" s="939"/>
      <c r="G56" s="939" t="str">
        <f>IF(G5="","",IF(AND(INPUTS!$C$33&lt;&gt;"",G5&gt;=INPUTS!$C$33),-DEBT!$AB$10,-DEBT!$M$9))</f>
        <v/>
      </c>
      <c r="H56" s="939" t="str">
        <f>IF(H5="","",IF(AND(INPUTS!$C$33&lt;&gt;"",H5&gt;=INPUTS!$C$33),-DEBT!$AB$10,-DEBT!$M$9))</f>
        <v/>
      </c>
      <c r="I56" s="939" t="str">
        <f>IF(I5="","",IF(AND(INPUTS!$C$33&lt;&gt;"",I5&gt;=INPUTS!$C$33),-DEBT!$AB$10,-DEBT!$M$9))</f>
        <v/>
      </c>
      <c r="J56" s="939" t="str">
        <f>IF(J5="","",IF(AND(INPUTS!$C$33&lt;&gt;"",J5&gt;=INPUTS!$C$33),-DEBT!$AB$10,-DEBT!$M$9))</f>
        <v/>
      </c>
      <c r="K56" s="939" t="str">
        <f>IF(K5="","",IF(AND(INPUTS!$C$33&lt;&gt;"",K5&gt;=INPUTS!$C$33),-DEBT!$AB$10,-DEBT!$M$9))</f>
        <v/>
      </c>
      <c r="L56" s="939" t="str">
        <f>IF(L5="","",IF(AND(INPUTS!$C$33&lt;&gt;"",L5&gt;=INPUTS!$C$33),-DEBT!$AB$10,-DEBT!$M$9))</f>
        <v/>
      </c>
      <c r="M56" s="939" t="str">
        <f>IF(M5="","",IF(AND(INPUTS!$C$33&lt;&gt;"",M5&gt;=INPUTS!$C$33),-DEBT!$AB$10,-DEBT!$M$9))</f>
        <v/>
      </c>
      <c r="N56" s="939" t="str">
        <f>IF(N5="","",IF(AND(INPUTS!$C$33&lt;&gt;"",N5&gt;=INPUTS!$C$33),-DEBT!$AB$10,-DEBT!$M$9))</f>
        <v/>
      </c>
      <c r="O56" s="939" t="str">
        <f>IF(O5="","",IF(AND(INPUTS!$C$33&lt;&gt;"",O5&gt;=INPUTS!$C$33),-DEBT!$AB$10,-DEBT!$M$9))</f>
        <v/>
      </c>
      <c r="P56" s="939" t="str">
        <f>IF(P5="","",IF(AND(INPUTS!$C$33&lt;&gt;"",P5&gt;=INPUTS!$C$33),-DEBT!$AB$10,-DEBT!$M$9))</f>
        <v/>
      </c>
      <c r="Q56" s="939" t="str">
        <f>IF(Q5="","",IF(AND(INPUTS!$C$33&lt;&gt;"",Q5&gt;=INPUTS!$C$33),-DEBT!$AB$10,-DEBT!$M$9))</f>
        <v/>
      </c>
      <c r="R56" s="939" t="str">
        <f>IF(R5="","",IF(AND(INPUTS!$C$33&lt;&gt;"",R5&gt;=INPUTS!$C$33),-DEBT!$AB$10,-DEBT!$M$9))</f>
        <v/>
      </c>
      <c r="S56" s="939" t="str">
        <f>IF(S5="","",IF(AND(INPUTS!$C$33&lt;&gt;"",S5&gt;=INPUTS!$C$33),-DEBT!$AB$10,-DEBT!$M$9))</f>
        <v/>
      </c>
      <c r="T56" s="939" t="str">
        <f>IF(T5="","",IF(AND(INPUTS!$C$33&lt;&gt;"",T5&gt;=INPUTS!$C$33),-DEBT!$AB$10,-DEBT!$M$9))</f>
        <v/>
      </c>
      <c r="U56" s="939" t="str">
        <f>IF(U5="","",IF(AND(INPUTS!$C$33&lt;&gt;"",U5&gt;=INPUTS!$C$33),-DEBT!$AB$10,-DEBT!$M$9))</f>
        <v/>
      </c>
      <c r="V56" s="939" t="str">
        <f>IF(V5="","",IF(AND(INPUTS!$C$33&lt;&gt;"",V5&gt;=INPUTS!$C$33),-DEBT!$AB$10,-DEBT!$M$9))</f>
        <v/>
      </c>
      <c r="W56" s="939" t="str">
        <f>IF(W5="","",IF(AND(INPUTS!$C$33&lt;&gt;"",W5&gt;=INPUTS!$C$33),-DEBT!$AB$10,-DEBT!$M$9))</f>
        <v/>
      </c>
      <c r="X56" s="939"/>
      <c r="Y56" s="5"/>
      <c r="Z56" s="5"/>
      <c r="AA56" s="5"/>
      <c r="AB56" s="5"/>
      <c r="AC56" s="5"/>
      <c r="AD56" s="5"/>
      <c r="AE56" s="5"/>
      <c r="AF56" s="5"/>
      <c r="AG56" s="5"/>
      <c r="AH56" s="5"/>
      <c r="AI56" s="5"/>
      <c r="AJ56" s="5"/>
      <c r="AK56" s="5"/>
      <c r="AL56" s="5"/>
      <c r="AM56" s="5"/>
      <c r="AN56" s="5"/>
      <c r="AO56" s="5"/>
      <c r="AP56" s="5"/>
      <c r="AQ56" s="5"/>
      <c r="AR56" s="5"/>
      <c r="AS56" s="5"/>
      <c r="AT56" s="5"/>
    </row>
    <row r="57" spans="2:46">
      <c r="B57" s="200" t="s">
        <v>524</v>
      </c>
      <c r="C57" s="5"/>
      <c r="D57" s="124"/>
      <c r="E57" s="939">
        <f>IF(E5="","",E55+E56+E58)</f>
        <v>0</v>
      </c>
      <c r="F57" s="939"/>
      <c r="G57" s="939" t="str">
        <f>IF(G5="","",G55+G56+G58)</f>
        <v/>
      </c>
      <c r="H57" s="939"/>
      <c r="I57" s="939" t="str">
        <f>IF(I5="","",I55+I56+I58)</f>
        <v/>
      </c>
      <c r="J57" s="939"/>
      <c r="K57" s="939" t="str">
        <f>IF(K5="","",K55+K56+K58)</f>
        <v/>
      </c>
      <c r="L57" s="939"/>
      <c r="M57" s="939" t="str">
        <f>IF(M5="","",M55+M56+M58)</f>
        <v/>
      </c>
      <c r="N57" s="939"/>
      <c r="O57" s="939" t="str">
        <f>IF(O5="","",O55+O56+O58)</f>
        <v/>
      </c>
      <c r="P57" s="939"/>
      <c r="Q57" s="939" t="str">
        <f>IF(Q5="","",Q55+Q56+Q58)</f>
        <v/>
      </c>
      <c r="R57" s="939"/>
      <c r="S57" s="939" t="str">
        <f>IF(S5="","",S55+S56+S58)</f>
        <v/>
      </c>
      <c r="T57" s="939"/>
      <c r="U57" s="939" t="str">
        <f>IF(U5="","",U55+U56+U58)</f>
        <v/>
      </c>
      <c r="V57" s="939"/>
      <c r="W57" s="939" t="str">
        <f>IF(W5="","",W55+W56+W58)</f>
        <v/>
      </c>
      <c r="X57" s="939"/>
      <c r="Y57" s="5"/>
      <c r="Z57" s="5"/>
      <c r="AA57" s="5"/>
      <c r="AB57" s="5"/>
      <c r="AC57" s="5"/>
      <c r="AD57" s="5"/>
      <c r="AE57" s="5"/>
      <c r="AF57" s="5"/>
      <c r="AG57" s="5"/>
      <c r="AH57" s="5"/>
      <c r="AI57" s="5"/>
      <c r="AJ57" s="5"/>
      <c r="AK57" s="5"/>
      <c r="AL57" s="5"/>
      <c r="AM57" s="5"/>
      <c r="AN57" s="5"/>
      <c r="AO57" s="5"/>
      <c r="AP57" s="5"/>
      <c r="AQ57" s="5"/>
      <c r="AR57" s="5"/>
      <c r="AS57" s="5"/>
      <c r="AT57" s="5"/>
    </row>
    <row r="58" spans="2:46">
      <c r="B58" s="200" t="s">
        <v>668</v>
      </c>
      <c r="C58" s="5"/>
      <c r="D58" s="124"/>
      <c r="E58" s="939" cm="1">
        <f t="array" ref="E58">IF(E5="","",IF(INPUTS!$C$24&lt;&gt;"Yes",0,IF(AND(INPUTS!$C$33&lt;&gt;"",E5&gt;=INPUTS!$C$33),0,-INDEX(PIP!$W$5:$W$14,E5))))</f>
        <v>0</v>
      </c>
      <c r="F58" s="939"/>
      <c r="G58" s="939" t="str" cm="1">
        <f t="array" ref="G58">IF(G5="","",IF(INPUTS!$C$24&lt;&gt;"Yes",0,IF(AND(INPUTS!$C$33&lt;&gt;"",G5&gt;=INPUTS!$C$33),0,-INDEX(PIP!$W$5:$W$14,G5))))</f>
        <v/>
      </c>
      <c r="H58" s="939"/>
      <c r="I58" s="939" t="str" cm="1">
        <f t="array" ref="I58">IF(I5="","",IF(INPUTS!$C$24&lt;&gt;"Yes",0,IF(AND(INPUTS!$C$33&lt;&gt;"",I5&gt;=INPUTS!$C$33),0,-INDEX(PIP!$W$5:$W$14,I5))))</f>
        <v/>
      </c>
      <c r="J58" s="939"/>
      <c r="K58" s="939" t="str" cm="1">
        <f t="array" ref="K58">IF(K5="","",IF(INPUTS!$C$24&lt;&gt;"Yes",0,IF(AND(INPUTS!$C$33&lt;&gt;"",K5&gt;=INPUTS!$C$33),0,-INDEX(PIP!$W$5:$W$14,K5))))</f>
        <v/>
      </c>
      <c r="L58" s="939"/>
      <c r="M58" s="939" t="str" cm="1">
        <f t="array" ref="M58">IF(M5="","",IF(INPUTS!$C$24&lt;&gt;"Yes",0,IF(AND(INPUTS!$C$33&lt;&gt;"",M5&gt;=INPUTS!$C$33),0,-INDEX(PIP!$W$5:$W$14,M5))))</f>
        <v/>
      </c>
      <c r="N58" s="939"/>
      <c r="O58" s="939" t="str" cm="1">
        <f t="array" ref="O58">IF(O5="","",IF(INPUTS!$C$24&lt;&gt;"Yes",0,IF(AND(INPUTS!$C$33&lt;&gt;"",O5&gt;=INPUTS!$C$33),0,-INDEX(PIP!$W$5:$W$14,O5))))</f>
        <v/>
      </c>
      <c r="P58" s="939"/>
      <c r="Q58" s="939" t="str" cm="1">
        <f t="array" ref="Q58">IF(Q5="","",IF(INPUTS!$C$24&lt;&gt;"Yes",0,IF(AND(INPUTS!$C$33&lt;&gt;"",Q5&gt;=INPUTS!$C$33),0,-INDEX(PIP!$W$5:$W$14,Q5))))</f>
        <v/>
      </c>
      <c r="R58" s="939"/>
      <c r="S58" s="939" t="str" cm="1">
        <f t="array" ref="S58">IF(S5="","",IF(INPUTS!$C$24&lt;&gt;"Yes",0,IF(AND(INPUTS!$C$33&lt;&gt;"",S5&gt;=INPUTS!$C$33),0,-INDEX(PIP!$W$5:$W$14,S5))))</f>
        <v/>
      </c>
      <c r="T58" s="939"/>
      <c r="U58" s="939" t="str" cm="1">
        <f t="array" ref="U58">IF(U5="","",IF(INPUTS!$C$24&lt;&gt;"Yes",0,IF(AND(INPUTS!$C$33&lt;&gt;"",U5&gt;=INPUTS!$C$33),0,-INDEX(PIP!$W$5:$W$14,U5))))</f>
        <v/>
      </c>
      <c r="V58" s="939"/>
      <c r="W58" s="939" t="str" cm="1">
        <f t="array" ref="W58">IF(W5="","",IF(INPUTS!$C$24&lt;&gt;"Yes",0,IF(AND(INPUTS!$C$33&lt;&gt;"",W5&gt;=INPUTS!$C$33),0,-INDEX(PIP!$W$5:$W$14,W5))))</f>
        <v/>
      </c>
      <c r="X58" s="939"/>
      <c r="Y58" s="5"/>
      <c r="Z58" s="5"/>
      <c r="AA58" s="5"/>
      <c r="AB58" s="5"/>
      <c r="AC58" s="5"/>
      <c r="AD58" s="5"/>
      <c r="AE58" s="5"/>
      <c r="AF58" s="5"/>
      <c r="AG58" s="5"/>
      <c r="AH58" s="5"/>
      <c r="AI58" s="5"/>
      <c r="AJ58" s="5"/>
      <c r="AK58" s="5"/>
      <c r="AL58" s="5"/>
      <c r="AM58" s="5"/>
      <c r="AN58" s="5"/>
      <c r="AO58" s="5"/>
      <c r="AP58" s="5"/>
      <c r="AQ58" s="5"/>
      <c r="AR58" s="5"/>
      <c r="AS58" s="5"/>
      <c r="AT58" s="5"/>
    </row>
    <row r="59" spans="2:46">
      <c r="B59" s="200" t="s">
        <v>670</v>
      </c>
      <c r="C59" s="5"/>
      <c r="D59" s="124"/>
      <c r="E59" s="940" cm="1">
        <f t="array" ref="E59">IF(E5="","",IF(INPUTS!$C$24&lt;&gt;"Yes",0,IF(AND(INPUTS!$C$33&lt;&gt;"",E5&gt;=INPUTS!$C$33),0,INDEX(PIP!$Z$5:$Z$14,E5))))</f>
        <v>0</v>
      </c>
      <c r="F59" s="940"/>
      <c r="G59" s="940" t="str" cm="1">
        <f t="array" ref="G59">IF(G5="","",IF(INPUTS!$C$24&lt;&gt;"Yes",0,IF(AND(INPUTS!$C$33&lt;&gt;"",G5&gt;=INPUTS!$C$33),0,INDEX(PIP!$Z$5:$Z$14,G5))))</f>
        <v/>
      </c>
      <c r="H59" s="940"/>
      <c r="I59" s="940" t="str" cm="1">
        <f t="array" ref="I59">IF(I5="","",IF(INPUTS!$C$24&lt;&gt;"Yes",0,IF(AND(INPUTS!$C$33&lt;&gt;"",I5&gt;=INPUTS!$C$33),0,INDEX(PIP!$Z$5:$Z$14,I5))))</f>
        <v/>
      </c>
      <c r="J59" s="940"/>
      <c r="K59" s="940" t="str" cm="1">
        <f t="array" ref="K59">IF(K5="","",IF(INPUTS!$C$24&lt;&gt;"Yes",0,IF(AND(INPUTS!$C$33&lt;&gt;"",K5&gt;=INPUTS!$C$33),0,INDEX(PIP!$Z$5:$Z$14,K5))))</f>
        <v/>
      </c>
      <c r="L59" s="940"/>
      <c r="M59" s="940" t="str" cm="1">
        <f t="array" ref="M59">IF(M5="","",IF(INPUTS!$C$24&lt;&gt;"Yes",0,IF(AND(INPUTS!$C$33&lt;&gt;"",M5&gt;=INPUTS!$C$33),0,INDEX(PIP!$Z$5:$Z$14,M5))))</f>
        <v/>
      </c>
      <c r="N59" s="940"/>
      <c r="O59" s="940" t="str" cm="1">
        <f t="array" ref="O59">IF(O5="","",IF(INPUTS!$C$24&lt;&gt;"Yes",0,IF(AND(INPUTS!$C$33&lt;&gt;"",O5&gt;=INPUTS!$C$33),0,INDEX(PIP!$Z$5:$Z$14,O5))))</f>
        <v/>
      </c>
      <c r="P59" s="940"/>
      <c r="Q59" s="940" t="str" cm="1">
        <f t="array" ref="Q59">IF(Q5="","",IF(INPUTS!$C$24&lt;&gt;"Yes",0,IF(AND(INPUTS!$C$33&lt;&gt;"",Q5&gt;=INPUTS!$C$33),0,INDEX(PIP!$Z$5:$Z$14,Q5))))</f>
        <v/>
      </c>
      <c r="R59" s="940"/>
      <c r="S59" s="940" t="str" cm="1">
        <f t="array" ref="S59">IF(S5="","",IF(INPUTS!$C$24&lt;&gt;"Yes",0,IF(AND(INPUTS!$C$33&lt;&gt;"",S5&gt;=INPUTS!$C$33),0,INDEX(PIP!$Z$5:$Z$14,S5))))</f>
        <v/>
      </c>
      <c r="T59" s="940"/>
      <c r="U59" s="940" t="str" cm="1">
        <f t="array" ref="U59">IF(U5="","",IF(INPUTS!$C$24&lt;&gt;"Yes",0,IF(AND(INPUTS!$C$33&lt;&gt;"",U5&gt;=INPUTS!$C$33),0,INDEX(PIP!$Z$5:$Z$14,U5))))</f>
        <v/>
      </c>
      <c r="V59" s="940"/>
      <c r="W59" s="940" t="str" cm="1">
        <f t="array" ref="W59">IF(W5="","",IF(INPUTS!$C$24&lt;&gt;"Yes",0,IF(AND(INPUTS!$C$33&lt;&gt;"",W5&gt;=INPUTS!$C$33),0,INDEX(PIP!$Z$5:$Z$14,W5))))</f>
        <v/>
      </c>
      <c r="X59" s="940"/>
      <c r="Y59" s="5"/>
      <c r="Z59" s="5"/>
      <c r="AA59" s="5"/>
      <c r="AB59" s="5"/>
      <c r="AC59" s="5"/>
      <c r="AD59" s="5"/>
      <c r="AE59" s="5"/>
      <c r="AF59" s="5"/>
      <c r="AG59" s="5"/>
      <c r="AH59" s="5"/>
      <c r="AI59" s="5"/>
      <c r="AJ59" s="5"/>
      <c r="AK59" s="5"/>
      <c r="AL59" s="5"/>
      <c r="AM59" s="5"/>
      <c r="AN59" s="5"/>
      <c r="AO59" s="5"/>
      <c r="AP59" s="5"/>
      <c r="AQ59" s="5"/>
      <c r="AR59" s="5"/>
      <c r="AS59" s="5"/>
      <c r="AT59" s="5"/>
    </row>
    <row r="60" spans="2:46">
      <c r="B60" s="133" t="s">
        <v>245</v>
      </c>
      <c r="C60" s="5"/>
      <c r="D60" s="124"/>
      <c r="E60" s="939" cm="1">
        <f t="array" ref="E60">IF(E5="","",INDEX(PIP!$R$5:$R$14,E5))</f>
        <v>0</v>
      </c>
      <c r="F60" s="939"/>
      <c r="G60" s="939" t="str" cm="1">
        <f t="array" ref="G60">IF(G5="","",INDEX(PIP!$R$5:$R$14,G5))</f>
        <v/>
      </c>
      <c r="H60" s="939"/>
      <c r="I60" s="939" t="str" cm="1">
        <f t="array" ref="I60">IF(I5="","",INDEX(PIP!$R$5:$R$14,I5))</f>
        <v/>
      </c>
      <c r="J60" s="939"/>
      <c r="K60" s="939" t="str" cm="1">
        <f t="array" ref="K60">IF(K5="","",INDEX(PIP!$R$5:$R$14,K5))</f>
        <v/>
      </c>
      <c r="L60" s="939"/>
      <c r="M60" s="939" t="str" cm="1">
        <f t="array" ref="M60">IF(M5="","",INDEX(PIP!$R$5:$R$14,M5))</f>
        <v/>
      </c>
      <c r="N60" s="939"/>
      <c r="O60" s="939" t="str" cm="1">
        <f t="array" ref="O60">IF(O5="","",INDEX(PIP!$R$5:$R$14,O5))</f>
        <v/>
      </c>
      <c r="P60" s="939"/>
      <c r="Q60" s="939" t="str" cm="1">
        <f t="array" ref="Q60">IF(Q5="","",INDEX(PIP!$R$5:$R$14,Q5))</f>
        <v/>
      </c>
      <c r="R60" s="939"/>
      <c r="S60" s="939" t="str" cm="1">
        <f t="array" ref="S60">IF(S5="","",INDEX(PIP!$R$5:$R$14,S5))</f>
        <v/>
      </c>
      <c r="T60" s="939"/>
      <c r="U60" s="939" t="str" cm="1">
        <f t="array" ref="U60">IF(U5="","",INDEX(PIP!$R$5:$R$14,U5))</f>
        <v/>
      </c>
      <c r="V60" s="939"/>
      <c r="W60" s="939" t="str" cm="1">
        <f t="array" ref="W60">IF(W5="","",INDEX(PIP!$R$5:$R$14,W5))</f>
        <v/>
      </c>
      <c r="X60" s="939"/>
      <c r="Y60" s="5"/>
      <c r="Z60" s="5"/>
      <c r="AA60" s="5"/>
      <c r="AB60" s="5"/>
      <c r="AC60" s="5"/>
      <c r="AD60" s="5"/>
      <c r="AE60" s="5"/>
      <c r="AF60" s="5"/>
      <c r="AG60" s="5"/>
      <c r="AH60" s="5"/>
      <c r="AI60" s="5"/>
      <c r="AJ60" s="5"/>
      <c r="AK60" s="5"/>
      <c r="AL60" s="5"/>
      <c r="AM60" s="5"/>
      <c r="AN60" s="5"/>
      <c r="AO60" s="5"/>
      <c r="AP60" s="5"/>
      <c r="AQ60" s="5"/>
      <c r="AR60" s="5"/>
      <c r="AS60" s="5"/>
      <c r="AT60" s="5"/>
    </row>
    <row r="61" spans="2:46">
      <c r="B61" s="133" t="s">
        <v>191</v>
      </c>
      <c r="C61" s="5"/>
      <c r="D61" s="124"/>
      <c r="E61" s="939">
        <f>IF(E5="","",E22*INPUTS!$F$13)</f>
        <v>0</v>
      </c>
      <c r="F61" s="939"/>
      <c r="G61" s="939" t="str">
        <f>IF(G5="","",G22*INPUTS!$F$13)</f>
        <v/>
      </c>
      <c r="H61" s="939"/>
      <c r="I61" s="939" t="str">
        <f>IF(I5="","",I22*INPUTS!$F$13)</f>
        <v/>
      </c>
      <c r="J61" s="939"/>
      <c r="K61" s="939" t="str">
        <f>IF(K5="","",K22*INPUTS!$F$13)</f>
        <v/>
      </c>
      <c r="L61" s="939"/>
      <c r="M61" s="939" t="str">
        <f>IF(M5="","",M22*INPUTS!$F$13)</f>
        <v/>
      </c>
      <c r="N61" s="939"/>
      <c r="O61" s="939" t="str">
        <f>IF(O5="","",O22*INPUTS!$F$13)</f>
        <v/>
      </c>
      <c r="P61" s="939"/>
      <c r="Q61" s="939" t="str">
        <f>IF(Q5="","",Q22*INPUTS!$F$13)</f>
        <v/>
      </c>
      <c r="R61" s="939"/>
      <c r="S61" s="939" t="str">
        <f>IF(S5="","",S22*INPUTS!$F$13)</f>
        <v/>
      </c>
      <c r="T61" s="939"/>
      <c r="U61" s="939" t="str">
        <f>IF(U5="","",U22*INPUTS!$F$13)</f>
        <v/>
      </c>
      <c r="V61" s="939"/>
      <c r="W61" s="939" t="str">
        <f>IF(W5="","",W22*INPUTS!$F$13)</f>
        <v/>
      </c>
      <c r="X61" s="939"/>
      <c r="Y61" s="5"/>
      <c r="Z61" s="5"/>
      <c r="AA61" s="5"/>
      <c r="AB61" s="5"/>
      <c r="AC61" s="5"/>
      <c r="AD61" s="5"/>
      <c r="AE61" s="5"/>
      <c r="AF61" s="5"/>
      <c r="AG61" s="5"/>
      <c r="AH61" s="5"/>
      <c r="AI61" s="5"/>
      <c r="AJ61" s="5"/>
      <c r="AK61" s="5"/>
      <c r="AL61" s="5"/>
      <c r="AM61" s="5"/>
      <c r="AN61" s="5"/>
      <c r="AO61" s="5"/>
      <c r="AP61" s="5"/>
      <c r="AQ61" s="5"/>
      <c r="AR61" s="5"/>
      <c r="AS61" s="5"/>
      <c r="AT61" s="5"/>
    </row>
    <row r="62" spans="2:46">
      <c r="B62" s="133" t="s">
        <v>164</v>
      </c>
      <c r="C62" s="5"/>
      <c r="D62" s="124"/>
      <c r="E62" s="939">
        <f>IF('PRO FORMA'!E5="","",INPUTS!$F$16*E60)</f>
        <v>0</v>
      </c>
      <c r="F62" s="939"/>
      <c r="G62" s="939" t="str">
        <f>IF('PRO FORMA'!G5="","",INPUTS!$F$16*G60)</f>
        <v/>
      </c>
      <c r="H62" s="939"/>
      <c r="I62" s="939" t="str">
        <f>IF('PRO FORMA'!I5="","",INPUTS!$F$16*I60)</f>
        <v/>
      </c>
      <c r="J62" s="939"/>
      <c r="K62" s="939" t="str">
        <f>IF('PRO FORMA'!K5="","",INPUTS!$F$16*K60)</f>
        <v/>
      </c>
      <c r="L62" s="939"/>
      <c r="M62" s="939" t="str">
        <f>IF('PRO FORMA'!M5="","",INPUTS!$F$16*M60)</f>
        <v/>
      </c>
      <c r="N62" s="939"/>
      <c r="O62" s="939" t="str">
        <f>IF('PRO FORMA'!O5="","",INPUTS!$F$16*O60)</f>
        <v/>
      </c>
      <c r="P62" s="939"/>
      <c r="Q62" s="939" t="str">
        <f>IF('PRO FORMA'!Q5="","",INPUTS!$F$16*Q60)</f>
        <v/>
      </c>
      <c r="R62" s="939"/>
      <c r="S62" s="939" t="str">
        <f>IF('PRO FORMA'!S5="","",INPUTS!$F$16*S60)</f>
        <v/>
      </c>
      <c r="T62" s="939"/>
      <c r="U62" s="939" t="str">
        <f>IF('PRO FORMA'!U5="","",INPUTS!$F$16*U60)</f>
        <v/>
      </c>
      <c r="V62" s="939"/>
      <c r="W62" s="939" t="str">
        <f>IF('PRO FORMA'!W5="","",INPUTS!$F$16*W60)</f>
        <v/>
      </c>
      <c r="X62" s="939"/>
      <c r="Y62" s="5"/>
      <c r="Z62" s="5"/>
      <c r="AA62" s="5"/>
      <c r="AB62" s="5"/>
      <c r="AC62" s="5"/>
      <c r="AD62" s="5"/>
      <c r="AE62" s="5"/>
      <c r="AF62" s="5"/>
      <c r="AG62" s="5"/>
      <c r="AH62" s="5"/>
      <c r="AI62" s="5"/>
      <c r="AJ62" s="5"/>
      <c r="AK62" s="5"/>
      <c r="AL62" s="5"/>
      <c r="AM62" s="5"/>
      <c r="AN62" s="5"/>
      <c r="AO62" s="5"/>
      <c r="AP62" s="5"/>
      <c r="AQ62" s="5"/>
      <c r="AR62" s="5"/>
      <c r="AS62" s="5"/>
      <c r="AT62" s="5"/>
    </row>
    <row r="63" spans="2:46">
      <c r="B63" s="133" t="s">
        <v>246</v>
      </c>
      <c r="C63" s="5"/>
      <c r="D63" s="124"/>
      <c r="E63" s="939" cm="1">
        <f t="array" ref="E63">IF(E5="","",IF(E5=INPUTS!$I$13,(INPUTS!$I$11*E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0</v>
      </c>
      <c r="F63" s="939"/>
      <c r="G63" s="939" t="str" cm="1">
        <f t="array" ref="G63">IF(G5="","",IF(G5=INPUTS!$I$13,(INPUTS!$I$11*G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H63" s="939" t="str">
        <f>IF(H5="","",IF(H5=INPUTS!$I$13,(INPUTS!$I$11*H17)*(1-(INPUTS!$I$12+INPUTS!$I$14))-IF(AND(INPUTS!$C$33&lt;&gt;"",INPUTS!$C$33&lt;INPUTS!$I$13),IFERROR(INDEX(DEBT!$V$19:$V$379,MATCH((INPUTS!$I$13-INPUTS!$C$33)*12,DEBT!$R$19:$R$379,0))-INDEX(DEBT!$Y$19:$Y$379,MATCH((INPUTS!$I$13-INPUTS!$C$33)*12,DEBT!$R$19:$R$379,0)),0),IFERROR(INDEX(DEBT!$G$19:$G$379,MATCH(INPUTS!$I$13*12,DEBT!$C$19:$C$379,0))-INDEX(DEBT!$J$19:$J$379,MATCH(INPUTS!$I$13*12,DEBT!$C$19:$C$379,0)),0)),0))</f>
        <v/>
      </c>
      <c r="I63" s="939" t="str" cm="1">
        <f t="array" ref="I63">IF(I5="","",IF(I5=INPUTS!$I$13,(INPUTS!$I$11*I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J63" s="939" t="str">
        <f>IF(J5="","",IF(J5=INPUTS!$I$13,(INPUTS!$I$11*J17)*(1-(INPUTS!$I$12+INPUTS!$I$14))-IF(AND(INPUTS!$C$33&lt;&gt;"",INPUTS!$C$33&lt;INPUTS!$I$13),IFERROR(INDEX(DEBT!$V$19:$V$379,MATCH((INPUTS!$I$13-INPUTS!$C$33)*12,DEBT!$R$19:$R$379,0))-INDEX(DEBT!$Y$19:$Y$379,MATCH((INPUTS!$I$13-INPUTS!$C$33)*12,DEBT!$R$19:$R$379,0)),0),IFERROR(INDEX(DEBT!$G$19:$G$379,MATCH(INPUTS!$I$13*12,DEBT!$C$19:$C$379,0))-INDEX(DEBT!$J$19:$J$379,MATCH(INPUTS!$I$13*12,DEBT!$C$19:$C$379,0)),0)),0))</f>
        <v/>
      </c>
      <c r="K63" s="939" t="str" cm="1">
        <f t="array" ref="K63">IF(K5="","",IF(K5=INPUTS!$I$13,(INPUTS!$I$11*K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L63" s="939" t="str">
        <f>IF(L5="","",IF(L5=INPUTS!$I$13,(INPUTS!$I$11*L17)*(1-(INPUTS!$I$12+INPUTS!$I$14))-IF(AND(INPUTS!$C$33&lt;&gt;"",INPUTS!$C$33&lt;INPUTS!$I$13),IFERROR(INDEX(DEBT!$V$19:$V$379,MATCH((INPUTS!$I$13-INPUTS!$C$33)*12,DEBT!$R$19:$R$379,0))-INDEX(DEBT!$Y$19:$Y$379,MATCH((INPUTS!$I$13-INPUTS!$C$33)*12,DEBT!$R$19:$R$379,0)),0),IFERROR(INDEX(DEBT!$G$19:$G$379,MATCH(INPUTS!$I$13*12,DEBT!$C$19:$C$379,0))-INDEX(DEBT!$J$19:$J$379,MATCH(INPUTS!$I$13*12,DEBT!$C$19:$C$379,0)),0)),0))</f>
        <v/>
      </c>
      <c r="M63" s="939" t="str" cm="1">
        <f t="array" ref="M63">IF(M5="","",IF(M5=INPUTS!$I$13,(INPUTS!$I$11*M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N63" s="939" t="str">
        <f>IF(N5="","",IF(N5=INPUTS!$I$13,(INPUTS!$I$11*N17)*(1-(INPUTS!$I$12+INPUTS!$I$14))-IF(AND(INPUTS!$C$33&lt;&gt;"",INPUTS!$C$33&lt;INPUTS!$I$13),IFERROR(INDEX(DEBT!$V$19:$V$379,MATCH((INPUTS!$I$13-INPUTS!$C$33)*12,DEBT!$R$19:$R$379,0))-INDEX(DEBT!$Y$19:$Y$379,MATCH((INPUTS!$I$13-INPUTS!$C$33)*12,DEBT!$R$19:$R$379,0)),0),IFERROR(INDEX(DEBT!$G$19:$G$379,MATCH(INPUTS!$I$13*12,DEBT!$C$19:$C$379,0))-INDEX(DEBT!$J$19:$J$379,MATCH(INPUTS!$I$13*12,DEBT!$C$19:$C$379,0)),0)),0))</f>
        <v/>
      </c>
      <c r="O63" s="939" t="str" cm="1">
        <f t="array" ref="O63">IF(O5="","",IF(O5=INPUTS!$I$13,(INPUTS!$I$11*O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P63" s="939" t="str">
        <f>IF(P5="","",IF(P5=INPUTS!$I$13,(INPUTS!$I$11*P17)*(1-(INPUTS!$I$12+INPUTS!$I$14))-IF(AND(INPUTS!$C$33&lt;&gt;"",INPUTS!$C$33&lt;INPUTS!$I$13),IFERROR(INDEX(DEBT!$V$19:$V$379,MATCH((INPUTS!$I$13-INPUTS!$C$33)*12,DEBT!$R$19:$R$379,0))-INDEX(DEBT!$Y$19:$Y$379,MATCH((INPUTS!$I$13-INPUTS!$C$33)*12,DEBT!$R$19:$R$379,0)),0),IFERROR(INDEX(DEBT!$G$19:$G$379,MATCH(INPUTS!$I$13*12,DEBT!$C$19:$C$379,0))-INDEX(DEBT!$J$19:$J$379,MATCH(INPUTS!$I$13*12,DEBT!$C$19:$C$379,0)),0)),0))</f>
        <v/>
      </c>
      <c r="Q63" s="939" t="str" cm="1">
        <f t="array" ref="Q63">IF(Q5="","",IF(Q5=INPUTS!$I$13,(INPUTS!$I$11*Q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R63" s="939" t="str">
        <f>IF(R5="","",IF(R5=INPUTS!$I$13,(INPUTS!$I$11*R17)*(1-(INPUTS!$I$12+INPUTS!$I$14))-IF(AND(INPUTS!$C$33&lt;&gt;"",INPUTS!$C$33&lt;INPUTS!$I$13),IFERROR(INDEX(DEBT!$V$19:$V$379,MATCH((INPUTS!$I$13-INPUTS!$C$33)*12,DEBT!$R$19:$R$379,0))-INDEX(DEBT!$Y$19:$Y$379,MATCH((INPUTS!$I$13-INPUTS!$C$33)*12,DEBT!$R$19:$R$379,0)),0),IFERROR(INDEX(DEBT!$G$19:$G$379,MATCH(INPUTS!$I$13*12,DEBT!$C$19:$C$379,0))-INDEX(DEBT!$J$19:$J$379,MATCH(INPUTS!$I$13*12,DEBT!$C$19:$C$379,0)),0)),0))</f>
        <v/>
      </c>
      <c r="S63" s="939" t="str" cm="1">
        <f t="array" ref="S63">IF(S5="","",IF(S5=INPUTS!$I$13,(INPUTS!$I$11*S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T63" s="939" t="str">
        <f>IF(T5="","",IF(T5=INPUTS!$I$13,(INPUTS!$I$11*T17)*(1-(INPUTS!$I$12+INPUTS!$I$14))-IF(AND(INPUTS!$C$33&lt;&gt;"",INPUTS!$C$33&lt;INPUTS!$I$13),IFERROR(INDEX(DEBT!$V$19:$V$379,MATCH((INPUTS!$I$13-INPUTS!$C$33)*12,DEBT!$R$19:$R$379,0))-INDEX(DEBT!$Y$19:$Y$379,MATCH((INPUTS!$I$13-INPUTS!$C$33)*12,DEBT!$R$19:$R$379,0)),0),IFERROR(INDEX(DEBT!$G$19:$G$379,MATCH(INPUTS!$I$13*12,DEBT!$C$19:$C$379,0))-INDEX(DEBT!$J$19:$J$379,MATCH(INPUTS!$I$13*12,DEBT!$C$19:$C$379,0)),0)),0))</f>
        <v/>
      </c>
      <c r="U63" s="939" t="str" cm="1">
        <f t="array" ref="U63">IF(U5="","",IF(U5=INPUTS!$I$13,(INPUTS!$I$11*U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V63" s="939" t="str">
        <f>IF(V5="","",IF(V5=INPUTS!$I$13,(INPUTS!$I$11*V17)*(1-(INPUTS!$I$12+INPUTS!$I$14))-IF(AND(INPUTS!$C$33&lt;&gt;"",INPUTS!$C$33&lt;INPUTS!$I$13),IFERROR(INDEX(DEBT!$V$19:$V$379,MATCH((INPUTS!$I$13-INPUTS!$C$33)*12,DEBT!$R$19:$R$379,0))-INDEX(DEBT!$Y$19:$Y$379,MATCH((INPUTS!$I$13-INPUTS!$C$33)*12,DEBT!$R$19:$R$379,0)),0),IFERROR(INDEX(DEBT!$G$19:$G$379,MATCH(INPUTS!$I$13*12,DEBT!$C$19:$C$379,0))-INDEX(DEBT!$J$19:$J$379,MATCH(INPUTS!$I$13*12,DEBT!$C$19:$C$379,0)),0)),0))</f>
        <v/>
      </c>
      <c r="W63" s="939" t="str" cm="1">
        <f t="array" ref="W63">IF(W5="","",IF(W5=INPUTS!$I$13,(INPUTS!$I$11*W17)*(1-(INPUTS!$I$12+INPUTS!$I$14))-IF(AND(INPUTS!$C$33&lt;&gt;"",INPUTS!$C$33&lt;INPUTS!$I$13),IFERROR(INDEX(DEBT!$V$19:$V$379,MATCH((INPUTS!$I$13-INPUTS!$C$33)*12,DEBT!$R$19:$R$379,0))-INDEX(DEBT!$Y$19:$Y$379,MATCH((INPUTS!$I$13-INPUTS!$C$33)*12,DEBT!$R$19:$R$379,0)),0),IFERROR(INDEX(DEBT!$G$19:$G$379,MATCH(INPUTS!$I$13*12,DEBT!$C$19:$C$379,0))-INDEX(DEBT!$J$19:$J$379,MATCH(INPUTS!$I$13*12,DEBT!$C$19:$C$379,0)),0))-IF(AND(INPUTS!$C$24="Yes",OR(INPUTS!$C$33="",INPUTS!$C$33&gt;=INPUTS!$I$13)),IFERROR(INDEX(DEBT!$AO$21:$AO$30,INPUTS!$I$13),0),0),0))</f>
        <v/>
      </c>
      <c r="X63" s="939" t="str">
        <f>IF(X5="","",IF(X5=INPUTS!$I$13,(INPUTS!$I$11*X17)*(1-(INPUTS!$I$12+INPUTS!$I$14))-IF(AND(INPUTS!$C$33&lt;&gt;"",INPUTS!$C$33&lt;INPUTS!$I$13),IFERROR(INDEX(DEBT!$V$19:$V$379,MATCH((INPUTS!$I$13-INPUTS!$C$33)*12,DEBT!$R$19:$R$379,0))-INDEX(DEBT!$Y$19:$Y$379,MATCH((INPUTS!$I$13-INPUTS!$C$33)*12,DEBT!$R$19:$R$379,0)),0),IFERROR(INDEX(DEBT!$G$19:$G$379,MATCH(INPUTS!$I$13*12,DEBT!$C$19:$C$379,0))-INDEX(DEBT!$J$19:$J$379,MATCH(INPUTS!$I$13*12,DEBT!$C$19:$C$379,0)),0)),0))</f>
        <v/>
      </c>
      <c r="Y63" s="5"/>
      <c r="Z63" s="5"/>
      <c r="AA63" s="5"/>
      <c r="AB63" s="5"/>
      <c r="AC63" s="5"/>
      <c r="AD63" s="5"/>
      <c r="AE63" s="5"/>
      <c r="AF63" s="5"/>
      <c r="AG63" s="5"/>
      <c r="AH63" s="5"/>
      <c r="AI63" s="5"/>
      <c r="AJ63" s="5"/>
      <c r="AK63" s="5"/>
      <c r="AL63" s="5"/>
      <c r="AM63" s="5"/>
      <c r="AN63" s="5"/>
      <c r="AO63" s="5"/>
      <c r="AP63" s="5"/>
      <c r="AQ63" s="5"/>
      <c r="AR63" s="5"/>
      <c r="AS63" s="5"/>
      <c r="AT63" s="5"/>
    </row>
    <row r="64" spans="2:46">
      <c r="B64" s="133" t="s">
        <v>247</v>
      </c>
      <c r="C64" s="5"/>
      <c r="D64" s="124"/>
      <c r="E64" s="939" cm="1">
        <f t="array" ref="E64">IF(E5="","",IF(AND(INPUTS!$C$33&lt;&gt;"",E5=INPUTS!$C$33),DEBT!$X$10-(IFERROR(INDEX(DEBT!$G$19:$G$379,MATCH(INPUTS!$C$33*12,DEBT!$C$19:$C$379,0))-INDEX(DEBT!$J$19:$J$379,MATCH(INPUTS!$C$33*12,DEBT!$C$19:$C$379,0)),0))*(1+INPUTS!$C$40)-DEBT!$X$11-IF(INPUTS!$C$24="Yes",IFERROR(INDEX(DEBT!$AO$21:$AO$30,INPUTS!$C$33),0),0),0))</f>
        <v>0</v>
      </c>
      <c r="F64" s="939"/>
      <c r="G64" s="939" t="str" cm="1">
        <f t="array" ref="G64">IF(G5="","",IF(AND(INPUTS!$C$33&lt;&gt;"",G5=INPUTS!$C$33),DEBT!$X$10-(IFERROR(INDEX(DEBT!$G$19:$G$379,MATCH(INPUTS!$C$33*12,DEBT!$C$19:$C$379,0))-INDEX(DEBT!$J$19:$J$379,MATCH(INPUTS!$C$33*12,DEBT!$C$19:$C$379,0)),0))*(1+INPUTS!$C$40)-DEBT!$X$11-IF(INPUTS!$C$24="Yes",IFERROR(INDEX(DEBT!$AO$21:$AO$30,INPUTS!$C$33),0),0),0))</f>
        <v/>
      </c>
      <c r="H64" s="939" t="str">
        <f>IF(H5="","",IF(AND(INPUTS!$C$33&lt;&gt;"",H5=INPUTS!$C$33),DEBT!$X$10-IFERROR(INDEX(DEBT!$G$19:$G$379,MATCH(INPUTS!$C$33*12,DEBT!$C$19:$C$379,0))-INDEX(DEBT!$J$19:$J$379,MATCH(INPUTS!$C$33*12,DEBT!$C$19:$C$379,0)),0),0))</f>
        <v/>
      </c>
      <c r="I64" s="939" t="str" cm="1">
        <f t="array" ref="I64">IF(I5="","",IF(AND(INPUTS!$C$33&lt;&gt;"",I5=INPUTS!$C$33),DEBT!$X$10-(IFERROR(INDEX(DEBT!$G$19:$G$379,MATCH(INPUTS!$C$33*12,DEBT!$C$19:$C$379,0))-INDEX(DEBT!$J$19:$J$379,MATCH(INPUTS!$C$33*12,DEBT!$C$19:$C$379,0)),0))*(1+INPUTS!$C$40)-DEBT!$X$11-IF(INPUTS!$C$24="Yes",IFERROR(INDEX(DEBT!$AO$21:$AO$30,INPUTS!$C$33),0),0),0))</f>
        <v/>
      </c>
      <c r="J64" s="939" t="str">
        <f>IF(J5="","",IF(AND(INPUTS!$C$33&lt;&gt;"",J5=INPUTS!$C$33),DEBT!$X$10-IFERROR(INDEX(DEBT!$G$19:$G$379,MATCH(INPUTS!$C$33*12,DEBT!$C$19:$C$379,0))-INDEX(DEBT!$J$19:$J$379,MATCH(INPUTS!$C$33*12,DEBT!$C$19:$C$379,0)),0),0))</f>
        <v/>
      </c>
      <c r="K64" s="939" t="str" cm="1">
        <f t="array" ref="K64">IF(K5="","",IF(AND(INPUTS!$C$33&lt;&gt;"",K5=INPUTS!$C$33),DEBT!$X$10-(IFERROR(INDEX(DEBT!$G$19:$G$379,MATCH(INPUTS!$C$33*12,DEBT!$C$19:$C$379,0))-INDEX(DEBT!$J$19:$J$379,MATCH(INPUTS!$C$33*12,DEBT!$C$19:$C$379,0)),0))*(1+INPUTS!$C$40)-DEBT!$X$11-IF(INPUTS!$C$24="Yes",IFERROR(INDEX(DEBT!$AO$21:$AO$30,INPUTS!$C$33),0),0),0))</f>
        <v/>
      </c>
      <c r="L64" s="939" t="str">
        <f>IF(L5="","",IF(AND(INPUTS!$C$33&lt;&gt;"",L5=INPUTS!$C$33),DEBT!$X$10-IFERROR(INDEX(DEBT!$G$19:$G$379,MATCH(INPUTS!$C$33*12,DEBT!$C$19:$C$379,0))-INDEX(DEBT!$J$19:$J$379,MATCH(INPUTS!$C$33*12,DEBT!$C$19:$C$379,0)),0),0))</f>
        <v/>
      </c>
      <c r="M64" s="939" t="str" cm="1">
        <f t="array" ref="M64">IF(M5="","",IF(AND(INPUTS!$C$33&lt;&gt;"",M5=INPUTS!$C$33),DEBT!$X$10-(IFERROR(INDEX(DEBT!$G$19:$G$379,MATCH(INPUTS!$C$33*12,DEBT!$C$19:$C$379,0))-INDEX(DEBT!$J$19:$J$379,MATCH(INPUTS!$C$33*12,DEBT!$C$19:$C$379,0)),0))*(1+INPUTS!$C$40)-DEBT!$X$11-IF(INPUTS!$C$24="Yes",IFERROR(INDEX(DEBT!$AO$21:$AO$30,INPUTS!$C$33),0),0),0))</f>
        <v/>
      </c>
      <c r="N64" s="939" t="str">
        <f>IF(N5="","",IF(AND(INPUTS!$C$33&lt;&gt;"",N5=INPUTS!$C$33),DEBT!$X$10-IFERROR(INDEX(DEBT!$G$19:$G$379,MATCH(INPUTS!$C$33*12,DEBT!$C$19:$C$379,0))-INDEX(DEBT!$J$19:$J$379,MATCH(INPUTS!$C$33*12,DEBT!$C$19:$C$379,0)),0),0))</f>
        <v/>
      </c>
      <c r="O64" s="939" t="str" cm="1">
        <f t="array" ref="O64">IF(O5="","",IF(AND(INPUTS!$C$33&lt;&gt;"",O5=INPUTS!$C$33),DEBT!$X$10-(IFERROR(INDEX(DEBT!$G$19:$G$379,MATCH(INPUTS!$C$33*12,DEBT!$C$19:$C$379,0))-INDEX(DEBT!$J$19:$J$379,MATCH(INPUTS!$C$33*12,DEBT!$C$19:$C$379,0)),0))*(1+INPUTS!$C$40)-DEBT!$X$11-IF(INPUTS!$C$24="Yes",IFERROR(INDEX(DEBT!$AO$21:$AO$30,INPUTS!$C$33),0),0),0))</f>
        <v/>
      </c>
      <c r="P64" s="939" t="str">
        <f>IF(P5="","",IF(AND(INPUTS!$C$33&lt;&gt;"",P5=INPUTS!$C$33),DEBT!$X$10-IFERROR(INDEX(DEBT!$G$19:$G$379,MATCH(INPUTS!$C$33*12,DEBT!$C$19:$C$379,0))-INDEX(DEBT!$J$19:$J$379,MATCH(INPUTS!$C$33*12,DEBT!$C$19:$C$379,0)),0),0))</f>
        <v/>
      </c>
      <c r="Q64" s="939" t="str" cm="1">
        <f t="array" ref="Q64">IF(Q5="","",IF(AND(INPUTS!$C$33&lt;&gt;"",Q5=INPUTS!$C$33),DEBT!$X$10-(IFERROR(INDEX(DEBT!$G$19:$G$379,MATCH(INPUTS!$C$33*12,DEBT!$C$19:$C$379,0))-INDEX(DEBT!$J$19:$J$379,MATCH(INPUTS!$C$33*12,DEBT!$C$19:$C$379,0)),0))*(1+INPUTS!$C$40)-DEBT!$X$11-IF(INPUTS!$C$24="Yes",IFERROR(INDEX(DEBT!$AO$21:$AO$30,INPUTS!$C$33),0),0),0))</f>
        <v/>
      </c>
      <c r="R64" s="939" t="str">
        <f>IF(R5="","",IF(AND(INPUTS!$C$33&lt;&gt;"",R5=INPUTS!$C$33),DEBT!$X$10-IFERROR(INDEX(DEBT!$G$19:$G$379,MATCH(INPUTS!$C$33*12,DEBT!$C$19:$C$379,0))-INDEX(DEBT!$J$19:$J$379,MATCH(INPUTS!$C$33*12,DEBT!$C$19:$C$379,0)),0),0))</f>
        <v/>
      </c>
      <c r="S64" s="939" t="str" cm="1">
        <f t="array" ref="S64">IF(S5="","",IF(AND(INPUTS!$C$33&lt;&gt;"",S5=INPUTS!$C$33),DEBT!$X$10-(IFERROR(INDEX(DEBT!$G$19:$G$379,MATCH(INPUTS!$C$33*12,DEBT!$C$19:$C$379,0))-INDEX(DEBT!$J$19:$J$379,MATCH(INPUTS!$C$33*12,DEBT!$C$19:$C$379,0)),0))*(1+INPUTS!$C$40)-DEBT!$X$11-IF(INPUTS!$C$24="Yes",IFERROR(INDEX(DEBT!$AO$21:$AO$30,INPUTS!$C$33),0),0),0))</f>
        <v/>
      </c>
      <c r="T64" s="939" t="str">
        <f>IF(T5="","",IF(AND(INPUTS!$C$33&lt;&gt;"",T5=INPUTS!$C$33),DEBT!$X$10-IFERROR(INDEX(DEBT!$G$19:$G$379,MATCH(INPUTS!$C$33*12,DEBT!$C$19:$C$379,0))-INDEX(DEBT!$J$19:$J$379,MATCH(INPUTS!$C$33*12,DEBT!$C$19:$C$379,0)),0),0))</f>
        <v/>
      </c>
      <c r="U64" s="939" t="str" cm="1">
        <f t="array" ref="U64">IF(U5="","",IF(AND(INPUTS!$C$33&lt;&gt;"",U5=INPUTS!$C$33),DEBT!$X$10-(IFERROR(INDEX(DEBT!$G$19:$G$379,MATCH(INPUTS!$C$33*12,DEBT!$C$19:$C$379,0))-INDEX(DEBT!$J$19:$J$379,MATCH(INPUTS!$C$33*12,DEBT!$C$19:$C$379,0)),0))*(1+INPUTS!$C$40)-DEBT!$X$11-IF(INPUTS!$C$24="Yes",IFERROR(INDEX(DEBT!$AO$21:$AO$30,INPUTS!$C$33),0),0),0))</f>
        <v/>
      </c>
      <c r="V64" s="939" t="str">
        <f>IF(V5="","",IF(AND(INPUTS!$C$33&lt;&gt;"",V5=INPUTS!$C$33),DEBT!$X$10-IFERROR(INDEX(DEBT!$G$19:$G$379,MATCH(INPUTS!$C$33*12,DEBT!$C$19:$C$379,0))-INDEX(DEBT!$J$19:$J$379,MATCH(INPUTS!$C$33*12,DEBT!$C$19:$C$379,0)),0),0))</f>
        <v/>
      </c>
      <c r="W64" s="939" t="str" cm="1">
        <f t="array" ref="W64">IF(W5="","",IF(AND(INPUTS!$C$33&lt;&gt;"",W5=INPUTS!$C$33),DEBT!$X$10-(IFERROR(INDEX(DEBT!$G$19:$G$379,MATCH(INPUTS!$C$33*12,DEBT!$C$19:$C$379,0))-INDEX(DEBT!$J$19:$J$379,MATCH(INPUTS!$C$33*12,DEBT!$C$19:$C$379,0)),0))*(1+INPUTS!$C$40)-DEBT!$X$11-IF(INPUTS!$C$24="Yes",IFERROR(INDEX(DEBT!$AO$21:$AO$30,INPUTS!$C$33),0),0),0))</f>
        <v/>
      </c>
      <c r="X64" s="939"/>
      <c r="Y64" s="5"/>
      <c r="Z64" s="5"/>
      <c r="AA64" s="5"/>
      <c r="AB64" s="5"/>
      <c r="AC64" s="5"/>
      <c r="AD64" s="5"/>
      <c r="AE64" s="5"/>
      <c r="AF64" s="5"/>
      <c r="AG64" s="5"/>
      <c r="AH64" s="5"/>
      <c r="AI64" s="5"/>
      <c r="AJ64" s="5"/>
      <c r="AK64" s="5"/>
      <c r="AL64" s="5"/>
      <c r="AM64" s="5"/>
      <c r="AN64" s="5"/>
      <c r="AO64" s="5"/>
      <c r="AP64" s="5"/>
      <c r="AQ64" s="5"/>
      <c r="AR64" s="5"/>
      <c r="AS64" s="5"/>
      <c r="AT64" s="5"/>
    </row>
    <row r="65" spans="2:46">
      <c r="B65" s="200" t="s">
        <v>248</v>
      </c>
      <c r="C65" s="217">
        <f>SUMMARY!I34</f>
        <v>0</v>
      </c>
      <c r="D65" s="218"/>
      <c r="E65" s="940">
        <f>IF(E22="","",IF(E5=INPUTS!$I$13,0,(C65+N(E66)-E69)+MIN(MAX(0,E57-E61),MAX(0,E69-(C65+N(E66))))))</f>
        <v>0</v>
      </c>
      <c r="F65" s="940"/>
      <c r="G65" s="940" t="str">
        <f>IF(G22="","",IF(G5=INPUTS!$I$13,0,(E65+N(G66)-G69)+MIN(MAX(0,G57-G61),MAX(0,G69-(E65+N(G66))))))</f>
        <v/>
      </c>
      <c r="H65" s="940"/>
      <c r="I65" s="940" t="str">
        <f>IF(I22="","",IF(I5=INPUTS!$I$13,0,(G65+N(I66)-I69)+MIN(MAX(0,I57-I61),MAX(0,I69-(G65+N(I66))))))</f>
        <v/>
      </c>
      <c r="J65" s="940"/>
      <c r="K65" s="940" t="str">
        <f>IF(K22="","",IF(K5=INPUTS!$I$13,0,(I65+N(K66)-K69)+MIN(MAX(0,K57-K61),MAX(0,K69-(I65+N(K66))))))</f>
        <v/>
      </c>
      <c r="L65" s="940"/>
      <c r="M65" s="940" t="str">
        <f>IF(M22="","",IF(M5=INPUTS!$I$13,0,(K65+N(M66)-M69)+MIN(MAX(0,M57-M61),MAX(0,M69-(K65+N(M66))))))</f>
        <v/>
      </c>
      <c r="N65" s="940"/>
      <c r="O65" s="940" t="str">
        <f>IF(O22="","",IF(O5=INPUTS!$I$13,0,(M65+N(O66)-O69)+MIN(MAX(0,O57-O61),MAX(0,O69-(M65+N(O66))))))</f>
        <v/>
      </c>
      <c r="P65" s="940"/>
      <c r="Q65" s="940" t="str">
        <f>IF(Q22="","",IF(Q5=INPUTS!$I$13,0,(O65+N(Q66)-Q69)+MIN(MAX(0,Q57-Q61),MAX(0,Q69-(O65+N(Q66))))))</f>
        <v/>
      </c>
      <c r="R65" s="940"/>
      <c r="S65" s="940" t="str">
        <f>IF(S22="","",IF(S5=INPUTS!$I$13,0,(Q65+N(S66)-S69)+MIN(MAX(0,S57-S61),MAX(0,S69-(Q65+N(S66))))))</f>
        <v/>
      </c>
      <c r="T65" s="940"/>
      <c r="U65" s="940" t="str">
        <f>IF(U22="","",IF(U5=INPUTS!$I$13,0,(S65+N(U66)-U69)+MIN(MAX(0,U57-U61),MAX(0,U69-(S65+N(U66))))))</f>
        <v/>
      </c>
      <c r="V65" s="940"/>
      <c r="W65" s="940" t="str">
        <f>IF(W22="","",IF(W5=INPUTS!$I$13,0,(U65+N(W66)-W69)+MIN(MAX(0,W57-W61),MAX(0,W69-(U65+N(W66))))))</f>
        <v/>
      </c>
      <c r="X65" s="940"/>
      <c r="Y65" s="5"/>
      <c r="Z65" s="5"/>
      <c r="AA65" s="5"/>
      <c r="AB65" s="5"/>
      <c r="AC65" s="5"/>
      <c r="AD65" s="5"/>
      <c r="AE65" s="5"/>
      <c r="AF65" s="5"/>
      <c r="AG65" s="5"/>
      <c r="AH65" s="5"/>
      <c r="AI65" s="5"/>
      <c r="AJ65" s="5"/>
      <c r="AK65" s="5"/>
      <c r="AL65" s="5"/>
      <c r="AM65" s="5"/>
      <c r="AN65" s="5"/>
      <c r="AO65" s="5"/>
      <c r="AP65" s="5"/>
      <c r="AQ65" s="5"/>
      <c r="AR65" s="5"/>
      <c r="AS65" s="5"/>
      <c r="AT65" s="5"/>
    </row>
    <row r="66" spans="2:46" ht="17" thickBot="1">
      <c r="B66" s="200" t="s">
        <v>410</v>
      </c>
      <c r="C66" s="217"/>
      <c r="D66" s="218"/>
      <c r="E66" s="940">
        <f>IF(E5="","",IF(E5=CEILING(INPUTS!$I$6/12,1),DEBT!$AH$7*INPUTS!$I$7,IF(E5=CEILING((INPUTS!$I$6+INPUTS!$I$5-1)/12,1),DEBT!$AH$7*(1-INPUTS!$I$7),0)))</f>
        <v>0</v>
      </c>
      <c r="F66" s="940"/>
      <c r="G66" s="940" t="str">
        <f>IF(G5="","",IF(G5=CEILING(INPUTS!$I$6/12,1),DEBT!$AH$7*INPUTS!$I$7,IF(G5=CEILING((INPUTS!$I$6+INPUTS!$I$5-1)/12,1),DEBT!$AH$7*(1-INPUTS!$I$7),0)))</f>
        <v/>
      </c>
      <c r="H66" s="940"/>
      <c r="I66" s="940" t="str">
        <f>IF(I5="","",IF(I5=CEILING(INPUTS!$I$6/12,1),DEBT!$AH$7*INPUTS!$I$7,IF(I5=CEILING((INPUTS!$I$6+INPUTS!$I$5-1)/12,1),DEBT!$AH$7*(1-INPUTS!$I$7),0)))</f>
        <v/>
      </c>
      <c r="J66" s="940"/>
      <c r="K66" s="940" t="str">
        <f>IF(K5="","",IF(K5=CEILING(INPUTS!$I$6/12,1),DEBT!$AH$7*INPUTS!$I$7,IF(K5=CEILING((INPUTS!$I$6+INPUTS!$I$5-1)/12,1),DEBT!$AH$7*(1-INPUTS!$I$7),0)))</f>
        <v/>
      </c>
      <c r="L66" s="940"/>
      <c r="M66" s="940" t="str">
        <f>IF(M5="","",IF(M5=CEILING(INPUTS!$I$6/12,1),DEBT!$AH$7*INPUTS!$I$7,IF(M5=CEILING((INPUTS!$I$6+INPUTS!$I$5-1)/12,1),DEBT!$AH$7*(1-INPUTS!$I$7),0)))</f>
        <v/>
      </c>
      <c r="N66" s="940"/>
      <c r="O66" s="940" t="str">
        <f>IF(O5="","",IF(O5=CEILING(INPUTS!$I$6/12,1),DEBT!$AH$7*INPUTS!$I$7,IF(O5=CEILING((INPUTS!$I$6+INPUTS!$I$5-1)/12,1),DEBT!$AH$7*(1-INPUTS!$I$7),0)))</f>
        <v/>
      </c>
      <c r="P66" s="940"/>
      <c r="Q66" s="940" t="str">
        <f>IF(Q5="","",IF(Q5=CEILING(INPUTS!$I$6/12,1),DEBT!$AH$7*INPUTS!$I$7,IF(Q5=CEILING((INPUTS!$I$6+INPUTS!$I$5-1)/12,1),DEBT!$AH$7*(1-INPUTS!$I$7),0)))</f>
        <v/>
      </c>
      <c r="R66" s="940"/>
      <c r="S66" s="940" t="str">
        <f>IF(S5="","",IF(S5=CEILING(INPUTS!$I$6/12,1),DEBT!$AH$7*INPUTS!$I$7,IF(S5=CEILING((INPUTS!$I$6+INPUTS!$I$5-1)/12,1),DEBT!$AH$7*(1-INPUTS!$I$7),0)))</f>
        <v/>
      </c>
      <c r="T66" s="940"/>
      <c r="U66" s="940" t="str">
        <f>IF(U5="","",IF(U5=CEILING(INPUTS!$I$6/12,1),DEBT!$AH$7*INPUTS!$I$7,IF(U5=CEILING((INPUTS!$I$6+INPUTS!$I$5-1)/12,1),DEBT!$AH$7*(1-INPUTS!$I$7),0)))</f>
        <v/>
      </c>
      <c r="V66" s="940"/>
      <c r="W66" s="940" t="str">
        <f>IF(W5="","",IF(W5=CEILING(INPUTS!$I$6/12,1),DEBT!$AH$7*INPUTS!$I$7,IF(W5=CEILING((INPUTS!$I$6+INPUTS!$I$5-1)/12,1),DEBT!$AH$7*(1-INPUTS!$I$7),0)))</f>
        <v/>
      </c>
      <c r="X66" s="940"/>
      <c r="Y66" s="5"/>
      <c r="Z66" s="5"/>
      <c r="AA66" s="5"/>
      <c r="AB66" s="5"/>
      <c r="AC66" s="5"/>
      <c r="AD66" s="5"/>
      <c r="AE66" s="5"/>
      <c r="AF66" s="5"/>
      <c r="AG66" s="5"/>
      <c r="AH66" s="5"/>
      <c r="AI66" s="5"/>
      <c r="AJ66" s="5"/>
      <c r="AK66" s="5"/>
      <c r="AL66" s="5"/>
      <c r="AM66" s="5"/>
      <c r="AN66" s="5"/>
      <c r="AO66" s="5"/>
      <c r="AP66" s="5"/>
      <c r="AQ66" s="5"/>
      <c r="AR66" s="5"/>
      <c r="AS66" s="5"/>
      <c r="AT66" s="5"/>
    </row>
    <row r="67" spans="2:46" s="301" customFormat="1" ht="17" customHeight="1" thickBot="1">
      <c r="B67" s="683" t="s">
        <v>525</v>
      </c>
      <c r="C67" s="684"/>
      <c r="D67" s="685"/>
      <c r="E67" s="686">
        <f>IF(E5="","",E57+N(E63)+N(E64)-E61-MIN(MAX(0,E57-E61),MAX(0,E69-(C65+N(E66))))+IF(E5=INPUTS!$I$13,((C65+N(E66)-E69)+MIN(MAX(0,E57-E61),MAX(0,E69-(C65+N(E66))))),0))</f>
        <v>0</v>
      </c>
      <c r="F67" s="685"/>
      <c r="G67" s="686" t="str">
        <f>IF(G5="","",G57+N(G63)+N(G64)-G61-MIN(MAX(0,G57-G61),MAX(0,G69-(E65+N(G66))))+IF(G5=INPUTS!$I$13,((E65+N(G66)-G69)+MIN(MAX(0,G57-G61),MAX(0,G69-(E65+N(G66))))),0))</f>
        <v/>
      </c>
      <c r="H67" s="685"/>
      <c r="I67" s="686" t="str">
        <f>IF(I5="","",I57+N(I63)+N(I64)-I61-MIN(MAX(0,I57-I61),MAX(0,I69-(G65+N(I66))))+IF(I5=INPUTS!$I$13,((G65+N(I66)-I69)+MIN(MAX(0,I57-I61),MAX(0,I69-(G65+N(I66))))),0))</f>
        <v/>
      </c>
      <c r="J67" s="685"/>
      <c r="K67" s="686" t="str">
        <f>IF(K5="","",K57+N(K63)+N(K64)-K61-MIN(MAX(0,K57-K61),MAX(0,K69-(I65+N(K66))))+IF(K5=INPUTS!$I$13,((I65+N(K66)-K69)+MIN(MAX(0,K57-K61),MAX(0,K69-(I65+N(K66))))),0))</f>
        <v/>
      </c>
      <c r="L67" s="685"/>
      <c r="M67" s="686" t="str">
        <f>IF(M5="","",M57+N(M63)+N(M64)-M61-MIN(MAX(0,M57-M61),MAX(0,M69-(K65+N(M66))))+IF(M5=INPUTS!$I$13,((K65+N(M66)-M69)+MIN(MAX(0,M57-M61),MAX(0,M69-(K65+N(M66))))),0))</f>
        <v/>
      </c>
      <c r="N67" s="685"/>
      <c r="O67" s="686" t="str">
        <f>IF(O5="","",O57+N(O63)+N(O64)-O61-MIN(MAX(0,O57-O61),MAX(0,O69-(M65+N(O66))))+IF(O5=INPUTS!$I$13,((M65+N(O66)-O69)+MIN(MAX(0,O57-O61),MAX(0,O69-(M65+N(O66))))),0))</f>
        <v/>
      </c>
      <c r="P67" s="685"/>
      <c r="Q67" s="686" t="str">
        <f>IF(Q5="","",Q57+N(Q63)+N(Q64)-Q61-MIN(MAX(0,Q57-Q61),MAX(0,Q69-(O65+N(Q66))))+IF(Q5=INPUTS!$I$13,((O65+N(Q66)-Q69)+MIN(MAX(0,Q57-Q61),MAX(0,Q69-(O65+N(Q66))))),0))</f>
        <v/>
      </c>
      <c r="R67" s="685"/>
      <c r="S67" s="686" t="str">
        <f>IF(S5="","",S57+N(S63)+N(S64)-S61-MIN(MAX(0,S57-S61),MAX(0,S69-(Q65+N(S66))))+IF(S5=INPUTS!$I$13,((Q65+N(S66)-S69)+MIN(MAX(0,S57-S61),MAX(0,S69-(Q65+N(S66))))),0))</f>
        <v/>
      </c>
      <c r="T67" s="685"/>
      <c r="U67" s="686" t="str">
        <f>IF(U5="","",U57+N(U63)+N(U64)-U61-MIN(MAX(0,U57-U61),MAX(0,U69-(S65+N(U66))))+IF(U5=INPUTS!$I$13,((S65+N(U66)-U69)+MIN(MAX(0,U57-U61),MAX(0,U69-(S65+N(U66))))),0))</f>
        <v/>
      </c>
      <c r="V67" s="685"/>
      <c r="W67" s="686" t="str">
        <f>IF(W5="","",W57+N(W63)+N(W64)-W61-MIN(MAX(0,W57-W61),MAX(0,W69-(U65+N(W66))))+IF(W5=INPUTS!$I$13,((U65+N(W66)-W69)+MIN(MAX(0,W57-W61),MAX(0,W69-(U65+N(W66))))),0))</f>
        <v/>
      </c>
      <c r="X67" s="687"/>
      <c r="Y67" s="673"/>
      <c r="Z67" s="673"/>
      <c r="AA67" s="673"/>
      <c r="AB67" s="673"/>
      <c r="AC67" s="673"/>
      <c r="AD67" s="673"/>
      <c r="AE67" s="673"/>
      <c r="AF67" s="673"/>
      <c r="AG67" s="673"/>
      <c r="AH67" s="673"/>
      <c r="AI67" s="673"/>
      <c r="AJ67" s="673"/>
      <c r="AK67" s="673"/>
      <c r="AL67" s="673"/>
      <c r="AM67" s="673"/>
      <c r="AN67" s="673"/>
      <c r="AO67" s="673"/>
      <c r="AP67" s="673"/>
      <c r="AQ67" s="673"/>
      <c r="AR67" s="673"/>
      <c r="AS67" s="673"/>
      <c r="AT67" s="673"/>
    </row>
    <row r="68" spans="2:46">
      <c r="B68" t="s">
        <v>208</v>
      </c>
      <c r="C68" s="70"/>
      <c r="D68" s="5"/>
      <c r="E68" s="681" t="str">
        <f>IF(E5="","",IF(ABS((C65+N(E66)+E57+N(E63)+N(E64))-(E65+E67+E61+E69))&lt;0.01,"OK","ERROR"))</f>
        <v>OK</v>
      </c>
      <c r="F68" s="5"/>
      <c r="G68" s="681" t="str">
        <f>IF(G5="","",IF(ABS((E65+N(G66)+G57+N(G63)+N(G64))-(G65+G67+G61+G69))&lt;0.01,"OK","ERROR"))</f>
        <v/>
      </c>
      <c r="H68" s="5"/>
      <c r="I68" s="681" t="str">
        <f>IF(I5="","",IF(ABS((G65+N(I66)+I57+N(I63)+N(I64))-(I65+I67+I61+I69))&lt;0.01,"OK","ERROR"))</f>
        <v/>
      </c>
      <c r="J68" s="5"/>
      <c r="K68" s="681" t="str">
        <f>IF(K5="","",IF(ABS((I65+N(K66)+K57+N(K63)+N(K64))-(K65+K67+K61+K69))&lt;0.01,"OK","ERROR"))</f>
        <v/>
      </c>
      <c r="L68" s="5"/>
      <c r="M68" s="681" t="str">
        <f>IF(M5="","",IF(ABS((K65+N(M66)+M57+N(M63)+N(M64))-(M65+M67+M61+M69))&lt;0.01,"OK","ERROR"))</f>
        <v/>
      </c>
      <c r="N68" s="5"/>
      <c r="O68" s="681" t="str">
        <f>IF(O5="","",IF(ABS((M65+N(O66)+O57+N(O63)+N(O64))-(O65+O67+O61+O69))&lt;0.01,"OK","ERROR"))</f>
        <v/>
      </c>
      <c r="P68" s="5"/>
      <c r="Q68" s="681" t="str">
        <f>IF(Q5="","",IF(ABS((O65+N(Q66)+Q57+N(Q63)+N(Q64))-(Q65+Q67+Q61+Q69))&lt;0.01,"OK","ERROR"))</f>
        <v/>
      </c>
      <c r="R68" s="5"/>
      <c r="S68" s="681" t="str">
        <f>IF(S5="","",IF(ABS((Q65+N(S66)+S57+N(S63)+N(S64))-(S65+S67+S61+S69))&lt;0.01,"OK","ERROR"))</f>
        <v/>
      </c>
      <c r="T68" s="5"/>
      <c r="U68" s="681" t="str">
        <f>IF(U5="","",IF(ABS((S65+N(U66)+U57+N(U63)+N(U64))-(U65+U67+U61+U69))&lt;0.01,"OK","ERROR"))</f>
        <v/>
      </c>
      <c r="V68" s="5"/>
      <c r="W68" s="681" t="str">
        <f>IF(W5="","",IF(ABS((U65+N(W66)+W57+N(W63)+N(W64))-(W65+W67+W61+W69))&lt;0.01,"OK","ERROR"))</f>
        <v/>
      </c>
      <c r="X68" s="5"/>
      <c r="Y68" s="5"/>
      <c r="Z68" s="5"/>
      <c r="AA68" s="5"/>
      <c r="AB68" s="5"/>
      <c r="AC68" s="5"/>
      <c r="AD68" s="5"/>
      <c r="AE68" s="5"/>
      <c r="AF68" s="5"/>
      <c r="AG68" s="5"/>
      <c r="AH68" s="5"/>
      <c r="AI68" s="5"/>
      <c r="AJ68" s="5"/>
      <c r="AK68" s="5"/>
      <c r="AL68" s="5"/>
      <c r="AM68" s="5"/>
      <c r="AN68" s="5"/>
      <c r="AO68" s="5"/>
      <c r="AP68" s="5"/>
      <c r="AQ68" s="5"/>
      <c r="AR68" s="5"/>
      <c r="AS68" s="5"/>
      <c r="AT68" s="5"/>
    </row>
    <row r="69" spans="2:46">
      <c r="B69" s="1081" t="s">
        <v>776</v>
      </c>
      <c r="C69" s="5"/>
      <c r="D69" s="5"/>
      <c r="E69" s="70" cm="1">
        <f t="array" ref="E69">IF(E5="","",(N(E60)-IF(INPUTS!$C$24="Yes",IFERROR(INDEX(DEBT!$AH$21:$AH$30,E5),0),0))+N(E62))</f>
        <v>0</v>
      </c>
      <c r="F69" s="5"/>
      <c r="G69" s="70" t="str" cm="1">
        <f t="array" ref="G69">IF(G5="","",(N(G60)-IF(INPUTS!$C$24="Yes",IFERROR(INDEX(DEBT!$AH$21:$AH$30,G5),0),0))+N(G62))</f>
        <v/>
      </c>
      <c r="H69" s="5"/>
      <c r="I69" s="70" t="str" cm="1">
        <f t="array" ref="I69">IF(I5="","",(N(I60)-IF(INPUTS!$C$24="Yes",IFERROR(INDEX(DEBT!$AH$21:$AH$30,I5),0),0))+N(I62))</f>
        <v/>
      </c>
      <c r="J69" s="5"/>
      <c r="K69" s="70" t="str" cm="1">
        <f t="array" ref="K69">IF(K5="","",(N(K60)-IF(INPUTS!$C$24="Yes",IFERROR(INDEX(DEBT!$AH$21:$AH$30,K5),0),0))+N(K62))</f>
        <v/>
      </c>
      <c r="L69" s="5"/>
      <c r="M69" s="70" t="str" cm="1">
        <f t="array" ref="M69">IF(M5="","",(N(M60)-IF(INPUTS!$C$24="Yes",IFERROR(INDEX(DEBT!$AH$21:$AH$30,M5),0),0))+N(M62))</f>
        <v/>
      </c>
      <c r="N69" s="5"/>
      <c r="O69" s="70" t="str" cm="1">
        <f t="array" ref="O69">IF(O5="","",(N(O60)-IF(INPUTS!$C$24="Yes",IFERROR(INDEX(DEBT!$AH$21:$AH$30,O5),0),0))+N(O62))</f>
        <v/>
      </c>
      <c r="P69" s="5"/>
      <c r="Q69" s="70" t="str" cm="1">
        <f t="array" ref="Q69">IF(Q5="","",(N(Q60)-IF(INPUTS!$C$24="Yes",IFERROR(INDEX(DEBT!$AH$21:$AH$30,Q5),0),0))+N(Q62))</f>
        <v/>
      </c>
      <c r="R69" s="5"/>
      <c r="S69" s="70" t="str" cm="1">
        <f t="array" ref="S69">IF(S5="","",(N(S60)-IF(INPUTS!$C$24="Yes",IFERROR(INDEX(DEBT!$AH$21:$AH$30,S5),0),0))+N(S62))</f>
        <v/>
      </c>
      <c r="T69" s="5"/>
      <c r="U69" s="70" t="str" cm="1">
        <f t="array" ref="U69">IF(U5="","",(N(U60)-IF(INPUTS!$C$24="Yes",IFERROR(INDEX(DEBT!$AH$21:$AH$30,U5),0),0))+N(U62))</f>
        <v/>
      </c>
      <c r="V69" s="5"/>
      <c r="W69" s="70" t="str" cm="1">
        <f t="array" ref="W69">IF(W5="","",(N(W60)-IF(INPUTS!$C$24="Yes",IFERROR(INDEX(DEBT!$AH$21:$AH$30,W5),0),0))+N(W62))</f>
        <v/>
      </c>
      <c r="X69" s="5"/>
      <c r="Y69" s="5"/>
      <c r="Z69" s="5"/>
      <c r="AA69" s="5"/>
      <c r="AB69" s="5"/>
      <c r="AC69" s="5"/>
      <c r="AD69" s="5"/>
      <c r="AE69" s="5"/>
      <c r="AF69" s="5"/>
      <c r="AG69" s="5"/>
      <c r="AH69" s="5"/>
      <c r="AI69" s="5"/>
      <c r="AJ69" s="5"/>
      <c r="AK69" s="5"/>
      <c r="AL69" s="5"/>
      <c r="AM69" s="5"/>
      <c r="AN69" s="5"/>
      <c r="AO69" s="5"/>
      <c r="AP69" s="5"/>
      <c r="AQ69" s="5"/>
      <c r="AR69" s="5"/>
      <c r="AS69" s="5"/>
      <c r="AT69" s="5"/>
    </row>
    <row r="70" spans="2:46">
      <c r="C70" s="5"/>
      <c r="D70" s="5"/>
      <c r="E70" s="342"/>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row>
    <row r="71" spans="2:46">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row>
    <row r="72" spans="2:46">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row>
    <row r="73" spans="2:46">
      <c r="C73" s="5"/>
      <c r="D73" s="5"/>
      <c r="E73" s="180"/>
      <c r="F73" s="5"/>
      <c r="G73" s="5"/>
      <c r="H73" s="5"/>
      <c r="I73" s="5"/>
      <c r="J73" s="5"/>
      <c r="K73" s="5"/>
      <c r="L73" s="5"/>
      <c r="M73" s="5"/>
      <c r="N73" s="5"/>
      <c r="O73" s="5"/>
      <c r="P73" s="5"/>
      <c r="Q73" s="5"/>
      <c r="R73" s="5"/>
      <c r="S73" s="5"/>
      <c r="T73" s="5"/>
      <c r="U73" s="5"/>
      <c r="V73" s="681" t="str">
        <f>IF(V10="","",IF(ABS((T70+N(V57)+N(V71)+V64+N(V68)+N(V69))-(V70+V72+V66+N(V67)+N(V65)))&lt;0.01,"OK","ERROR"))</f>
        <v/>
      </c>
      <c r="W73" s="5"/>
      <c r="X73" s="5"/>
      <c r="Y73" s="5"/>
      <c r="Z73" s="5"/>
      <c r="AA73" s="5"/>
      <c r="AB73" s="5"/>
      <c r="AC73" s="5"/>
      <c r="AD73" s="5"/>
      <c r="AE73" s="5"/>
      <c r="AF73" s="5"/>
      <c r="AG73" s="5"/>
      <c r="AH73" s="5"/>
      <c r="AI73" s="5"/>
      <c r="AJ73" s="5"/>
      <c r="AK73" s="5"/>
      <c r="AL73" s="5"/>
      <c r="AM73" s="5"/>
      <c r="AN73" s="5"/>
      <c r="AO73" s="5"/>
      <c r="AP73" s="5"/>
      <c r="AQ73" s="5"/>
      <c r="AR73" s="5"/>
      <c r="AS73" s="5"/>
      <c r="AT73" s="5"/>
    </row>
    <row r="74" spans="2:46">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row>
    <row r="75" spans="2:46">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row>
    <row r="76" spans="2:4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row>
    <row r="77" spans="2:46">
      <c r="C77" s="5"/>
      <c r="D77" s="5"/>
      <c r="E77" s="5"/>
      <c r="F77" s="5"/>
      <c r="G77" s="5"/>
      <c r="H77" s="5"/>
      <c r="I77" s="5"/>
      <c r="J77" s="5"/>
      <c r="K77" s="5"/>
      <c r="L77" s="5"/>
      <c r="M77" s="5"/>
      <c r="N77" s="5"/>
      <c r="O77" s="5"/>
      <c r="P77" s="5"/>
      <c r="Q77" s="682" t="str">
        <f>IF(Q24="","",IF(Q24&gt;=INPUTS!$C$33,-DEBT!$M$9,-DEBT!$AB$10))</f>
        <v/>
      </c>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row>
    <row r="78" spans="2:46">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row>
    <row r="79" spans="2:46">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row>
    <row r="80" spans="2:46">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row>
    <row r="81" spans="3:46">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row>
    <row r="82" spans="3:46">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row>
    <row r="83" spans="3:46">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row>
    <row r="84" spans="3:46">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row>
    <row r="85" spans="3:46">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row>
    <row r="86" spans="3:46">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row>
    <row r="87" spans="3:46">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row>
    <row r="88" spans="3:46">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row>
    <row r="89" spans="3:46">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row>
    <row r="90" spans="3:46">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row>
    <row r="91" spans="3:46">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row>
    <row r="92" spans="3:46">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row>
    <row r="93" spans="3:46">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row>
    <row r="94" spans="3:46">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row>
    <row r="95" spans="3:46">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row>
    <row r="96" spans="3:46">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row>
    <row r="97" spans="3:46">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row>
    <row r="98" spans="3:46">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row>
    <row r="99" spans="3:46">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row>
    <row r="100" spans="3:46">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row>
    <row r="101" spans="3:46">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row>
    <row r="102" spans="3:4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row>
    <row r="103" spans="3:46">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row>
    <row r="104" spans="3:46">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row>
    <row r="105" spans="3:46">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row>
    <row r="106" spans="3:46">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row>
    <row r="107" spans="3:46">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row>
    <row r="108" spans="3:46">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row>
    <row r="109" spans="3:46">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row>
    <row r="110" spans="3:46">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row>
    <row r="111" spans="3:46">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row>
    <row r="112" spans="3:46">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row>
    <row r="113" spans="3:46">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row>
    <row r="114" spans="3:46">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row>
    <row r="115" spans="3:46">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row>
    <row r="116" spans="3:46">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row>
    <row r="117" spans="3:46">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row>
    <row r="118" spans="3:46">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row>
    <row r="119" spans="3:46">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row>
    <row r="120" spans="3:46">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row>
    <row r="121" spans="3:46">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row>
    <row r="122" spans="3:46">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row>
    <row r="123" spans="3:46">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spans="3:46">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spans="3:46">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row>
    <row r="126" spans="3:46">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row>
    <row r="127" spans="3:46">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row>
    <row r="128" spans="3:46">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row>
    <row r="129" spans="3:46">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row>
    <row r="130" spans="3:46">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row>
    <row r="131" spans="3:46">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row>
    <row r="132" spans="3:46">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row>
    <row r="133" spans="3:46">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row>
    <row r="134" spans="3:46">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row>
    <row r="135" spans="3:46">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row>
    <row r="136" spans="3:46">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spans="3:46">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spans="3:46">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row>
    <row r="139" spans="3:46">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row>
    <row r="140" spans="3:46">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row>
    <row r="141" spans="3:46">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row>
    <row r="142" spans="3:46">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spans="3:46">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row>
    <row r="144" spans="3:46">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row>
    <row r="145" spans="3:46">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row>
    <row r="146" spans="3:46">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row>
    <row r="147" spans="3:46">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spans="3:46">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spans="3:46">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spans="3:46">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spans="3:46">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3:46">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3:46">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3:46">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3:46">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3:46">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3:46">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3:46">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3:46">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3:46">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3:46">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3:46">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spans="3:46">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spans="3:46">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3:46">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3:46">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3:46">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3:46">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3:46">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3:46">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3:46">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3:46">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3:46">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3:46">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3:46">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3:46">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3:46">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3:46">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3:46">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3:46">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3:46">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3:46">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3:46">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3:46">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3:46">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3:46">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3:46">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3:46">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3:46">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3:46">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3:46">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3:46">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3:46">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3:46">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3:46">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3:46">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3:46">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3:46">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3:46">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3:46">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3:46">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3:46">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3:46">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3:46">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3:46">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3:46">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3:46">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3:46">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3:46">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3:46">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3:46">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3:46">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3:46">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3:46">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3:46">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3:46">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3:46">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3:46">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3:46">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3:46">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3:46">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3:46">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3:46">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3:46">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3:46">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3:46">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3:46">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3:46">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3:46">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3:46">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3:46">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3:46">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3:46">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3:46">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3:46">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3:46">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3:46">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3:46">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3:46">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3:46">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3:46">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3:46">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3:46">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3:46">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3:46">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3:46">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3:46">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3:46">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3:46">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3:46">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3:46">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3:46">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3:46">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3:46">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3:46">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3:46">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3:46">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3:46">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3:46">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3:46">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3:46">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3:46">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3:46">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3:46">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3:46">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3:46">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3:46">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3:46">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3:46">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3:46">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3:46">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3:46">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3:46">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3:46">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3:46">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3:46">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3:46">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3:46">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3:46">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3:46">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3:46">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3:46">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3:46">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3:46">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3:46">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3:46">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sheetData>
  <conditionalFormatting sqref="B4">
    <cfRule type="expression" dxfId="10" priority="48" stopIfTrue="1">
      <formula>AND($B4="Total Income",B$104&lt;&gt;"")</formula>
    </cfRule>
  </conditionalFormatting>
  <conditionalFormatting sqref="E5:X5">
    <cfRule type="expression" dxfId="9" priority="1" stopIfTrue="1">
      <formula>AND($B5="Total Expenses",E$6&lt;&gt;"")</formula>
    </cfRule>
    <cfRule type="expression" dxfId="8" priority="2">
      <formula>AND($B5="Total Income",E$6&lt;&gt;"")</formula>
    </cfRule>
    <cfRule type="expression" dxfId="7" priority="3" stopIfTrue="1">
      <formula>AND($B5="Other Income", E$6&lt;&gt;"")</formula>
    </cfRule>
    <cfRule type="expression" dxfId="6" priority="4">
      <formula>AND($B5="NOI",E$6&lt;&gt;"")</formula>
    </cfRule>
  </conditionalFormatting>
  <pageMargins left="0.25" right="0.25" top="0.25" bottom="0.25" header="0" footer="0"/>
  <pageSetup paperSize="0" scale="24" orientation="landscape" horizontalDpi="0" verticalDpi="0" copies="0"/>
  <ignoredErrors>
    <ignoredError sqref="E17 E18:E25 E54:E55 E30:E33 E41:E44 E49:E51 G17 F16:X16 F18:X25 F17 H17:M17 O17:X17 F30:X46 G28 I28 K28 M28 O28 Q28 S28 U28 W28 F48:X55 G47:X47 G27:X27 G26:X26 G29:X29"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5DAE-CB1F-5048-8B11-994D2EC05CB8}">
  <sheetPr>
    <tabColor theme="6" tint="0.79998168889431442"/>
    <pageSetUpPr fitToPage="1"/>
  </sheetPr>
  <dimension ref="A1:S275"/>
  <sheetViews>
    <sheetView showGridLines="0" topLeftCell="B1" workbookViewId="0">
      <selection activeCell="D253" sqref="D253"/>
    </sheetView>
  </sheetViews>
  <sheetFormatPr baseColWidth="10" defaultRowHeight="16"/>
  <cols>
    <col min="1" max="1" width="3.5" style="13" customWidth="1"/>
    <col min="2" max="2" width="54.5" style="13" customWidth="1"/>
    <col min="3" max="3" width="18.6640625" style="13" bestFit="1" customWidth="1"/>
    <col min="4" max="4" width="19.6640625" style="13" bestFit="1" customWidth="1"/>
    <col min="5" max="5" width="26" style="13" bestFit="1" customWidth="1"/>
    <col min="6" max="6" width="19" style="13" bestFit="1" customWidth="1"/>
    <col min="7" max="7" width="13.1640625" style="13" customWidth="1"/>
    <col min="8" max="8" width="14.33203125" style="13" customWidth="1"/>
    <col min="9" max="9" width="18.33203125" style="13" bestFit="1" customWidth="1"/>
    <col min="10" max="10" width="18.33203125" style="13" customWidth="1"/>
    <col min="11" max="11" width="23.1640625" style="13" bestFit="1" customWidth="1"/>
    <col min="12" max="12" width="24.5" style="13" bestFit="1" customWidth="1"/>
    <col min="13" max="13" width="25.83203125" style="13" bestFit="1" customWidth="1"/>
    <col min="14" max="14" width="28" style="13" bestFit="1" customWidth="1"/>
    <col min="15" max="15" width="29.33203125" style="13" bestFit="1" customWidth="1"/>
    <col min="16" max="16" width="30.6640625" style="13" bestFit="1" customWidth="1"/>
    <col min="17" max="17" width="10.5" style="13" customWidth="1"/>
    <col min="18" max="18" width="2.5" style="13" bestFit="1" customWidth="1"/>
    <col min="19" max="19" width="6.5" style="13" bestFit="1" customWidth="1"/>
    <col min="20" max="16384" width="10.83203125" style="13"/>
  </cols>
  <sheetData>
    <row r="1" spans="1:19">
      <c r="F1" s="688"/>
      <c r="G1" s="688"/>
      <c r="H1" s="688"/>
      <c r="I1" s="688"/>
      <c r="J1" s="688"/>
      <c r="K1" s="688"/>
      <c r="L1" s="688"/>
      <c r="M1" s="688"/>
      <c r="N1" s="688"/>
      <c r="O1" s="688"/>
      <c r="P1" s="688"/>
    </row>
    <row r="2" spans="1:19" s="712" customFormat="1" ht="28" customHeight="1" thickBot="1">
      <c r="A2" s="795"/>
      <c r="B2" s="795" t="s">
        <v>421</v>
      </c>
      <c r="C2" s="795"/>
      <c r="D2" s="795"/>
      <c r="E2" s="795"/>
      <c r="F2" s="796"/>
      <c r="G2" s="796"/>
      <c r="H2" s="796"/>
      <c r="I2" s="796"/>
      <c r="J2" s="796"/>
      <c r="K2" s="796"/>
      <c r="L2" s="796"/>
      <c r="M2" s="796"/>
      <c r="N2" s="796"/>
      <c r="O2" s="796"/>
      <c r="P2" s="796"/>
      <c r="Q2" s="796"/>
      <c r="R2" s="796"/>
      <c r="S2" s="797"/>
    </row>
    <row r="3" spans="1:19">
      <c r="B3" s="689"/>
      <c r="C3" s="713"/>
      <c r="D3" s="713"/>
      <c r="E3" s="713"/>
      <c r="F3" s="714"/>
      <c r="G3" s="714"/>
      <c r="H3" s="714"/>
      <c r="I3" s="714"/>
      <c r="J3" s="714"/>
      <c r="K3" s="714"/>
      <c r="L3" s="714"/>
      <c r="M3" s="714"/>
      <c r="N3" s="714"/>
      <c r="O3" s="714"/>
      <c r="P3" s="714"/>
      <c r="Q3" s="714"/>
      <c r="R3" s="714"/>
      <c r="S3" s="714"/>
    </row>
    <row r="4" spans="1:19">
      <c r="B4" s="689" t="s">
        <v>423</v>
      </c>
      <c r="C4" s="713"/>
      <c r="D4" s="800" t="s">
        <v>417</v>
      </c>
      <c r="E4" s="715" t="s">
        <v>424</v>
      </c>
      <c r="F4" s="716"/>
      <c r="G4" s="716"/>
      <c r="H4" s="716"/>
      <c r="I4" s="716"/>
      <c r="J4" s="714"/>
      <c r="K4" s="714"/>
      <c r="L4" s="714"/>
      <c r="M4" s="714"/>
      <c r="N4" s="714"/>
      <c r="O4" s="714"/>
      <c r="P4" s="714"/>
      <c r="Q4" s="714"/>
      <c r="R4" s="714"/>
      <c r="S4" s="714"/>
    </row>
    <row r="5" spans="1:19">
      <c r="B5" s="689" t="s">
        <v>425</v>
      </c>
      <c r="C5" s="713"/>
      <c r="D5" s="800" t="s">
        <v>426</v>
      </c>
      <c r="E5" s="715"/>
      <c r="F5" s="716"/>
      <c r="G5" s="716"/>
      <c r="H5" s="716"/>
      <c r="I5" s="716"/>
      <c r="J5" s="714"/>
      <c r="K5" s="714"/>
      <c r="L5" s="714"/>
      <c r="M5" s="714"/>
      <c r="N5" s="714"/>
      <c r="O5" s="714"/>
      <c r="P5" s="714"/>
      <c r="Q5" s="714"/>
      <c r="R5" s="714"/>
      <c r="S5" s="714"/>
    </row>
    <row r="6" spans="1:19">
      <c r="A6" s="690" t="b">
        <f>AND(E6="Yes", H16&lt;$C$9)</f>
        <v>0</v>
      </c>
      <c r="B6" s="689"/>
      <c r="C6" s="713"/>
      <c r="D6" s="717"/>
      <c r="E6" s="718" t="s">
        <v>170</v>
      </c>
      <c r="F6" s="716"/>
      <c r="G6" s="716"/>
      <c r="H6" s="716"/>
      <c r="I6" s="716"/>
      <c r="J6" s="714"/>
      <c r="K6" s="714"/>
      <c r="L6" s="714"/>
      <c r="M6" s="714"/>
      <c r="N6" s="714"/>
      <c r="O6" s="714"/>
      <c r="P6" s="714"/>
      <c r="Q6" s="714"/>
      <c r="R6" s="714"/>
      <c r="S6" s="714"/>
    </row>
    <row r="7" spans="1:19">
      <c r="B7" s="691"/>
      <c r="C7" s="691"/>
      <c r="D7" s="692"/>
      <c r="F7" s="688"/>
      <c r="G7" s="688"/>
      <c r="H7" s="688"/>
      <c r="I7" s="688"/>
      <c r="J7" s="693"/>
      <c r="K7" s="693"/>
      <c r="L7" s="693"/>
      <c r="M7" s="714"/>
      <c r="N7" s="693"/>
      <c r="O7" s="693"/>
      <c r="P7" s="693"/>
      <c r="Q7" s="691"/>
      <c r="R7" s="691"/>
      <c r="S7" s="691"/>
    </row>
    <row r="8" spans="1:19" ht="17" thickBot="1">
      <c r="B8" s="1036" t="s">
        <v>428</v>
      </c>
      <c r="C8" s="1037" t="s">
        <v>404</v>
      </c>
      <c r="D8" s="1037" t="s">
        <v>413</v>
      </c>
      <c r="E8" s="1038" t="s">
        <v>7</v>
      </c>
      <c r="F8" s="1038" t="s">
        <v>512</v>
      </c>
      <c r="G8" s="1038" t="s">
        <v>511</v>
      </c>
      <c r="H8" s="1038" t="s">
        <v>510</v>
      </c>
      <c r="I8" s="1196" t="s">
        <v>440</v>
      </c>
      <c r="J8" s="1196"/>
      <c r="L8" s="693"/>
      <c r="M8" s="714"/>
      <c r="N8" s="693"/>
      <c r="O8" s="693"/>
      <c r="P8" s="693"/>
      <c r="Q8" s="691"/>
      <c r="R8" s="691"/>
      <c r="S8" s="691"/>
    </row>
    <row r="9" spans="1:19" ht="16" customHeight="1">
      <c r="B9" s="691" t="s">
        <v>429</v>
      </c>
      <c r="C9" s="801">
        <v>0.1</v>
      </c>
      <c r="D9" s="719">
        <f>$C$9*$D$12</f>
        <v>0</v>
      </c>
      <c r="E9" s="791">
        <v>0.01</v>
      </c>
      <c r="F9" s="791">
        <v>0</v>
      </c>
      <c r="G9" s="791">
        <v>0.01</v>
      </c>
      <c r="H9" s="791">
        <v>0</v>
      </c>
      <c r="I9" s="1197" t="s">
        <v>513</v>
      </c>
      <c r="J9" s="1197"/>
      <c r="L9" s="721" t="s">
        <v>430</v>
      </c>
      <c r="M9" s="722" t="e">
        <f>IF(ROUND(M12,0)=ROUND(M11,0),"OK","Error")</f>
        <v>#VALUE!</v>
      </c>
      <c r="N9" s="693"/>
      <c r="O9" s="693"/>
      <c r="P9" s="693"/>
      <c r="Q9" s="691"/>
      <c r="R9" s="691"/>
      <c r="S9" s="691"/>
    </row>
    <row r="10" spans="1:19">
      <c r="B10" s="691" t="s">
        <v>431</v>
      </c>
      <c r="C10" s="801">
        <v>0.3</v>
      </c>
      <c r="D10" s="719">
        <f>C10*$D$12</f>
        <v>0</v>
      </c>
      <c r="E10" s="791">
        <v>0</v>
      </c>
      <c r="F10" s="791">
        <v>0</v>
      </c>
      <c r="G10" s="791">
        <v>0</v>
      </c>
      <c r="H10" s="791">
        <v>0</v>
      </c>
      <c r="I10" s="1197"/>
      <c r="J10" s="1197"/>
      <c r="L10" s="723"/>
      <c r="M10" s="724"/>
      <c r="N10" s="693"/>
      <c r="O10" s="693"/>
      <c r="P10" s="693"/>
      <c r="Q10" s="691"/>
      <c r="R10" s="691"/>
      <c r="S10" s="691"/>
    </row>
    <row r="11" spans="1:19">
      <c r="B11" s="691" t="s">
        <v>432</v>
      </c>
      <c r="C11" s="695">
        <f>1-C9-C10</f>
        <v>0.60000000000000009</v>
      </c>
      <c r="D11" s="719">
        <f>$D$12*$C$11</f>
        <v>0</v>
      </c>
      <c r="E11" s="787"/>
      <c r="F11" s="788"/>
      <c r="G11" s="789"/>
      <c r="H11" s="790"/>
      <c r="I11" s="1197"/>
      <c r="J11" s="1197"/>
      <c r="L11" s="723" t="s">
        <v>671</v>
      </c>
      <c r="M11" s="725" t="e" cm="1">
        <f t="array" ref="M11">SUMPRODUCT((F55:P55&gt;0)*F55:P55)/1000000</f>
        <v>#VALUE!</v>
      </c>
      <c r="N11" s="693"/>
      <c r="O11" s="693"/>
      <c r="P11" s="693"/>
      <c r="Q11" s="691"/>
      <c r="R11" s="691"/>
      <c r="S11" s="691"/>
    </row>
    <row r="12" spans="1:19" ht="17" thickBot="1">
      <c r="B12" s="691" t="s">
        <v>434</v>
      </c>
      <c r="C12" s="696"/>
      <c r="D12" s="792">
        <f>-F61</f>
        <v>0</v>
      </c>
      <c r="E12" s="793">
        <f>INPUTS!F15</f>
        <v>0</v>
      </c>
      <c r="F12" s="793">
        <f>INPUTS!F14</f>
        <v>0</v>
      </c>
      <c r="G12" s="794">
        <f>INPUTS!F13</f>
        <v>0</v>
      </c>
      <c r="H12" s="793">
        <f>INPUTS!F16</f>
        <v>0</v>
      </c>
      <c r="I12" s="1197"/>
      <c r="J12" s="1197"/>
      <c r="L12" s="726" t="s">
        <v>433</v>
      </c>
      <c r="M12" s="727">
        <f>(D26+D35+D46)/1000000</f>
        <v>0</v>
      </c>
      <c r="N12" s="693"/>
      <c r="O12" s="693"/>
      <c r="P12" s="693"/>
      <c r="Q12" s="691"/>
      <c r="R12" s="691"/>
      <c r="S12" s="691"/>
    </row>
    <row r="13" spans="1:19">
      <c r="B13" s="691"/>
      <c r="C13" s="696"/>
      <c r="D13" s="728"/>
      <c r="E13" s="691"/>
      <c r="F13" s="694"/>
      <c r="G13" s="720"/>
      <c r="H13" s="693"/>
      <c r="I13" s="693"/>
      <c r="J13" s="693"/>
      <c r="K13" s="693"/>
      <c r="L13" s="693"/>
      <c r="M13" s="693"/>
      <c r="N13" s="693"/>
      <c r="O13" s="693"/>
      <c r="P13" s="693"/>
      <c r="Q13" s="691"/>
      <c r="R13" s="691"/>
      <c r="S13" s="691"/>
    </row>
    <row r="14" spans="1:19">
      <c r="B14" s="698" t="s">
        <v>435</v>
      </c>
      <c r="C14" s="267" t="str">
        <f>IF(D4="IRR","IRR",IF(D4="Equity Multiple","Equity Multiple",IF(D4&lt;&gt;"IRR + EMx","",IF(D79&gt;D182,"IRR","Equity Multiple"))))</f>
        <v>IRR</v>
      </c>
      <c r="D14" s="698"/>
      <c r="E14" s="267"/>
      <c r="F14" s="1192" t="s">
        <v>436</v>
      </c>
      <c r="G14" s="1192"/>
      <c r="H14" s="1195" t="s">
        <v>437</v>
      </c>
      <c r="I14" s="1195"/>
      <c r="J14" s="1195"/>
      <c r="K14" s="699"/>
      <c r="L14" s="699"/>
      <c r="M14" s="699"/>
      <c r="N14" s="699"/>
      <c r="O14" s="693"/>
      <c r="P14" s="693"/>
      <c r="Q14" s="691"/>
      <c r="R14" s="691"/>
      <c r="S14" s="691"/>
    </row>
    <row r="15" spans="1:19">
      <c r="B15" s="1036" t="str">
        <f>IF(D4="Equity Multiple","Partnership Distribution Assumptions (Equity Multiple Hurdles)",IF(D4="IRR","Partnership Distribution Assumptions (IRR Hurdles)","Partnership Distribution Assumptions (Max of IRR or Emx Hurdles)"))</f>
        <v>Partnership Distribution Assumptions (IRR Hurdles)</v>
      </c>
      <c r="C15" s="1039"/>
      <c r="D15" s="1040"/>
      <c r="E15" s="1039"/>
      <c r="F15" s="1194"/>
      <c r="G15" s="1194"/>
      <c r="H15" s="1038" t="s">
        <v>438</v>
      </c>
      <c r="I15" s="1038" t="s">
        <v>527</v>
      </c>
      <c r="J15" s="1038" t="s">
        <v>528</v>
      </c>
      <c r="K15" s="1041"/>
      <c r="L15" s="1041"/>
      <c r="M15" s="1041"/>
      <c r="N15" s="1041"/>
      <c r="O15" s="693"/>
      <c r="P15" s="693"/>
      <c r="Q15" s="691"/>
      <c r="R15" s="691"/>
      <c r="S15" s="691"/>
    </row>
    <row r="16" spans="1:19">
      <c r="B16" s="691" t="s">
        <v>441</v>
      </c>
      <c r="C16" s="729" t="s">
        <v>418</v>
      </c>
      <c r="D16" s="730" t="s">
        <v>417</v>
      </c>
      <c r="E16" s="731">
        <f>IF($D$4="Equity Multiple",C17,D17)</f>
        <v>0.1</v>
      </c>
      <c r="F16" s="732" t="s">
        <v>414</v>
      </c>
      <c r="G16" s="733"/>
      <c r="H16" s="803">
        <v>0.1</v>
      </c>
      <c r="I16" s="696">
        <f>1-H16-J16</f>
        <v>0.60000000000000009</v>
      </c>
      <c r="J16" s="696">
        <f>$C$10</f>
        <v>0.3</v>
      </c>
      <c r="K16" s="691"/>
      <c r="L16" s="691"/>
      <c r="M16" s="691"/>
      <c r="N16" s="691"/>
      <c r="O16" s="693"/>
      <c r="P16" s="693"/>
      <c r="Q16" s="691"/>
      <c r="R16" s="691"/>
      <c r="S16" s="691"/>
    </row>
    <row r="17" spans="1:19">
      <c r="B17" s="691" t="s">
        <v>443</v>
      </c>
      <c r="C17" s="735">
        <v>1.5</v>
      </c>
      <c r="D17" s="802">
        <v>0.1</v>
      </c>
      <c r="E17" s="737">
        <f>IF($D$4="Equity Multiple",IF(B274&lt;3,"",C18),IF(B274&lt;3,"",D18))</f>
        <v>0.12</v>
      </c>
      <c r="F17" s="803">
        <v>0.15</v>
      </c>
      <c r="G17" s="696"/>
      <c r="H17" s="738">
        <f>1-($C$11*(1-F17))</f>
        <v>0.49</v>
      </c>
      <c r="I17" s="696">
        <f>1-H17</f>
        <v>0.51</v>
      </c>
      <c r="J17" s="696">
        <v>0</v>
      </c>
      <c r="K17" s="691"/>
      <c r="L17" s="691"/>
      <c r="M17" s="691"/>
      <c r="N17" s="691"/>
      <c r="O17" s="693"/>
      <c r="P17" s="693"/>
      <c r="Q17" s="691"/>
      <c r="R17" s="691"/>
      <c r="S17" s="691"/>
    </row>
    <row r="18" spans="1:19">
      <c r="B18" s="691" t="s">
        <v>444</v>
      </c>
      <c r="C18" s="735">
        <v>1.75</v>
      </c>
      <c r="D18" s="802">
        <v>0.12</v>
      </c>
      <c r="E18" s="737"/>
      <c r="F18" s="803">
        <v>0.25</v>
      </c>
      <c r="G18" s="696"/>
      <c r="H18" s="738">
        <f>1-($C$11*(1-F18))</f>
        <v>0.54999999999999993</v>
      </c>
      <c r="I18" s="696">
        <f>1-H18</f>
        <v>0.45000000000000007</v>
      </c>
      <c r="J18" s="696">
        <v>0</v>
      </c>
      <c r="K18" s="691"/>
      <c r="L18" s="691"/>
      <c r="M18" s="691"/>
      <c r="N18" s="691"/>
      <c r="O18" s="693"/>
      <c r="P18" s="693"/>
      <c r="Q18" s="691"/>
      <c r="R18" s="691"/>
      <c r="S18" s="691"/>
    </row>
    <row r="19" spans="1:19">
      <c r="B19" s="691"/>
      <c r="C19" s="691"/>
      <c r="D19" s="739"/>
      <c r="E19" s="737"/>
      <c r="F19" s="720"/>
      <c r="G19" s="740"/>
      <c r="H19" s="697"/>
      <c r="I19" s="697"/>
      <c r="J19" s="693"/>
      <c r="K19" s="693"/>
      <c r="L19" s="693"/>
      <c r="M19" s="693"/>
      <c r="N19" s="693"/>
      <c r="O19" s="693"/>
      <c r="P19" s="693"/>
      <c r="Q19" s="691"/>
      <c r="R19" s="691"/>
      <c r="S19" s="691"/>
    </row>
    <row r="20" spans="1:19">
      <c r="B20" s="1036" t="s">
        <v>445</v>
      </c>
      <c r="C20" s="1039"/>
      <c r="D20" s="1042" t="s">
        <v>446</v>
      </c>
      <c r="E20" s="1043">
        <f>MAX(F20:S20)</f>
        <v>1</v>
      </c>
      <c r="F20" s="1044">
        <v>0</v>
      </c>
      <c r="G20" s="1044">
        <f t="shared" ref="G20:P20" si="0">IF(G55="","",F20+1)</f>
        <v>1</v>
      </c>
      <c r="H20" s="1044" t="str">
        <f t="shared" si="0"/>
        <v/>
      </c>
      <c r="I20" s="1044" t="str">
        <f t="shared" si="0"/>
        <v/>
      </c>
      <c r="J20" s="1044" t="str">
        <f t="shared" si="0"/>
        <v/>
      </c>
      <c r="K20" s="1044" t="str">
        <f t="shared" si="0"/>
        <v/>
      </c>
      <c r="L20" s="1044" t="str">
        <f t="shared" si="0"/>
        <v/>
      </c>
      <c r="M20" s="1044" t="str">
        <f t="shared" si="0"/>
        <v/>
      </c>
      <c r="N20" s="1044" t="str">
        <f t="shared" si="0"/>
        <v/>
      </c>
      <c r="O20" s="1044" t="str">
        <f t="shared" si="0"/>
        <v/>
      </c>
      <c r="P20" s="1044" t="str">
        <f t="shared" si="0"/>
        <v/>
      </c>
      <c r="Q20" s="1044" t="str">
        <f>IF(Q55="","",P20+1)</f>
        <v/>
      </c>
      <c r="R20" s="719" t="str">
        <f>IF(R55="","",Q20+1)</f>
        <v/>
      </c>
      <c r="S20" s="719" t="str">
        <f>IF(S55="","",R20+1)</f>
        <v/>
      </c>
    </row>
    <row r="21" spans="1:19">
      <c r="B21" s="741" t="s">
        <v>447</v>
      </c>
      <c r="C21" s="691"/>
      <c r="D21" s="739"/>
      <c r="E21" s="737"/>
      <c r="F21" s="742"/>
      <c r="G21" s="743"/>
      <c r="H21" s="700"/>
      <c r="I21" s="700"/>
      <c r="J21" s="701"/>
      <c r="K21" s="701"/>
      <c r="L21" s="701"/>
      <c r="M21" s="701"/>
      <c r="N21" s="701"/>
      <c r="O21" s="701"/>
      <c r="P21" s="701"/>
      <c r="Q21" s="701"/>
      <c r="R21" s="701"/>
      <c r="S21" s="701"/>
    </row>
    <row r="22" spans="1:19">
      <c r="B22" s="702"/>
      <c r="C22" s="744" t="s">
        <v>448</v>
      </c>
      <c r="D22" s="745"/>
      <c r="E22" s="737"/>
      <c r="F22" s="719"/>
      <c r="G22" s="719"/>
      <c r="H22" s="719"/>
      <c r="I22" s="719"/>
      <c r="J22" s="719"/>
      <c r="K22" s="719"/>
      <c r="L22" s="719"/>
      <c r="M22" s="719"/>
      <c r="N22" s="719"/>
      <c r="O22" s="719"/>
      <c r="P22" s="719"/>
      <c r="Q22" s="719"/>
      <c r="R22" s="719"/>
      <c r="S22" s="719"/>
    </row>
    <row r="23" spans="1:19">
      <c r="B23" s="702" t="s">
        <v>449</v>
      </c>
      <c r="C23" s="701" t="str">
        <f>IF(ROUND(D23,0)=ROUND(SUM(F23:S23),0),"OK","ERROR")</f>
        <v>OK</v>
      </c>
      <c r="D23" s="745">
        <f>(C14="IRR")*(SUM(F115:S115)-D24)+(C14="Equity Multiple")*(SUM(F217:S217)-D24)</f>
        <v>0</v>
      </c>
      <c r="E23" s="737"/>
      <c r="F23" s="719">
        <f>IF(F20="","",MIN($D23-SUM($E23:E23),F26))</f>
        <v>0</v>
      </c>
      <c r="G23" s="719">
        <f>IF(G20="","",MIN($D23-SUM($E23:F23),G26))</f>
        <v>0</v>
      </c>
      <c r="H23" s="719" t="str">
        <f>IF(H20="","",MIN($D23-SUM($E23:G23),H26))</f>
        <v/>
      </c>
      <c r="I23" s="719" t="str">
        <f>IF(I20="","",MIN($D23-SUM($E23:H23),I26))</f>
        <v/>
      </c>
      <c r="J23" s="719" t="str">
        <f>IF(J20="","",MIN($D23-SUM($E23:I23),J26))</f>
        <v/>
      </c>
      <c r="K23" s="719" t="str">
        <f>IF(K20="","",MIN($D23-SUM($E23:J23),K26))</f>
        <v/>
      </c>
      <c r="L23" s="719" t="str">
        <f>IF(L20="","",MIN($D23-SUM($E23:K23),L26))</f>
        <v/>
      </c>
      <c r="M23" s="719" t="str">
        <f>IF(M20="","",MIN($D23-SUM($E23:L23),M26))</f>
        <v/>
      </c>
      <c r="N23" s="719" t="str">
        <f>IF(N20="","",MIN($D23-SUM($E23:M23),N26))</f>
        <v/>
      </c>
      <c r="O23" s="719" t="str">
        <f>IF(O20="","",MIN($D23-SUM($E23:N23),O26))</f>
        <v/>
      </c>
      <c r="P23" s="719" t="str">
        <f>IF(P20="","",MIN($D23-SUM($E23:O23),P26))</f>
        <v/>
      </c>
      <c r="Q23" s="719" t="str">
        <f>IF(Q20="","",MIN($D23-SUM($E23:P23),Q26))</f>
        <v/>
      </c>
      <c r="R23" s="719" t="str">
        <f>IF(R20="","",MIN($D23-SUM($E23:Q23),R26))</f>
        <v/>
      </c>
      <c r="S23" s="719" t="str">
        <f>IF(S20="","",MIN($D23-SUM($E23:R23),S26))</f>
        <v/>
      </c>
    </row>
    <row r="24" spans="1:19">
      <c r="B24" s="702" t="s">
        <v>427</v>
      </c>
      <c r="C24" s="701" t="str">
        <f>IF(ROUND(D24,0)=ROUND(SUM(F24:S24),0),"OK","ERROR")</f>
        <v>OK</v>
      </c>
      <c r="D24" s="745">
        <f>MIN(D27,D26)</f>
        <v>0</v>
      </c>
      <c r="E24" s="737"/>
      <c r="F24" s="719">
        <f>IF(F20="","",MIN($D24-SUM($E24:E24),F26-F23))</f>
        <v>0</v>
      </c>
      <c r="G24" s="719">
        <f>IF(G20="","",MIN($D24-SUM($E24:F24),G26-G23))</f>
        <v>0</v>
      </c>
      <c r="H24" s="719" t="str">
        <f>IF(H20="","",MIN($D24-SUM($E24:G24),H26-H23))</f>
        <v/>
      </c>
      <c r="I24" s="719" t="str">
        <f>IF(I20="","",MIN($D24-SUM($E24:H24),I26-I23))</f>
        <v/>
      </c>
      <c r="J24" s="719" t="str">
        <f>IF(J20="","",MIN($D24-SUM($E24:I24),J26-J23))</f>
        <v/>
      </c>
      <c r="K24" s="719" t="str">
        <f>IF(K20="","",MIN($D24-SUM($E24:J24),K26-K23))</f>
        <v/>
      </c>
      <c r="L24" s="719" t="str">
        <f>IF(L20="","",MIN($D24-SUM($E24:K24),L26-L23))</f>
        <v/>
      </c>
      <c r="M24" s="719" t="str">
        <f>IF(M20="","",MIN($D24-SUM($E24:L24),M26-M23))</f>
        <v/>
      </c>
      <c r="N24" s="719" t="str">
        <f>IF(N20="","",MIN($D24-SUM($E24:M24),N26-N23))</f>
        <v/>
      </c>
      <c r="O24" s="719" t="str">
        <f>IF(O20="","",MIN($D24-SUM($E24:N24),O26-O23))</f>
        <v/>
      </c>
      <c r="P24" s="719" t="str">
        <f>IF(P20="","",MIN($D24-SUM($E24:O24),P26-P23))</f>
        <v/>
      </c>
      <c r="Q24" s="719" t="str">
        <f>IF(Q20="","",MIN($D24-SUM($E24:P24),Q26-Q23))</f>
        <v/>
      </c>
      <c r="R24" s="719" t="str">
        <f>IF(R20="","",MIN($D24-SUM($E24:Q24),R26-R23))</f>
        <v/>
      </c>
      <c r="S24" s="719" t="str">
        <f>IF(S20="","",MIN($D24-SUM($E24:R24),S26-S23))</f>
        <v/>
      </c>
    </row>
    <row r="25" spans="1:19" ht="19">
      <c r="B25" s="702" t="s">
        <v>450</v>
      </c>
      <c r="C25" s="701" t="str">
        <f>IF(ROUND(D25,0)=ROUND(SUM(F25:S25),0),"OK","ERROR")</f>
        <v>OK</v>
      </c>
      <c r="D25" s="746">
        <f>D26-D24-D23</f>
        <v>0</v>
      </c>
      <c r="E25" s="737"/>
      <c r="F25" s="747">
        <f t="shared" ref="F25:S25" si="1">IF(F20="","",F26-F24-F23)</f>
        <v>0</v>
      </c>
      <c r="G25" s="747">
        <f t="shared" si="1"/>
        <v>0</v>
      </c>
      <c r="H25" s="747" t="str">
        <f t="shared" si="1"/>
        <v/>
      </c>
      <c r="I25" s="747" t="str">
        <f t="shared" si="1"/>
        <v/>
      </c>
      <c r="J25" s="747" t="str">
        <f t="shared" si="1"/>
        <v/>
      </c>
      <c r="K25" s="747" t="str">
        <f t="shared" si="1"/>
        <v/>
      </c>
      <c r="L25" s="747" t="str">
        <f t="shared" si="1"/>
        <v/>
      </c>
      <c r="M25" s="747" t="str">
        <f t="shared" si="1"/>
        <v/>
      </c>
      <c r="N25" s="747" t="str">
        <f t="shared" si="1"/>
        <v/>
      </c>
      <c r="O25" s="747" t="str">
        <f t="shared" si="1"/>
        <v/>
      </c>
      <c r="P25" s="747" t="str">
        <f t="shared" si="1"/>
        <v/>
      </c>
      <c r="Q25" s="747" t="str">
        <f t="shared" si="1"/>
        <v/>
      </c>
      <c r="R25" s="747" t="str">
        <f t="shared" si="1"/>
        <v/>
      </c>
      <c r="S25" s="747" t="str">
        <f t="shared" si="1"/>
        <v/>
      </c>
    </row>
    <row r="26" spans="1:19">
      <c r="B26" s="702" t="s">
        <v>451</v>
      </c>
      <c r="C26" s="691"/>
      <c r="D26" s="745">
        <f>SUM(F26:S26)</f>
        <v>0</v>
      </c>
      <c r="E26" s="737"/>
      <c r="F26" s="719">
        <f t="shared" ref="F26:S26" si="2">IF(F$20="","",($C$14="IRR")*F76+($C$14="Equity Multiple")*F179)</f>
        <v>0</v>
      </c>
      <c r="G26" s="719">
        <f t="shared" si="2"/>
        <v>0</v>
      </c>
      <c r="H26" s="719" t="str">
        <f t="shared" si="2"/>
        <v/>
      </c>
      <c r="I26" s="719" t="str">
        <f t="shared" si="2"/>
        <v/>
      </c>
      <c r="J26" s="719" t="str">
        <f t="shared" si="2"/>
        <v/>
      </c>
      <c r="K26" s="719" t="str">
        <f t="shared" si="2"/>
        <v/>
      </c>
      <c r="L26" s="719" t="str">
        <f t="shared" si="2"/>
        <v/>
      </c>
      <c r="M26" s="719" t="str">
        <f t="shared" si="2"/>
        <v/>
      </c>
      <c r="N26" s="719" t="str">
        <f t="shared" si="2"/>
        <v/>
      </c>
      <c r="O26" s="719" t="str">
        <f t="shared" si="2"/>
        <v/>
      </c>
      <c r="P26" s="719" t="str">
        <f t="shared" si="2"/>
        <v/>
      </c>
      <c r="Q26" s="719" t="str">
        <f t="shared" si="2"/>
        <v/>
      </c>
      <c r="R26" s="719" t="str">
        <f t="shared" si="2"/>
        <v/>
      </c>
      <c r="S26" s="719" t="str">
        <f t="shared" si="2"/>
        <v/>
      </c>
    </row>
    <row r="27" spans="1:19">
      <c r="B27" s="702" t="s">
        <v>452</v>
      </c>
      <c r="C27" s="691"/>
      <c r="D27" s="745">
        <f>SUM(F27:S27)</f>
        <v>0</v>
      </c>
      <c r="E27" s="737"/>
      <c r="F27" s="719">
        <f t="shared" ref="F27:S27" si="3">F114</f>
        <v>0</v>
      </c>
      <c r="G27" s="719">
        <f t="shared" si="3"/>
        <v>0</v>
      </c>
      <c r="H27" s="719" t="str">
        <f t="shared" si="3"/>
        <v/>
      </c>
      <c r="I27" s="719" t="str">
        <f t="shared" si="3"/>
        <v/>
      </c>
      <c r="J27" s="719" t="str">
        <f t="shared" si="3"/>
        <v/>
      </c>
      <c r="K27" s="719" t="str">
        <f t="shared" si="3"/>
        <v/>
      </c>
      <c r="L27" s="719" t="str">
        <f t="shared" si="3"/>
        <v/>
      </c>
      <c r="M27" s="719" t="str">
        <f t="shared" si="3"/>
        <v/>
      </c>
      <c r="N27" s="719" t="str">
        <f t="shared" si="3"/>
        <v/>
      </c>
      <c r="O27" s="719" t="str">
        <f t="shared" si="3"/>
        <v/>
      </c>
      <c r="P27" s="719" t="str">
        <f t="shared" si="3"/>
        <v/>
      </c>
      <c r="Q27" s="719" t="str">
        <f t="shared" si="3"/>
        <v/>
      </c>
      <c r="R27" s="719" t="str">
        <f t="shared" si="3"/>
        <v/>
      </c>
      <c r="S27" s="719" t="str">
        <f t="shared" si="3"/>
        <v/>
      </c>
    </row>
    <row r="28" spans="1:19">
      <c r="B28" s="702" t="s">
        <v>453</v>
      </c>
      <c r="C28" s="691"/>
      <c r="D28" s="745">
        <f>D26-D27</f>
        <v>0</v>
      </c>
      <c r="E28" s="737"/>
      <c r="F28" s="748"/>
      <c r="G28" s="719"/>
      <c r="H28" s="703"/>
      <c r="I28" s="703"/>
      <c r="J28" s="703"/>
      <c r="K28" s="703"/>
      <c r="L28" s="703"/>
      <c r="M28" s="703"/>
      <c r="N28" s="703"/>
      <c r="O28" s="703"/>
      <c r="P28" s="703"/>
      <c r="Q28" s="703"/>
      <c r="R28" s="703"/>
      <c r="S28" s="703"/>
    </row>
    <row r="29" spans="1:19">
      <c r="B29" s="702" t="s">
        <v>454</v>
      </c>
      <c r="C29" s="691"/>
      <c r="D29" s="809" t="str">
        <f>IFERROR(IRR(F29:S29),"NA")</f>
        <v>NA</v>
      </c>
      <c r="E29" s="737"/>
      <c r="F29" s="719">
        <f t="shared" ref="F29:S29" si="4">IF(F20="","",(-F27)+F26)</f>
        <v>0</v>
      </c>
      <c r="G29" s="719">
        <f t="shared" si="4"/>
        <v>0</v>
      </c>
      <c r="H29" s="719" t="str">
        <f t="shared" si="4"/>
        <v/>
      </c>
      <c r="I29" s="719" t="str">
        <f t="shared" si="4"/>
        <v/>
      </c>
      <c r="J29" s="719" t="str">
        <f t="shared" si="4"/>
        <v/>
      </c>
      <c r="K29" s="719" t="str">
        <f t="shared" si="4"/>
        <v/>
      </c>
      <c r="L29" s="719" t="str">
        <f t="shared" si="4"/>
        <v/>
      </c>
      <c r="M29" s="719" t="str">
        <f t="shared" si="4"/>
        <v/>
      </c>
      <c r="N29" s="719" t="str">
        <f t="shared" si="4"/>
        <v/>
      </c>
      <c r="O29" s="719" t="str">
        <f t="shared" si="4"/>
        <v/>
      </c>
      <c r="P29" s="719" t="str">
        <f t="shared" si="4"/>
        <v/>
      </c>
      <c r="Q29" s="719" t="str">
        <f t="shared" si="4"/>
        <v/>
      </c>
      <c r="R29" s="719" t="str">
        <f t="shared" si="4"/>
        <v/>
      </c>
      <c r="S29" s="719" t="str">
        <f t="shared" si="4"/>
        <v/>
      </c>
    </row>
    <row r="30" spans="1:19">
      <c r="B30" s="702" t="s">
        <v>455</v>
      </c>
      <c r="C30" s="691"/>
      <c r="D30" s="810" t="e">
        <f>D26/D27</f>
        <v>#DIV/0!</v>
      </c>
      <c r="E30" s="737"/>
      <c r="F30" s="748"/>
      <c r="G30" s="719"/>
      <c r="H30" s="703"/>
      <c r="I30" s="703"/>
      <c r="J30" s="703"/>
      <c r="K30" s="703"/>
      <c r="L30" s="703"/>
      <c r="M30" s="703"/>
      <c r="N30" s="703"/>
      <c r="O30" s="703"/>
      <c r="P30" s="703"/>
      <c r="Q30" s="703"/>
      <c r="R30" s="703"/>
      <c r="S30" s="703"/>
    </row>
    <row r="31" spans="1:19">
      <c r="A31" s="750"/>
      <c r="B31" s="751"/>
      <c r="C31" s="750"/>
      <c r="D31" s="752"/>
      <c r="E31" s="753"/>
      <c r="F31" s="754"/>
      <c r="G31" s="754"/>
      <c r="H31" s="754"/>
      <c r="I31" s="754"/>
      <c r="J31" s="754"/>
      <c r="K31" s="754"/>
      <c r="L31" s="754"/>
      <c r="M31" s="754"/>
      <c r="N31" s="754"/>
      <c r="O31" s="754"/>
      <c r="P31" s="754"/>
      <c r="Q31" s="754"/>
      <c r="R31" s="754"/>
      <c r="S31" s="754"/>
    </row>
    <row r="32" spans="1:19">
      <c r="A32" s="750"/>
      <c r="B32" s="751" t="s">
        <v>456</v>
      </c>
      <c r="C32" s="750"/>
      <c r="D32" s="752"/>
      <c r="E32" s="753"/>
      <c r="F32" s="754"/>
      <c r="G32" s="754"/>
      <c r="H32" s="754"/>
      <c r="I32" s="754"/>
      <c r="J32" s="754"/>
      <c r="K32" s="754"/>
      <c r="L32" s="754"/>
      <c r="M32" s="754"/>
      <c r="N32" s="754"/>
      <c r="O32" s="754"/>
      <c r="P32" s="754"/>
      <c r="Q32" s="754"/>
      <c r="R32" s="754"/>
      <c r="S32" s="754"/>
    </row>
    <row r="33" spans="1:19">
      <c r="A33" s="750"/>
      <c r="B33" s="755" t="s">
        <v>457</v>
      </c>
      <c r="C33" s="750"/>
      <c r="D33" s="756">
        <f>SUM(F33:S33)</f>
        <v>0</v>
      </c>
      <c r="E33" s="753"/>
      <c r="F33" s="754">
        <f t="shared" ref="F33:P33" si="5">IF(F$20="","",($C$14="IRR")*F133+($C$14="Equity Multiple")*F235)</f>
        <v>0</v>
      </c>
      <c r="G33" s="754">
        <f t="shared" si="5"/>
        <v>0</v>
      </c>
      <c r="H33" s="754" t="str">
        <f t="shared" si="5"/>
        <v/>
      </c>
      <c r="I33" s="754" t="str">
        <f t="shared" si="5"/>
        <v/>
      </c>
      <c r="J33" s="754" t="str">
        <f t="shared" si="5"/>
        <v/>
      </c>
      <c r="K33" s="754" t="str">
        <f t="shared" si="5"/>
        <v/>
      </c>
      <c r="L33" s="754" t="str">
        <f t="shared" si="5"/>
        <v/>
      </c>
      <c r="M33" s="754" t="str">
        <f t="shared" si="5"/>
        <v/>
      </c>
      <c r="N33" s="754" t="str">
        <f t="shared" si="5"/>
        <v/>
      </c>
      <c r="O33" s="754" t="str">
        <f t="shared" si="5"/>
        <v/>
      </c>
      <c r="P33" s="754" t="str">
        <f t="shared" si="5"/>
        <v/>
      </c>
      <c r="Q33" s="754"/>
      <c r="R33" s="754"/>
      <c r="S33" s="754"/>
    </row>
    <row r="34" spans="1:19">
      <c r="A34" s="750"/>
      <c r="B34" s="755" t="s">
        <v>458</v>
      </c>
      <c r="C34" s="750"/>
      <c r="D34" s="756">
        <f>SUM(F34:S34)</f>
        <v>0</v>
      </c>
      <c r="E34" s="753"/>
      <c r="F34" s="754">
        <f>IF(F20="","",IFERROR(F57*($E$10/$E$12),0)+IFERROR(F58*($F$10/$F$12),0)+IFERROR(F56*($G$10/$G$12),0)+IFERROR(F59*($H$10/$H$12),0))</f>
        <v>0</v>
      </c>
      <c r="G34" s="754">
        <f t="shared" ref="G34:P34" si="6">IF(G20="","",IFERROR(G57*($E$10/$E$12),0)+IFERROR(G58*($F$10/$F$12),0)+IFERROR(G56*($G$10/$G$12),0)+IFERROR(G59*($H$10/$H$12),0))</f>
        <v>0</v>
      </c>
      <c r="H34" s="754" t="str">
        <f t="shared" si="6"/>
        <v/>
      </c>
      <c r="I34" s="754" t="str">
        <f t="shared" si="6"/>
        <v/>
      </c>
      <c r="J34" s="754" t="str">
        <f t="shared" si="6"/>
        <v/>
      </c>
      <c r="K34" s="754" t="str">
        <f t="shared" si="6"/>
        <v/>
      </c>
      <c r="L34" s="754" t="str">
        <f t="shared" si="6"/>
        <v/>
      </c>
      <c r="M34" s="754" t="str">
        <f t="shared" si="6"/>
        <v/>
      </c>
      <c r="N34" s="754" t="str">
        <f t="shared" si="6"/>
        <v/>
      </c>
      <c r="O34" s="754" t="str">
        <f t="shared" si="6"/>
        <v/>
      </c>
      <c r="P34" s="754" t="str">
        <f t="shared" si="6"/>
        <v/>
      </c>
      <c r="Q34" s="754"/>
      <c r="R34" s="754"/>
      <c r="S34" s="754"/>
    </row>
    <row r="35" spans="1:19">
      <c r="A35" s="750"/>
      <c r="B35" s="755" t="s">
        <v>459</v>
      </c>
      <c r="C35" s="750"/>
      <c r="D35" s="756">
        <f>SUM(F35:S35)</f>
        <v>0</v>
      </c>
      <c r="E35" s="753"/>
      <c r="F35" s="754">
        <f t="shared" ref="F35:P35" si="7">IF(F$20="","",F33+F34)</f>
        <v>0</v>
      </c>
      <c r="G35" s="754">
        <f t="shared" si="7"/>
        <v>0</v>
      </c>
      <c r="H35" s="754" t="str">
        <f t="shared" si="7"/>
        <v/>
      </c>
      <c r="I35" s="754" t="str">
        <f t="shared" si="7"/>
        <v/>
      </c>
      <c r="J35" s="754" t="str">
        <f t="shared" si="7"/>
        <v/>
      </c>
      <c r="K35" s="754" t="str">
        <f t="shared" si="7"/>
        <v/>
      </c>
      <c r="L35" s="754" t="str">
        <f t="shared" si="7"/>
        <v/>
      </c>
      <c r="M35" s="754" t="str">
        <f t="shared" si="7"/>
        <v/>
      </c>
      <c r="N35" s="754" t="str">
        <f t="shared" si="7"/>
        <v/>
      </c>
      <c r="O35" s="754" t="str">
        <f t="shared" si="7"/>
        <v/>
      </c>
      <c r="P35" s="754" t="str">
        <f t="shared" si="7"/>
        <v/>
      </c>
      <c r="Q35" s="754"/>
      <c r="R35" s="754"/>
      <c r="S35" s="754"/>
    </row>
    <row r="36" spans="1:19">
      <c r="A36" s="750"/>
      <c r="B36" s="755" t="s">
        <v>460</v>
      </c>
      <c r="C36" s="750"/>
      <c r="D36" s="756">
        <f>SUM(F36:S36)</f>
        <v>0</v>
      </c>
      <c r="E36" s="753"/>
      <c r="F36" s="754">
        <f t="shared" ref="F36:P36" si="8">IF(F$20="","",($C$14="IRR")*F129+($C$14="Equity Multiple")*F231)</f>
        <v>0</v>
      </c>
      <c r="G36" s="754">
        <f t="shared" si="8"/>
        <v>0</v>
      </c>
      <c r="H36" s="754" t="str">
        <f t="shared" si="8"/>
        <v/>
      </c>
      <c r="I36" s="754" t="str">
        <f t="shared" si="8"/>
        <v/>
      </c>
      <c r="J36" s="754" t="str">
        <f t="shared" si="8"/>
        <v/>
      </c>
      <c r="K36" s="754" t="str">
        <f t="shared" si="8"/>
        <v/>
      </c>
      <c r="L36" s="754" t="str">
        <f t="shared" si="8"/>
        <v/>
      </c>
      <c r="M36" s="754" t="str">
        <f t="shared" si="8"/>
        <v/>
      </c>
      <c r="N36" s="754" t="str">
        <f t="shared" si="8"/>
        <v/>
      </c>
      <c r="O36" s="754" t="str">
        <f t="shared" si="8"/>
        <v/>
      </c>
      <c r="P36" s="754" t="str">
        <f t="shared" si="8"/>
        <v/>
      </c>
      <c r="Q36" s="754"/>
      <c r="R36" s="754"/>
      <c r="S36" s="754"/>
    </row>
    <row r="37" spans="1:19">
      <c r="A37" s="750"/>
      <c r="B37" s="755" t="s">
        <v>461</v>
      </c>
      <c r="C37" s="750"/>
      <c r="D37" s="756">
        <f>D35-D36</f>
        <v>0</v>
      </c>
      <c r="E37" s="753"/>
      <c r="F37" s="754"/>
      <c r="G37" s="754"/>
      <c r="H37" s="754"/>
      <c r="I37" s="754"/>
      <c r="J37" s="754"/>
      <c r="K37" s="754"/>
      <c r="L37" s="754"/>
      <c r="M37" s="754"/>
      <c r="N37" s="754"/>
      <c r="O37" s="754"/>
      <c r="P37" s="754"/>
      <c r="Q37" s="754"/>
      <c r="R37" s="754"/>
      <c r="S37" s="754"/>
    </row>
    <row r="38" spans="1:19">
      <c r="A38" s="750"/>
      <c r="B38" s="755" t="s">
        <v>462</v>
      </c>
      <c r="C38" s="750"/>
      <c r="D38" s="757" t="str">
        <f>IFERROR(IRR(F38:S38),"NA")</f>
        <v>NA</v>
      </c>
      <c r="E38" s="753"/>
      <c r="F38" s="754">
        <f t="shared" ref="F38:P38" si="9">IF(F20="","",(-F36)+F35)</f>
        <v>0</v>
      </c>
      <c r="G38" s="754">
        <f t="shared" si="9"/>
        <v>0</v>
      </c>
      <c r="H38" s="754" t="str">
        <f t="shared" si="9"/>
        <v/>
      </c>
      <c r="I38" s="754" t="str">
        <f t="shared" si="9"/>
        <v/>
      </c>
      <c r="J38" s="754" t="str">
        <f t="shared" si="9"/>
        <v/>
      </c>
      <c r="K38" s="754" t="str">
        <f t="shared" si="9"/>
        <v/>
      </c>
      <c r="L38" s="754" t="str">
        <f t="shared" si="9"/>
        <v/>
      </c>
      <c r="M38" s="754" t="str">
        <f t="shared" si="9"/>
        <v/>
      </c>
      <c r="N38" s="754" t="str">
        <f t="shared" si="9"/>
        <v/>
      </c>
      <c r="O38" s="754" t="str">
        <f t="shared" si="9"/>
        <v/>
      </c>
      <c r="P38" s="754" t="str">
        <f t="shared" si="9"/>
        <v/>
      </c>
      <c r="Q38" s="754"/>
      <c r="R38" s="754"/>
      <c r="S38" s="754"/>
    </row>
    <row r="39" spans="1:19">
      <c r="A39" s="750"/>
      <c r="B39" s="755" t="s">
        <v>463</v>
      </c>
      <c r="C39" s="750"/>
      <c r="D39" s="811" t="str">
        <f>IFERROR(D35/D36,"NA")</f>
        <v>NA</v>
      </c>
      <c r="E39" s="753"/>
      <c r="F39" s="754"/>
      <c r="G39" s="754"/>
      <c r="H39" s="754"/>
      <c r="I39" s="754"/>
      <c r="J39" s="754"/>
      <c r="K39" s="754"/>
      <c r="L39" s="754"/>
      <c r="M39" s="754"/>
      <c r="N39" s="754"/>
      <c r="O39" s="754"/>
      <c r="P39" s="754"/>
      <c r="Q39" s="754"/>
      <c r="R39" s="754"/>
      <c r="S39" s="754"/>
    </row>
    <row r="40" spans="1:19">
      <c r="B40" s="702"/>
      <c r="C40" s="691"/>
      <c r="D40" s="739"/>
      <c r="E40" s="737"/>
      <c r="F40" s="748"/>
      <c r="G40" s="719"/>
      <c r="H40" s="703"/>
      <c r="I40" s="703"/>
      <c r="J40" s="703"/>
      <c r="K40" s="703"/>
      <c r="L40" s="703"/>
      <c r="M40" s="703"/>
      <c r="N40" s="703"/>
      <c r="O40" s="703"/>
      <c r="P40" s="703"/>
      <c r="Q40" s="703"/>
      <c r="R40" s="703"/>
      <c r="S40" s="703"/>
    </row>
    <row r="41" spans="1:19">
      <c r="B41" s="741" t="s">
        <v>464</v>
      </c>
      <c r="C41" s="691"/>
      <c r="D41" s="739"/>
      <c r="E41" s="737"/>
      <c r="F41" s="748"/>
      <c r="G41" s="719"/>
      <c r="H41" s="703"/>
      <c r="I41" s="703"/>
      <c r="J41" s="703"/>
      <c r="K41" s="703"/>
      <c r="L41" s="703"/>
      <c r="M41" s="703"/>
      <c r="N41" s="703"/>
      <c r="O41" s="703"/>
      <c r="P41" s="703"/>
      <c r="Q41" s="703"/>
      <c r="R41" s="703"/>
      <c r="S41" s="703"/>
    </row>
    <row r="42" spans="1:19">
      <c r="B42" s="702" t="s">
        <v>449</v>
      </c>
      <c r="C42" s="701" t="str">
        <f>IF(ROUND(D42,0)=ROUND(SUM(F42:S42),0),"OK","ERROR")</f>
        <v>OK</v>
      </c>
      <c r="D42" s="719">
        <f>(C14="IRR")*(SUM(F123:S123)-D43)+(C14="Equity Multiple")*(SUM(F225:S225)-D43)</f>
        <v>0</v>
      </c>
      <c r="E42" s="737"/>
      <c r="F42" s="719">
        <f>IF(F20="","",MIN($D42-SUM($E42:E42),F46))</f>
        <v>0</v>
      </c>
      <c r="G42" s="719">
        <f>IF(G20="","",MIN($D42-SUM($E42:F42),G46))</f>
        <v>0</v>
      </c>
      <c r="H42" s="719" t="str">
        <f>IF(H20="","",MIN($D42-SUM($E42:G42),H46))</f>
        <v/>
      </c>
      <c r="I42" s="719" t="str">
        <f>IF(I20="","",MIN($D42-SUM($E42:H42),I46))</f>
        <v/>
      </c>
      <c r="J42" s="719" t="str">
        <f>IF(J20="","",MIN($D42-SUM($E42:I42),J46))</f>
        <v/>
      </c>
      <c r="K42" s="719" t="str">
        <f>IF(K20="","",MIN($D42-SUM($E42:J42),K46))</f>
        <v/>
      </c>
      <c r="L42" s="719" t="str">
        <f>IF(L20="","",MIN($D42-SUM($E42:K42),L46))</f>
        <v/>
      </c>
      <c r="M42" s="719" t="str">
        <f>IF(M20="","",MIN($D42-SUM($E42:L42),M46))</f>
        <v/>
      </c>
      <c r="N42" s="719" t="str">
        <f>IF(N20="","",MIN($D42-SUM($E42:M42),N46))</f>
        <v/>
      </c>
      <c r="O42" s="719" t="str">
        <f>IF(O20="","",MIN($D42-SUM($E42:N42),O46))</f>
        <v/>
      </c>
      <c r="P42" s="719" t="str">
        <f>IF(P20="","",MIN($D42-SUM($E42:O42),P46))</f>
        <v/>
      </c>
      <c r="Q42" s="719" t="str">
        <f>IF(Q20="","",MIN($D42-SUM($E42:P42),Q46))</f>
        <v/>
      </c>
      <c r="R42" s="719" t="str">
        <f>IF(R20="","",MIN($D42-SUM($E42:Q42),R46))</f>
        <v/>
      </c>
      <c r="S42" s="719" t="str">
        <f>IF(S20="","",MIN($D42-SUM($E42:R42),S46))</f>
        <v/>
      </c>
    </row>
    <row r="43" spans="1:19" ht="16" customHeight="1">
      <c r="B43" s="702" t="s">
        <v>427</v>
      </c>
      <c r="C43" s="701" t="str">
        <f>IF(ROUND(D43,0)=ROUND(SUM(F43:S43),0),"OK","ERROR")</f>
        <v>OK</v>
      </c>
      <c r="D43" s="719">
        <f>MIN(D46,D48)</f>
        <v>0</v>
      </c>
      <c r="E43" s="737"/>
      <c r="F43" s="719">
        <f>IF(F20="","",MIN($D43-SUM($E43:E43),F46-F42))</f>
        <v>0</v>
      </c>
      <c r="G43" s="719">
        <f>IF(G20="","",MIN($D43-SUM($E43:F43),G46-G42))</f>
        <v>0</v>
      </c>
      <c r="H43" s="719" t="str">
        <f>IF(H20="","",MIN($D43-SUM($E43:G43),H46-H42))</f>
        <v/>
      </c>
      <c r="I43" s="719" t="str">
        <f>IF(I20="","",MIN($D43-SUM($E43:H43),I46-I42))</f>
        <v/>
      </c>
      <c r="J43" s="719" t="str">
        <f>IF(J20="","",MIN($D43-SUM($E43:I43),J46-J42))</f>
        <v/>
      </c>
      <c r="K43" s="719" t="str">
        <f>IF(K20="","",MIN($D43-SUM($E43:J43),K46-K42))</f>
        <v/>
      </c>
      <c r="L43" s="719" t="str">
        <f>IF(L20="","",MIN($D43-SUM($E43:K43),L46-L42))</f>
        <v/>
      </c>
      <c r="M43" s="719" t="str">
        <f>IF(M20="","",MIN($D43-SUM($E43:L43),M46-M42))</f>
        <v/>
      </c>
      <c r="N43" s="719" t="str">
        <f>IF(N20="","",MIN($D43-SUM($E43:M43),N46-N42))</f>
        <v/>
      </c>
      <c r="O43" s="719" t="str">
        <f>IF(O20="","",MIN($D43-SUM($E43:N43),O46-O42))</f>
        <v/>
      </c>
      <c r="P43" s="719" t="str">
        <f>IF(P20="","",MIN($D43-SUM($E43:O43),P46-P42))</f>
        <v/>
      </c>
      <c r="Q43" s="719" t="str">
        <f>IF(Q20="","",MIN($D43-SUM($E43:P43),Q46-Q42))</f>
        <v/>
      </c>
      <c r="R43" s="719" t="str">
        <f>IF(R20="","",MIN($D43-SUM($E43:Q43),R46-R42))</f>
        <v/>
      </c>
      <c r="S43" s="719" t="str">
        <f>IF(S20="","",MIN($D43-SUM($E43:R43),S46-S42))</f>
        <v/>
      </c>
    </row>
    <row r="44" spans="1:19" ht="16" customHeight="1">
      <c r="B44" s="702" t="s">
        <v>194</v>
      </c>
      <c r="C44" s="701" t="str">
        <f>IF(ROUND(D44,0)=ROUND(SUM(F44:S44),0),"OK","ERROR")</f>
        <v>OK</v>
      </c>
      <c r="D44" s="719">
        <f>D46-D43-D45-D42</f>
        <v>0</v>
      </c>
      <c r="E44" s="737"/>
      <c r="F44" s="719">
        <f t="shared" ref="F44:S44" si="10">IF(F20="","",F46-F45-F43-F42)</f>
        <v>0</v>
      </c>
      <c r="G44" s="719">
        <f t="shared" si="10"/>
        <v>0</v>
      </c>
      <c r="H44" s="719" t="str">
        <f t="shared" si="10"/>
        <v/>
      </c>
      <c r="I44" s="719" t="str">
        <f t="shared" si="10"/>
        <v/>
      </c>
      <c r="J44" s="719" t="str">
        <f t="shared" si="10"/>
        <v/>
      </c>
      <c r="K44" s="719" t="str">
        <f t="shared" si="10"/>
        <v/>
      </c>
      <c r="L44" s="719" t="str">
        <f t="shared" si="10"/>
        <v/>
      </c>
      <c r="M44" s="719" t="str">
        <f t="shared" si="10"/>
        <v/>
      </c>
      <c r="N44" s="719" t="str">
        <f t="shared" si="10"/>
        <v/>
      </c>
      <c r="O44" s="719" t="str">
        <f t="shared" si="10"/>
        <v/>
      </c>
      <c r="P44" s="719" t="str">
        <f t="shared" si="10"/>
        <v/>
      </c>
      <c r="Q44" s="719" t="str">
        <f t="shared" si="10"/>
        <v/>
      </c>
      <c r="R44" s="719" t="str">
        <f t="shared" si="10"/>
        <v/>
      </c>
      <c r="S44" s="719" t="str">
        <f t="shared" si="10"/>
        <v/>
      </c>
    </row>
    <row r="45" spans="1:19" ht="16" customHeight="1">
      <c r="B45" s="702" t="s">
        <v>450</v>
      </c>
      <c r="C45" s="701" t="str">
        <f>IF(ROUND(D45,0)=ROUND(SUM(F45:S45),0),"OK","ERROR")</f>
        <v>OK</v>
      </c>
      <c r="D45" s="747">
        <f>D25/$C$11*$C$9</f>
        <v>0</v>
      </c>
      <c r="E45" s="737"/>
      <c r="F45" s="747">
        <f t="shared" ref="F45:S45" si="11">IF(F20="","",F25/$C$11*$C$9)</f>
        <v>0</v>
      </c>
      <c r="G45" s="747">
        <f t="shared" si="11"/>
        <v>0</v>
      </c>
      <c r="H45" s="747" t="str">
        <f t="shared" si="11"/>
        <v/>
      </c>
      <c r="I45" s="747" t="str">
        <f t="shared" si="11"/>
        <v/>
      </c>
      <c r="J45" s="747" t="str">
        <f t="shared" si="11"/>
        <v/>
      </c>
      <c r="K45" s="747" t="str">
        <f t="shared" si="11"/>
        <v/>
      </c>
      <c r="L45" s="747" t="str">
        <f t="shared" si="11"/>
        <v/>
      </c>
      <c r="M45" s="747" t="str">
        <f t="shared" si="11"/>
        <v/>
      </c>
      <c r="N45" s="747" t="str">
        <f t="shared" si="11"/>
        <v/>
      </c>
      <c r="O45" s="747" t="str">
        <f t="shared" si="11"/>
        <v/>
      </c>
      <c r="P45" s="747" t="str">
        <f t="shared" si="11"/>
        <v/>
      </c>
      <c r="Q45" s="747" t="str">
        <f t="shared" si="11"/>
        <v/>
      </c>
      <c r="R45" s="747" t="str">
        <f t="shared" si="11"/>
        <v/>
      </c>
      <c r="S45" s="747" t="str">
        <f t="shared" si="11"/>
        <v/>
      </c>
    </row>
    <row r="46" spans="1:19" ht="18" customHeight="1">
      <c r="B46" s="702" t="s">
        <v>465</v>
      </c>
      <c r="C46" s="691"/>
      <c r="D46" s="719">
        <f>SUM(F46:S46)</f>
        <v>0</v>
      </c>
      <c r="E46" s="737"/>
      <c r="F46" s="719">
        <f t="shared" ref="F46:S46" si="12">IF(F$20="","",($C$14="IRR")*F92+($C$14="Equity Multiple")*F194)</f>
        <v>0</v>
      </c>
      <c r="G46" s="719">
        <f t="shared" si="12"/>
        <v>0</v>
      </c>
      <c r="H46" s="719" t="str">
        <f t="shared" si="12"/>
        <v/>
      </c>
      <c r="I46" s="719" t="str">
        <f t="shared" si="12"/>
        <v/>
      </c>
      <c r="J46" s="719" t="str">
        <f t="shared" si="12"/>
        <v/>
      </c>
      <c r="K46" s="719" t="str">
        <f t="shared" si="12"/>
        <v/>
      </c>
      <c r="L46" s="719" t="str">
        <f t="shared" si="12"/>
        <v/>
      </c>
      <c r="M46" s="719" t="str">
        <f t="shared" si="12"/>
        <v/>
      </c>
      <c r="N46" s="719" t="str">
        <f t="shared" si="12"/>
        <v/>
      </c>
      <c r="O46" s="719" t="str">
        <f t="shared" si="12"/>
        <v/>
      </c>
      <c r="P46" s="719" t="str">
        <f t="shared" si="12"/>
        <v/>
      </c>
      <c r="Q46" s="719" t="str">
        <f t="shared" si="12"/>
        <v/>
      </c>
      <c r="R46" s="719" t="str">
        <f t="shared" si="12"/>
        <v/>
      </c>
      <c r="S46" s="719" t="str">
        <f t="shared" si="12"/>
        <v/>
      </c>
    </row>
    <row r="47" spans="1:19">
      <c r="B47" s="702" t="s">
        <v>466</v>
      </c>
      <c r="C47" s="691"/>
      <c r="D47" s="719">
        <f>SUM(F47:S47)</f>
        <v>0</v>
      </c>
      <c r="E47" s="737"/>
      <c r="F47" s="719">
        <f t="shared" ref="F47:P47" si="13">IF(F20="","",IFERROR(F57*($E$9/$E$12),0)+IFERROR(F58*($F$9/$F$12),0)+IFERROR(F56*($G$9/$G$12),0)+IFERROR(F59*($H$9/$H$12),0))</f>
        <v>0</v>
      </c>
      <c r="G47" s="719">
        <f t="shared" si="13"/>
        <v>0</v>
      </c>
      <c r="H47" s="719" t="str">
        <f t="shared" si="13"/>
        <v/>
      </c>
      <c r="I47" s="719" t="str">
        <f t="shared" si="13"/>
        <v/>
      </c>
      <c r="J47" s="719" t="str">
        <f t="shared" si="13"/>
        <v/>
      </c>
      <c r="K47" s="719" t="str">
        <f t="shared" si="13"/>
        <v/>
      </c>
      <c r="L47" s="719" t="str">
        <f t="shared" si="13"/>
        <v/>
      </c>
      <c r="M47" s="719" t="str">
        <f t="shared" si="13"/>
        <v/>
      </c>
      <c r="N47" s="719" t="str">
        <f t="shared" si="13"/>
        <v/>
      </c>
      <c r="O47" s="719" t="str">
        <f t="shared" si="13"/>
        <v/>
      </c>
      <c r="P47" s="719" t="str">
        <f t="shared" si="13"/>
        <v/>
      </c>
      <c r="Q47" s="719" t="str">
        <f>IF(Q20="","",SUM(Q56:Q57))</f>
        <v/>
      </c>
      <c r="R47" s="719" t="str">
        <f>IF(R20="","",SUM(R56:R57))</f>
        <v/>
      </c>
      <c r="S47" s="719" t="str">
        <f>IF(S20="","",SUM(S56:S57))</f>
        <v/>
      </c>
    </row>
    <row r="48" spans="1:19">
      <c r="B48" s="702" t="s">
        <v>467</v>
      </c>
      <c r="C48" s="691"/>
      <c r="D48" s="719">
        <f>SUM(F48:S48)</f>
        <v>0</v>
      </c>
      <c r="E48" s="737"/>
      <c r="F48" s="719">
        <f t="shared" ref="F48:S48" si="14">F122</f>
        <v>0</v>
      </c>
      <c r="G48" s="719">
        <f t="shared" si="14"/>
        <v>0</v>
      </c>
      <c r="H48" s="719" t="str">
        <f t="shared" si="14"/>
        <v/>
      </c>
      <c r="I48" s="719" t="str">
        <f t="shared" si="14"/>
        <v/>
      </c>
      <c r="J48" s="719" t="str">
        <f t="shared" si="14"/>
        <v/>
      </c>
      <c r="K48" s="719" t="str">
        <f t="shared" si="14"/>
        <v/>
      </c>
      <c r="L48" s="719" t="str">
        <f t="shared" si="14"/>
        <v/>
      </c>
      <c r="M48" s="719" t="str">
        <f t="shared" si="14"/>
        <v/>
      </c>
      <c r="N48" s="719" t="str">
        <f t="shared" si="14"/>
        <v/>
      </c>
      <c r="O48" s="719" t="str">
        <f t="shared" si="14"/>
        <v/>
      </c>
      <c r="P48" s="719" t="str">
        <f t="shared" si="14"/>
        <v/>
      </c>
      <c r="Q48" s="719" t="str">
        <f t="shared" si="14"/>
        <v/>
      </c>
      <c r="R48" s="719" t="str">
        <f t="shared" si="14"/>
        <v/>
      </c>
      <c r="S48" s="719" t="str">
        <f t="shared" si="14"/>
        <v/>
      </c>
    </row>
    <row r="49" spans="1:19">
      <c r="B49" s="702" t="s">
        <v>468</v>
      </c>
      <c r="C49" s="691"/>
      <c r="D49" s="719">
        <f>+D46+D47-D48</f>
        <v>0</v>
      </c>
      <c r="E49" s="737"/>
      <c r="F49" s="748"/>
      <c r="G49" s="719"/>
      <c r="H49" s="703"/>
      <c r="I49" s="703"/>
      <c r="J49" s="703"/>
      <c r="K49" s="703"/>
      <c r="L49" s="703"/>
      <c r="M49" s="703"/>
      <c r="N49" s="703"/>
      <c r="O49" s="703"/>
      <c r="P49" s="703"/>
      <c r="Q49" s="703"/>
      <c r="R49" s="703"/>
      <c r="S49" s="703"/>
    </row>
    <row r="50" spans="1:19">
      <c r="B50" s="702" t="s">
        <v>420</v>
      </c>
      <c r="C50" s="691"/>
      <c r="D50" s="812" t="str">
        <f>IFERROR(IRR(F50:S50),"NA")</f>
        <v>NA</v>
      </c>
      <c r="E50" s="737"/>
      <c r="F50" s="719">
        <f t="shared" ref="F50:S50" si="15">IF(F20="","",(-F48)+F46+F47)</f>
        <v>0</v>
      </c>
      <c r="G50" s="719">
        <f t="shared" si="15"/>
        <v>0</v>
      </c>
      <c r="H50" s="719" t="str">
        <f t="shared" si="15"/>
        <v/>
      </c>
      <c r="I50" s="719" t="str">
        <f t="shared" si="15"/>
        <v/>
      </c>
      <c r="J50" s="719" t="str">
        <f t="shared" si="15"/>
        <v/>
      </c>
      <c r="K50" s="719" t="str">
        <f t="shared" si="15"/>
        <v/>
      </c>
      <c r="L50" s="719" t="str">
        <f t="shared" si="15"/>
        <v/>
      </c>
      <c r="M50" s="719" t="str">
        <f t="shared" si="15"/>
        <v/>
      </c>
      <c r="N50" s="719" t="str">
        <f t="shared" si="15"/>
        <v/>
      </c>
      <c r="O50" s="719" t="str">
        <f t="shared" si="15"/>
        <v/>
      </c>
      <c r="P50" s="719" t="str">
        <f t="shared" si="15"/>
        <v/>
      </c>
      <c r="Q50" s="719" t="str">
        <f t="shared" si="15"/>
        <v/>
      </c>
      <c r="R50" s="719" t="str">
        <f t="shared" si="15"/>
        <v/>
      </c>
      <c r="S50" s="719" t="str">
        <f t="shared" si="15"/>
        <v/>
      </c>
    </row>
    <row r="51" spans="1:19">
      <c r="B51" s="702" t="s">
        <v>469</v>
      </c>
      <c r="C51" s="691"/>
      <c r="D51" s="813" t="str">
        <f>IFERROR(D46/D48,"NA")</f>
        <v>NA</v>
      </c>
      <c r="E51" s="737"/>
      <c r="F51" s="742"/>
      <c r="G51" s="743"/>
      <c r="H51" s="700"/>
      <c r="I51" s="700"/>
      <c r="J51" s="701"/>
      <c r="K51" s="701"/>
      <c r="L51" s="701"/>
      <c r="M51" s="701"/>
      <c r="N51" s="701"/>
      <c r="O51" s="701"/>
      <c r="P51" s="701"/>
      <c r="Q51" s="701"/>
      <c r="R51" s="701"/>
      <c r="S51" s="701"/>
    </row>
    <row r="52" spans="1:19">
      <c r="B52" s="758"/>
      <c r="C52" s="759"/>
      <c r="D52" s="760"/>
      <c r="E52" s="691"/>
      <c r="F52" s="701"/>
      <c r="G52" s="701"/>
      <c r="H52" s="701"/>
      <c r="I52" s="701"/>
      <c r="J52" s="701"/>
      <c r="K52" s="701"/>
      <c r="L52" s="701"/>
      <c r="M52" s="701"/>
      <c r="N52" s="701"/>
      <c r="O52" s="701"/>
      <c r="P52" s="701"/>
      <c r="Q52" s="701"/>
      <c r="R52" s="701"/>
      <c r="S52" s="701"/>
    </row>
    <row r="53" spans="1:19">
      <c r="B53" s="1045" t="s">
        <v>470</v>
      </c>
      <c r="C53" s="1046"/>
      <c r="D53" s="1046"/>
      <c r="E53" s="1047"/>
      <c r="F53" s="1048" t="s">
        <v>471</v>
      </c>
      <c r="G53" s="1049">
        <f>G$20</f>
        <v>1</v>
      </c>
      <c r="H53" s="1049" t="str">
        <f t="shared" ref="H53:S53" si="16">H$20</f>
        <v/>
      </c>
      <c r="I53" s="1049" t="str">
        <f t="shared" si="16"/>
        <v/>
      </c>
      <c r="J53" s="1049" t="str">
        <f t="shared" si="16"/>
        <v/>
      </c>
      <c r="K53" s="1049" t="str">
        <f t="shared" si="16"/>
        <v/>
      </c>
      <c r="L53" s="1049" t="str">
        <f t="shared" si="16"/>
        <v/>
      </c>
      <c r="M53" s="1049" t="str">
        <f t="shared" si="16"/>
        <v/>
      </c>
      <c r="N53" s="1049" t="str">
        <f t="shared" si="16"/>
        <v/>
      </c>
      <c r="O53" s="1049" t="str">
        <f t="shared" si="16"/>
        <v/>
      </c>
      <c r="P53" s="1049" t="str">
        <f t="shared" si="16"/>
        <v/>
      </c>
      <c r="Q53" s="1049" t="str">
        <f t="shared" si="16"/>
        <v/>
      </c>
      <c r="R53" s="1049" t="str">
        <f t="shared" si="16"/>
        <v/>
      </c>
      <c r="S53" s="1049" t="str">
        <f t="shared" si="16"/>
        <v/>
      </c>
    </row>
    <row r="54" spans="1:19">
      <c r="B54" s="691"/>
      <c r="C54" s="691"/>
      <c r="D54" s="691"/>
      <c r="E54" s="701" t="s">
        <v>472</v>
      </c>
      <c r="F54" s="804">
        <f>DATE('PRO FORMA'!E4,12,31)</f>
        <v>731</v>
      </c>
      <c r="G54" s="704">
        <f>IF(G53="","",EOMONTH(F54,12))</f>
        <v>1096</v>
      </c>
      <c r="H54" s="704" t="str">
        <f t="shared" ref="H54:S54" si="17">IF(H53="","",EOMONTH(G54,12))</f>
        <v/>
      </c>
      <c r="I54" s="704" t="str">
        <f t="shared" si="17"/>
        <v/>
      </c>
      <c r="J54" s="704" t="str">
        <f t="shared" si="17"/>
        <v/>
      </c>
      <c r="K54" s="704" t="str">
        <f t="shared" si="17"/>
        <v/>
      </c>
      <c r="L54" s="704" t="str">
        <f t="shared" si="17"/>
        <v/>
      </c>
      <c r="M54" s="704" t="str">
        <f t="shared" si="17"/>
        <v/>
      </c>
      <c r="N54" s="704" t="str">
        <f t="shared" si="17"/>
        <v/>
      </c>
      <c r="O54" s="704" t="str">
        <f t="shared" si="17"/>
        <v/>
      </c>
      <c r="P54" s="704" t="str">
        <f t="shared" si="17"/>
        <v/>
      </c>
      <c r="Q54" s="704" t="str">
        <f>IF(Q53="","",EOMONTH(P54,12))</f>
        <v/>
      </c>
      <c r="R54" s="704" t="str">
        <f t="shared" si="17"/>
        <v/>
      </c>
      <c r="S54" s="704" t="str">
        <f t="shared" si="17"/>
        <v/>
      </c>
    </row>
    <row r="55" spans="1:19">
      <c r="B55" s="807" t="s">
        <v>473</v>
      </c>
      <c r="C55" s="691"/>
      <c r="D55" s="691"/>
      <c r="E55" s="705"/>
      <c r="F55" s="762">
        <f>-(SUMMARY!I36-(SUMMARY!D30+SUMMARY!D31+SUMMARY!D35))</f>
        <v>0</v>
      </c>
      <c r="G55" s="762">
        <f>'PRO FORMA'!E67</f>
        <v>0</v>
      </c>
      <c r="H55" s="762" t="str">
        <f>'PRO FORMA'!G67</f>
        <v/>
      </c>
      <c r="I55" s="762" t="str">
        <f>'PRO FORMA'!I67</f>
        <v/>
      </c>
      <c r="J55" s="762" t="str">
        <f>'PRO FORMA'!K67</f>
        <v/>
      </c>
      <c r="K55" s="762" t="str">
        <f>'PRO FORMA'!M67</f>
        <v/>
      </c>
      <c r="L55" s="762" t="str">
        <f>'PRO FORMA'!O67</f>
        <v/>
      </c>
      <c r="M55" s="762" t="str">
        <f>'PRO FORMA'!Q67</f>
        <v/>
      </c>
      <c r="N55" s="762" t="str">
        <f>'PRO FORMA'!S67</f>
        <v/>
      </c>
      <c r="O55" s="762" t="str">
        <f>'PRO FORMA'!U67</f>
        <v/>
      </c>
      <c r="P55" s="762" t="str">
        <f>'PRO FORMA'!W67</f>
        <v/>
      </c>
      <c r="Q55" s="762"/>
      <c r="R55" s="762"/>
      <c r="S55" s="762"/>
    </row>
    <row r="56" spans="1:19">
      <c r="B56" s="763" t="s">
        <v>474</v>
      </c>
      <c r="C56" s="691"/>
      <c r="D56" s="691"/>
      <c r="E56" s="705"/>
      <c r="F56" s="762">
        <v>0</v>
      </c>
      <c r="G56" s="762">
        <f>'PRO FORMA'!E61</f>
        <v>0</v>
      </c>
      <c r="H56" s="762" t="str">
        <f>'PRO FORMA'!G61</f>
        <v/>
      </c>
      <c r="I56" s="762" t="str">
        <f>'PRO FORMA'!I61</f>
        <v/>
      </c>
      <c r="J56" s="762" t="str">
        <f>'PRO FORMA'!K61</f>
        <v/>
      </c>
      <c r="K56" s="762" t="str">
        <f>'PRO FORMA'!M61</f>
        <v/>
      </c>
      <c r="L56" s="762" t="str">
        <f>'PRO FORMA'!O61</f>
        <v/>
      </c>
      <c r="M56" s="762" t="str">
        <f>'PRO FORMA'!Q61</f>
        <v/>
      </c>
      <c r="N56" s="762" t="str">
        <f>'PRO FORMA'!S61</f>
        <v/>
      </c>
      <c r="O56" s="762" t="str">
        <f>'PRO FORMA'!U61</f>
        <v/>
      </c>
      <c r="P56" s="762" t="str">
        <f>'PRO FORMA'!W61</f>
        <v/>
      </c>
      <c r="Q56" s="762"/>
      <c r="R56" s="762"/>
      <c r="S56" s="762"/>
    </row>
    <row r="57" spans="1:19">
      <c r="B57" s="763" t="s">
        <v>7</v>
      </c>
      <c r="C57" s="691"/>
      <c r="D57" s="691"/>
      <c r="E57" s="705"/>
      <c r="F57" s="762">
        <f>SUMMARY!I33</f>
        <v>0</v>
      </c>
      <c r="G57" s="762">
        <v>0</v>
      </c>
      <c r="H57" s="762">
        <v>0</v>
      </c>
      <c r="I57" s="762">
        <v>0</v>
      </c>
      <c r="J57" s="762">
        <v>0</v>
      </c>
      <c r="K57" s="762">
        <v>0</v>
      </c>
      <c r="L57" s="762">
        <v>0</v>
      </c>
      <c r="M57" s="762">
        <v>0</v>
      </c>
      <c r="N57" s="762">
        <v>0</v>
      </c>
      <c r="O57" s="762">
        <v>0</v>
      </c>
      <c r="P57" s="762">
        <v>0</v>
      </c>
      <c r="Q57" s="762"/>
      <c r="R57" s="762"/>
      <c r="S57" s="762"/>
    </row>
    <row r="58" spans="1:19">
      <c r="A58" s="750"/>
      <c r="B58" s="763" t="s">
        <v>216</v>
      </c>
      <c r="C58" s="750"/>
      <c r="D58" s="750"/>
      <c r="E58" s="764"/>
      <c r="F58" s="762">
        <v>0</v>
      </c>
      <c r="G58" s="762">
        <f>'PRO FORMA'!E53</f>
        <v>0</v>
      </c>
      <c r="H58" s="762" t="str">
        <f>'PRO FORMA'!G53</f>
        <v/>
      </c>
      <c r="I58" s="762" t="str">
        <f>'PRO FORMA'!I53</f>
        <v/>
      </c>
      <c r="J58" s="762" t="str">
        <f>'PRO FORMA'!K53</f>
        <v/>
      </c>
      <c r="K58" s="762" t="str">
        <f>'PRO FORMA'!M53</f>
        <v/>
      </c>
      <c r="L58" s="762" t="str">
        <f>'PRO FORMA'!O53</f>
        <v/>
      </c>
      <c r="M58" s="762" t="str">
        <f>'PRO FORMA'!Q53</f>
        <v/>
      </c>
      <c r="N58" s="762" t="str">
        <f>'PRO FORMA'!S53</f>
        <v/>
      </c>
      <c r="O58" s="762" t="str">
        <f>'PRO FORMA'!U53</f>
        <v/>
      </c>
      <c r="P58" s="762" t="str">
        <f>'PRO FORMA'!W53</f>
        <v/>
      </c>
      <c r="Q58" s="762"/>
      <c r="R58" s="762"/>
      <c r="S58" s="762"/>
    </row>
    <row r="59" spans="1:19">
      <c r="A59" s="750"/>
      <c r="B59" s="763" t="s">
        <v>164</v>
      </c>
      <c r="C59" s="750"/>
      <c r="D59" s="750"/>
      <c r="E59" s="764"/>
      <c r="F59" s="762">
        <v>0</v>
      </c>
      <c r="G59" s="762">
        <f>'PRO FORMA'!E62</f>
        <v>0</v>
      </c>
      <c r="H59" s="762" t="str">
        <f>'PRO FORMA'!G62</f>
        <v/>
      </c>
      <c r="I59" s="762" t="str">
        <f>'PRO FORMA'!I62</f>
        <v/>
      </c>
      <c r="J59" s="762" t="str">
        <f>'PRO FORMA'!K62</f>
        <v/>
      </c>
      <c r="K59" s="762" t="str">
        <f>'PRO FORMA'!M62</f>
        <v/>
      </c>
      <c r="L59" s="762" t="str">
        <f>'PRO FORMA'!O62</f>
        <v/>
      </c>
      <c r="M59" s="762" t="str">
        <f>'PRO FORMA'!Q62</f>
        <v/>
      </c>
      <c r="N59" s="762" t="str">
        <f>'PRO FORMA'!S62</f>
        <v/>
      </c>
      <c r="O59" s="762" t="str">
        <f>'PRO FORMA'!U62</f>
        <v/>
      </c>
      <c r="P59" s="762" t="str">
        <f>'PRO FORMA'!W62</f>
        <v/>
      </c>
      <c r="Q59" s="762"/>
      <c r="R59" s="762"/>
      <c r="S59" s="762"/>
    </row>
    <row r="60" spans="1:19">
      <c r="B60" s="765"/>
      <c r="C60" s="691"/>
      <c r="D60" s="691"/>
      <c r="E60" s="705"/>
      <c r="F60" s="762"/>
      <c r="G60" s="762"/>
      <c r="H60" s="762"/>
      <c r="I60" s="762"/>
      <c r="J60" s="762"/>
      <c r="K60" s="762"/>
      <c r="L60" s="762"/>
      <c r="M60" s="762"/>
      <c r="N60" s="762"/>
      <c r="O60" s="762"/>
      <c r="P60" s="762"/>
      <c r="Q60" s="762"/>
      <c r="R60" s="762"/>
      <c r="S60" s="762"/>
    </row>
    <row r="61" spans="1:19">
      <c r="B61" s="761" t="s">
        <v>475</v>
      </c>
      <c r="C61" s="691"/>
      <c r="D61" s="691"/>
      <c r="E61" s="705"/>
      <c r="F61" s="766">
        <f>F55</f>
        <v>0</v>
      </c>
      <c r="G61" s="766">
        <f>G55</f>
        <v>0</v>
      </c>
      <c r="H61" s="766" t="str">
        <f t="shared" ref="H61:O61" si="18">H55</f>
        <v/>
      </c>
      <c r="I61" s="766" t="str">
        <f t="shared" si="18"/>
        <v/>
      </c>
      <c r="J61" s="766" t="str">
        <f t="shared" si="18"/>
        <v/>
      </c>
      <c r="K61" s="766" t="str">
        <f t="shared" si="18"/>
        <v/>
      </c>
      <c r="L61" s="766" t="str">
        <f t="shared" si="18"/>
        <v/>
      </c>
      <c r="M61" s="766" t="str">
        <f t="shared" si="18"/>
        <v/>
      </c>
      <c r="N61" s="766" t="str">
        <f t="shared" si="18"/>
        <v/>
      </c>
      <c r="O61" s="766" t="str">
        <f t="shared" si="18"/>
        <v/>
      </c>
      <c r="P61" s="766" t="str">
        <f>P55</f>
        <v/>
      </c>
      <c r="Q61" s="766" t="str">
        <f>IF(Q53="","",Q55)</f>
        <v/>
      </c>
      <c r="R61" s="766" t="str">
        <f>IF(R53="","",R55)</f>
        <v/>
      </c>
      <c r="S61" s="766" t="str">
        <f>IF(S53="","",S55)</f>
        <v/>
      </c>
    </row>
    <row r="62" spans="1:19">
      <c r="B62" s="691" t="s">
        <v>419</v>
      </c>
      <c r="C62" s="691"/>
      <c r="D62" s="691"/>
      <c r="E62" s="691"/>
      <c r="F62" s="695" t="str">
        <f>IFERROR(IRR(F61:S61),"NA")</f>
        <v>NA</v>
      </c>
      <c r="G62" s="701"/>
      <c r="H62" s="701"/>
      <c r="I62" s="701"/>
      <c r="J62" s="701"/>
      <c r="K62" s="701"/>
      <c r="L62" s="701"/>
      <c r="M62" s="701"/>
      <c r="N62" s="701"/>
      <c r="O62" s="701"/>
      <c r="P62" s="701"/>
      <c r="Q62" s="701"/>
      <c r="R62" s="701"/>
      <c r="S62" s="701"/>
    </row>
    <row r="63" spans="1:19">
      <c r="B63" s="691" t="s">
        <v>418</v>
      </c>
      <c r="C63" s="691"/>
      <c r="D63" s="691"/>
      <c r="E63" s="691"/>
      <c r="F63" s="814" t="e">
        <f>SUMIF(F61:S61,"&gt;0")/-SUMIF(F61:S61,"&lt;0")</f>
        <v>#DIV/0!</v>
      </c>
      <c r="G63" s="701"/>
      <c r="H63" s="701"/>
      <c r="I63" s="701"/>
      <c r="J63" s="701"/>
      <c r="K63" s="701"/>
      <c r="L63" s="701"/>
      <c r="M63" s="701"/>
      <c r="N63" s="701"/>
      <c r="O63" s="701"/>
      <c r="P63" s="701"/>
      <c r="Q63" s="701"/>
      <c r="R63" s="701"/>
      <c r="S63" s="701"/>
    </row>
    <row r="64" spans="1:19">
      <c r="B64" s="691"/>
      <c r="C64" s="691"/>
      <c r="D64" s="691"/>
      <c r="E64" s="701"/>
      <c r="F64" s="767"/>
      <c r="G64" s="701"/>
      <c r="H64" s="701"/>
      <c r="I64" s="701"/>
      <c r="J64" s="701"/>
      <c r="K64" s="701"/>
      <c r="L64" s="701"/>
      <c r="M64" s="701"/>
      <c r="N64" s="701"/>
      <c r="O64" s="701"/>
      <c r="P64" s="767"/>
      <c r="Q64" s="701"/>
      <c r="R64" s="701"/>
      <c r="S64" s="701"/>
    </row>
    <row r="65" spans="2:19">
      <c r="B65" s="691"/>
      <c r="C65" s="691"/>
      <c r="D65" s="691"/>
      <c r="E65" s="691"/>
      <c r="F65" s="691"/>
      <c r="G65" s="691"/>
      <c r="H65" s="691"/>
      <c r="I65" s="691"/>
      <c r="J65" s="691"/>
      <c r="K65" s="691"/>
      <c r="L65" s="691"/>
      <c r="M65" s="691"/>
      <c r="N65" s="691"/>
      <c r="O65" s="691"/>
      <c r="P65" s="691"/>
      <c r="Q65" s="691"/>
      <c r="R65" s="691"/>
      <c r="S65" s="691"/>
    </row>
    <row r="66" spans="2:19" ht="20">
      <c r="B66" s="795" t="s">
        <v>476</v>
      </c>
      <c r="C66" s="795"/>
      <c r="D66" s="795"/>
      <c r="E66" s="795"/>
      <c r="F66" s="796"/>
      <c r="G66" s="796"/>
      <c r="H66" s="796"/>
      <c r="I66" s="796"/>
      <c r="J66" s="796"/>
      <c r="K66" s="796"/>
      <c r="L66" s="796"/>
      <c r="M66" s="796"/>
      <c r="N66" s="796"/>
      <c r="O66" s="796"/>
      <c r="P66" s="796"/>
      <c r="Q66" s="796"/>
      <c r="R66" s="796"/>
      <c r="S66" s="797"/>
    </row>
    <row r="67" spans="2:19" ht="17" thickBot="1">
      <c r="B67" s="693"/>
      <c r="C67" s="693"/>
      <c r="D67" s="693" t="s">
        <v>417</v>
      </c>
      <c r="E67" s="693"/>
      <c r="F67" s="693"/>
      <c r="G67" s="693"/>
      <c r="H67" s="693"/>
      <c r="I67" s="693"/>
      <c r="J67" s="693"/>
      <c r="K67" s="693"/>
      <c r="L67" s="693"/>
      <c r="M67" s="693"/>
      <c r="N67" s="693"/>
      <c r="O67" s="693"/>
      <c r="P67" s="693"/>
      <c r="Q67" s="691"/>
      <c r="R67" s="691"/>
      <c r="S67" s="691"/>
    </row>
    <row r="68" spans="2:19" ht="16" customHeight="1">
      <c r="B68" s="1050"/>
      <c r="C68" s="1050"/>
      <c r="D68" s="1050"/>
      <c r="E68" s="1050"/>
      <c r="F68" s="1192" t="s">
        <v>436</v>
      </c>
      <c r="G68" s="1192"/>
      <c r="H68" s="1050" t="s">
        <v>437</v>
      </c>
      <c r="I68" s="1050"/>
      <c r="J68" s="1050"/>
      <c r="K68" s="1050"/>
      <c r="L68" s="1050"/>
      <c r="M68" s="1050"/>
      <c r="N68" s="1050"/>
      <c r="O68" s="1050"/>
      <c r="P68" s="721" t="s">
        <v>430</v>
      </c>
      <c r="Q68" s="798" t="e">
        <f>IF(ROUND(Q69,0)=ROUND(Q70,0),"OK","Error")</f>
        <v>#VALUE!</v>
      </c>
      <c r="R68" s="1050"/>
      <c r="S68" s="1050"/>
    </row>
    <row r="69" spans="2:19">
      <c r="B69" s="1045" t="str">
        <f>IF(D67="Equity Multiple","Partnership Distribution Assumptions (Equity Multiple Hurdles)","Partnership Distribution Assumptions (IRR Hurdles)")</f>
        <v>Partnership Distribution Assumptions (IRR Hurdles)</v>
      </c>
      <c r="C69" s="1045"/>
      <c r="D69" s="1045"/>
      <c r="E69" s="1045"/>
      <c r="F69" s="1193"/>
      <c r="G69" s="1193"/>
      <c r="H69" s="1045" t="s">
        <v>438</v>
      </c>
      <c r="I69" s="1045" t="s">
        <v>439</v>
      </c>
      <c r="J69" s="1045" t="s">
        <v>440</v>
      </c>
      <c r="K69" s="1045"/>
      <c r="L69" s="1045"/>
      <c r="M69" s="1045"/>
      <c r="N69" s="1045"/>
      <c r="O69" s="1045"/>
      <c r="P69" s="799" t="s">
        <v>477</v>
      </c>
      <c r="Q69" s="725">
        <f>(D76+D83+D92)/1000000</f>
        <v>0</v>
      </c>
      <c r="R69" s="1045"/>
      <c r="S69" s="1045"/>
    </row>
    <row r="70" spans="2:19" ht="17" thickBot="1">
      <c r="B70" s="691" t="str">
        <f>B16</f>
        <v>Tier 1 (Pref + Return of Capital)</v>
      </c>
      <c r="C70" s="729"/>
      <c r="D70" s="730"/>
      <c r="E70" s="731">
        <f>D71</f>
        <v>0.1</v>
      </c>
      <c r="F70" s="732" t="s">
        <v>414</v>
      </c>
      <c r="G70" s="733"/>
      <c r="H70" s="768">
        <f>H16</f>
        <v>0.1</v>
      </c>
      <c r="I70" s="696">
        <f>1-H70</f>
        <v>0.9</v>
      </c>
      <c r="J70" s="1191" t="s">
        <v>442</v>
      </c>
      <c r="K70" s="1191"/>
      <c r="L70" s="1191"/>
      <c r="M70" s="1191"/>
      <c r="N70" s="1191"/>
      <c r="O70" s="693"/>
      <c r="P70" s="726" t="s">
        <v>671</v>
      </c>
      <c r="Q70" s="727" t="e" cm="1">
        <f t="array" ref="Q70">SUMPRODUCT((F101:P101&gt;0)*F101:P101)/1000000</f>
        <v>#VALUE!</v>
      </c>
      <c r="R70" s="691"/>
      <c r="S70" s="691"/>
    </row>
    <row r="71" spans="2:19">
      <c r="B71" s="691" t="str">
        <f>B17</f>
        <v>Tier 2 (Promote)</v>
      </c>
      <c r="C71" s="735"/>
      <c r="D71" s="769">
        <f>D17</f>
        <v>0.1</v>
      </c>
      <c r="E71" s="737">
        <f>IF($B$274&lt;3,9.99,D72)</f>
        <v>0.12</v>
      </c>
      <c r="F71" s="768">
        <f>F17</f>
        <v>0.15</v>
      </c>
      <c r="G71" s="696"/>
      <c r="H71" s="738">
        <f>H17</f>
        <v>0.49</v>
      </c>
      <c r="I71" s="696">
        <f t="shared" ref="I71:I72" si="19">1-H71</f>
        <v>0.51</v>
      </c>
      <c r="J71" s="1191" t="s">
        <v>478</v>
      </c>
      <c r="K71" s="1191"/>
      <c r="L71" s="1191"/>
      <c r="M71" s="1191"/>
      <c r="N71" s="1191"/>
      <c r="O71" s="693"/>
      <c r="P71" s="693"/>
      <c r="Q71" s="691"/>
      <c r="R71" s="691"/>
      <c r="S71" s="691"/>
    </row>
    <row r="72" spans="2:19">
      <c r="B72" s="691" t="str">
        <f>B18</f>
        <v>Tier 3 (Promote)</v>
      </c>
      <c r="C72" s="735"/>
      <c r="D72" s="769">
        <f>D18</f>
        <v>0.12</v>
      </c>
      <c r="E72" s="737">
        <f>IF($B$274&lt;4,9.99,D73)</f>
        <v>9.99</v>
      </c>
      <c r="F72" s="768">
        <f>F18</f>
        <v>0.25</v>
      </c>
      <c r="G72" s="696"/>
      <c r="H72" s="738">
        <f>H18</f>
        <v>0.54999999999999993</v>
      </c>
      <c r="I72" s="696">
        <f t="shared" si="19"/>
        <v>0.45000000000000007</v>
      </c>
      <c r="J72" s="1191" t="str">
        <f>TEXT(I71,"0.0%")&amp;"/"&amp;TEXT(H71,"0.0%")&amp;" to "&amp;(IF(D67="IRR",TEXT(E71,"0.0%"),TEXT(E71,"0.0X")))&amp;", then "&amp;TEXT(I72,"0.0%")&amp;"/"&amp;TEXT(H72,"0.0%")&amp;" to "&amp;(IF(D67="IRR",TEXT(E72,"0.0%"),TEXT(E72,"0.0X")))</f>
        <v>51.0%/49.0% to 12.0%, then 45.0%/55.0% to 999.0%</v>
      </c>
      <c r="K72" s="1191"/>
      <c r="L72" s="1191"/>
      <c r="M72" s="1191"/>
      <c r="N72" s="1191"/>
      <c r="O72" s="693"/>
      <c r="P72" s="693"/>
      <c r="Q72" s="691"/>
      <c r="R72" s="691"/>
      <c r="S72" s="691"/>
    </row>
    <row r="73" spans="2:19">
      <c r="B73" s="691"/>
      <c r="C73" s="691"/>
      <c r="D73" s="739"/>
      <c r="E73" s="737"/>
      <c r="F73" s="720"/>
      <c r="G73" s="740"/>
      <c r="H73" s="697"/>
      <c r="I73" s="697"/>
      <c r="J73" s="693"/>
      <c r="K73" s="693"/>
      <c r="L73" s="693"/>
      <c r="M73" s="693"/>
      <c r="N73" s="693"/>
      <c r="O73" s="693"/>
      <c r="P73" s="693"/>
      <c r="Q73" s="691"/>
      <c r="R73" s="691"/>
      <c r="S73" s="691"/>
    </row>
    <row r="74" spans="2:19">
      <c r="B74" s="1045" t="s">
        <v>445</v>
      </c>
      <c r="C74" s="1046"/>
      <c r="D74" s="1046"/>
      <c r="E74" s="1047"/>
      <c r="F74" s="1048">
        <v>0</v>
      </c>
      <c r="G74" s="1049">
        <f>IF(G101="","",F74+1)</f>
        <v>1</v>
      </c>
      <c r="H74" s="1049" t="str">
        <f t="shared" ref="H74:P74" si="20">IF(H101="","",G74+1)</f>
        <v/>
      </c>
      <c r="I74" s="1049" t="str">
        <f t="shared" si="20"/>
        <v/>
      </c>
      <c r="J74" s="1049" t="str">
        <f t="shared" si="20"/>
        <v/>
      </c>
      <c r="K74" s="1049" t="str">
        <f t="shared" si="20"/>
        <v/>
      </c>
      <c r="L74" s="1049" t="str">
        <f t="shared" si="20"/>
        <v/>
      </c>
      <c r="M74" s="1049" t="str">
        <f t="shared" si="20"/>
        <v/>
      </c>
      <c r="N74" s="1049" t="str">
        <f t="shared" si="20"/>
        <v/>
      </c>
      <c r="O74" s="1049" t="str">
        <f t="shared" si="20"/>
        <v/>
      </c>
      <c r="P74" s="1049" t="str">
        <f t="shared" si="20"/>
        <v/>
      </c>
      <c r="Q74" s="1049" t="str">
        <f>IF(Q101="","",P74+1)</f>
        <v/>
      </c>
      <c r="R74" s="1049" t="str">
        <f t="shared" ref="R74:S74" si="21">IF(R101="","",Q74+1)</f>
        <v/>
      </c>
      <c r="S74" s="1049" t="str">
        <f t="shared" si="21"/>
        <v/>
      </c>
    </row>
    <row r="75" spans="2:19">
      <c r="B75" s="741" t="s">
        <v>447</v>
      </c>
      <c r="C75" s="691"/>
      <c r="D75" s="739"/>
      <c r="E75" s="737"/>
      <c r="F75" s="742"/>
      <c r="G75" s="743"/>
      <c r="H75" s="700"/>
      <c r="I75" s="700"/>
      <c r="J75" s="701"/>
      <c r="K75" s="701"/>
      <c r="L75" s="701"/>
      <c r="M75" s="701"/>
      <c r="N75" s="701"/>
      <c r="O75" s="701"/>
      <c r="P75" s="701"/>
      <c r="Q75" s="701"/>
      <c r="R75" s="701"/>
      <c r="S75" s="701"/>
    </row>
    <row r="76" spans="2:19">
      <c r="B76" s="702" t="s">
        <v>451</v>
      </c>
      <c r="C76" s="691"/>
      <c r="D76" s="745">
        <f>SUM(F76:S76)</f>
        <v>0</v>
      </c>
      <c r="E76" s="737"/>
      <c r="F76" s="719">
        <f t="shared" ref="F76:P76" si="22">IF(F74="","",F118+F149+F164)</f>
        <v>0</v>
      </c>
      <c r="G76" s="719">
        <f t="shared" si="22"/>
        <v>0</v>
      </c>
      <c r="H76" s="719" t="str">
        <f t="shared" si="22"/>
        <v/>
      </c>
      <c r="I76" s="719" t="str">
        <f t="shared" si="22"/>
        <v/>
      </c>
      <c r="J76" s="719" t="str">
        <f t="shared" si="22"/>
        <v/>
      </c>
      <c r="K76" s="719" t="str">
        <f t="shared" si="22"/>
        <v/>
      </c>
      <c r="L76" s="719" t="str">
        <f t="shared" si="22"/>
        <v/>
      </c>
      <c r="M76" s="719" t="str">
        <f t="shared" si="22"/>
        <v/>
      </c>
      <c r="N76" s="719" t="str">
        <f t="shared" si="22"/>
        <v/>
      </c>
      <c r="O76" s="719" t="str">
        <f t="shared" si="22"/>
        <v/>
      </c>
      <c r="P76" s="719" t="str">
        <f t="shared" si="22"/>
        <v/>
      </c>
      <c r="Q76" s="719" t="str">
        <f>IF(Q74="","",Q118+Q149+Q164)</f>
        <v/>
      </c>
      <c r="R76" s="719" t="str">
        <f>IF(R74="","",R118+R149+R164)</f>
        <v/>
      </c>
      <c r="S76" s="719" t="str">
        <f>IF(S74="","",S118+S149+S164)</f>
        <v/>
      </c>
    </row>
    <row r="77" spans="2:19">
      <c r="B77" s="702" t="s">
        <v>452</v>
      </c>
      <c r="C77" s="691"/>
      <c r="D77" s="745">
        <f>SUM(F77:S77)</f>
        <v>0</v>
      </c>
      <c r="E77" s="737"/>
      <c r="F77" s="719">
        <f t="shared" ref="F77:S77" si="23">F114</f>
        <v>0</v>
      </c>
      <c r="G77" s="719">
        <f t="shared" si="23"/>
        <v>0</v>
      </c>
      <c r="H77" s="719" t="str">
        <f t="shared" si="23"/>
        <v/>
      </c>
      <c r="I77" s="719" t="str">
        <f t="shared" si="23"/>
        <v/>
      </c>
      <c r="J77" s="719" t="str">
        <f t="shared" si="23"/>
        <v/>
      </c>
      <c r="K77" s="719" t="str">
        <f t="shared" si="23"/>
        <v/>
      </c>
      <c r="L77" s="719" t="str">
        <f t="shared" si="23"/>
        <v/>
      </c>
      <c r="M77" s="719" t="str">
        <f t="shared" si="23"/>
        <v/>
      </c>
      <c r="N77" s="719" t="str">
        <f t="shared" si="23"/>
        <v/>
      </c>
      <c r="O77" s="719" t="str">
        <f t="shared" si="23"/>
        <v/>
      </c>
      <c r="P77" s="719" t="str">
        <f t="shared" si="23"/>
        <v/>
      </c>
      <c r="Q77" s="719" t="str">
        <f t="shared" si="23"/>
        <v/>
      </c>
      <c r="R77" s="719" t="str">
        <f t="shared" si="23"/>
        <v/>
      </c>
      <c r="S77" s="719" t="str">
        <f t="shared" si="23"/>
        <v/>
      </c>
    </row>
    <row r="78" spans="2:19">
      <c r="B78" s="702" t="s">
        <v>453</v>
      </c>
      <c r="C78" s="691"/>
      <c r="D78" s="745">
        <f>D76-D77</f>
        <v>0</v>
      </c>
      <c r="E78" s="737"/>
      <c r="F78" s="748"/>
      <c r="G78" s="719"/>
      <c r="H78" s="703"/>
      <c r="I78" s="703"/>
      <c r="J78" s="703"/>
      <c r="K78" s="703"/>
      <c r="L78" s="703"/>
      <c r="M78" s="703"/>
      <c r="N78" s="703"/>
      <c r="O78" s="703"/>
      <c r="P78" s="703"/>
      <c r="Q78" s="703"/>
      <c r="R78" s="703"/>
      <c r="S78" s="703"/>
    </row>
    <row r="79" spans="2:19">
      <c r="B79" s="702" t="s">
        <v>454</v>
      </c>
      <c r="C79" s="691"/>
      <c r="D79" s="809" t="str">
        <f>IFERROR(IRR(F79:S79),"NA")</f>
        <v>NA</v>
      </c>
      <c r="E79" s="737"/>
      <c r="F79" s="719">
        <f t="shared" ref="F79:S79" si="24">IF(F74="","",(-F77)+F76)</f>
        <v>0</v>
      </c>
      <c r="G79" s="719">
        <f t="shared" si="24"/>
        <v>0</v>
      </c>
      <c r="H79" s="719" t="str">
        <f t="shared" si="24"/>
        <v/>
      </c>
      <c r="I79" s="719" t="str">
        <f t="shared" si="24"/>
        <v/>
      </c>
      <c r="J79" s="719" t="str">
        <f t="shared" si="24"/>
        <v/>
      </c>
      <c r="K79" s="719" t="str">
        <f t="shared" si="24"/>
        <v/>
      </c>
      <c r="L79" s="719" t="str">
        <f t="shared" si="24"/>
        <v/>
      </c>
      <c r="M79" s="719" t="str">
        <f t="shared" si="24"/>
        <v/>
      </c>
      <c r="N79" s="719" t="str">
        <f t="shared" si="24"/>
        <v/>
      </c>
      <c r="O79" s="719" t="str">
        <f t="shared" si="24"/>
        <v/>
      </c>
      <c r="P79" s="719" t="str">
        <f t="shared" si="24"/>
        <v/>
      </c>
      <c r="Q79" s="719" t="str">
        <f t="shared" si="24"/>
        <v/>
      </c>
      <c r="R79" s="719" t="str">
        <f t="shared" si="24"/>
        <v/>
      </c>
      <c r="S79" s="719" t="str">
        <f t="shared" si="24"/>
        <v/>
      </c>
    </row>
    <row r="80" spans="2:19">
      <c r="B80" s="702" t="s">
        <v>455</v>
      </c>
      <c r="C80" s="691"/>
      <c r="D80" s="810" t="e">
        <f>D76/D77</f>
        <v>#DIV/0!</v>
      </c>
      <c r="E80" s="737"/>
      <c r="F80" s="748"/>
      <c r="G80" s="719"/>
      <c r="H80" s="703"/>
      <c r="I80" s="703"/>
      <c r="J80" s="703"/>
      <c r="K80" s="703"/>
      <c r="L80" s="703"/>
      <c r="M80" s="703"/>
      <c r="N80" s="703"/>
      <c r="O80" s="703"/>
      <c r="P80" s="703"/>
      <c r="Q80" s="703"/>
      <c r="R80" s="703"/>
      <c r="S80" s="703"/>
    </row>
    <row r="81" spans="2:19">
      <c r="B81" s="755"/>
      <c r="C81" s="750"/>
      <c r="D81" s="752"/>
      <c r="E81" s="753"/>
      <c r="F81" s="754"/>
      <c r="G81" s="754"/>
      <c r="H81" s="754"/>
      <c r="I81" s="754"/>
      <c r="J81" s="754"/>
      <c r="K81" s="754"/>
      <c r="L81" s="754"/>
      <c r="M81" s="754"/>
      <c r="N81" s="754"/>
      <c r="O81" s="754"/>
      <c r="P81" s="754"/>
      <c r="Q81" s="754"/>
      <c r="R81" s="754"/>
      <c r="S81" s="754"/>
    </row>
    <row r="82" spans="2:19">
      <c r="B82" s="751" t="s">
        <v>456</v>
      </c>
      <c r="C82" s="750"/>
      <c r="D82" s="752"/>
      <c r="E82" s="753"/>
      <c r="F82" s="754"/>
      <c r="G82" s="754"/>
      <c r="H82" s="754"/>
      <c r="I82" s="754"/>
      <c r="J82" s="754"/>
      <c r="K82" s="754"/>
      <c r="L82" s="754"/>
      <c r="M82" s="754"/>
      <c r="N82" s="754"/>
      <c r="O82" s="754"/>
      <c r="P82" s="754"/>
      <c r="Q82" s="754"/>
      <c r="R82" s="754"/>
      <c r="S82" s="754"/>
    </row>
    <row r="83" spans="2:19">
      <c r="B83" s="755" t="s">
        <v>459</v>
      </c>
      <c r="C83" s="750"/>
      <c r="D83" s="756">
        <f>SUM(F83:S83)</f>
        <v>0</v>
      </c>
      <c r="E83" s="753"/>
      <c r="F83" s="754">
        <f t="shared" ref="F83:P83" si="25">IF(F$74="","",F133)</f>
        <v>0</v>
      </c>
      <c r="G83" s="754">
        <f t="shared" si="25"/>
        <v>0</v>
      </c>
      <c r="H83" s="754" t="str">
        <f t="shared" si="25"/>
        <v/>
      </c>
      <c r="I83" s="754" t="str">
        <f t="shared" si="25"/>
        <v/>
      </c>
      <c r="J83" s="754" t="str">
        <f t="shared" si="25"/>
        <v/>
      </c>
      <c r="K83" s="754" t="str">
        <f t="shared" si="25"/>
        <v/>
      </c>
      <c r="L83" s="754" t="str">
        <f t="shared" si="25"/>
        <v/>
      </c>
      <c r="M83" s="754" t="str">
        <f t="shared" si="25"/>
        <v/>
      </c>
      <c r="N83" s="754" t="str">
        <f t="shared" si="25"/>
        <v/>
      </c>
      <c r="O83" s="754" t="str">
        <f t="shared" si="25"/>
        <v/>
      </c>
      <c r="P83" s="754" t="str">
        <f t="shared" si="25"/>
        <v/>
      </c>
      <c r="Q83" s="754"/>
      <c r="R83" s="754"/>
      <c r="S83" s="754"/>
    </row>
    <row r="84" spans="2:19">
      <c r="B84" s="755" t="s">
        <v>523</v>
      </c>
      <c r="C84" s="750"/>
      <c r="D84" s="756"/>
      <c r="E84" s="753"/>
      <c r="F84" s="754"/>
      <c r="G84" s="754"/>
      <c r="H84" s="754"/>
      <c r="I84" s="754"/>
      <c r="J84" s="754"/>
      <c r="K84" s="754"/>
      <c r="L84" s="754"/>
      <c r="M84" s="754"/>
      <c r="N84" s="754"/>
      <c r="O84" s="754"/>
      <c r="P84" s="754"/>
      <c r="Q84" s="754"/>
      <c r="R84" s="754"/>
      <c r="S84" s="754"/>
    </row>
    <row r="85" spans="2:19">
      <c r="B85" s="755" t="s">
        <v>460</v>
      </c>
      <c r="C85" s="750"/>
      <c r="D85" s="756">
        <f>SUM(F85:S85)</f>
        <v>0</v>
      </c>
      <c r="E85" s="753"/>
      <c r="F85" s="754">
        <f t="shared" ref="F85:P85" si="26">F129</f>
        <v>0</v>
      </c>
      <c r="G85" s="754">
        <f t="shared" si="26"/>
        <v>0</v>
      </c>
      <c r="H85" s="754" t="str">
        <f t="shared" si="26"/>
        <v/>
      </c>
      <c r="I85" s="754" t="str">
        <f t="shared" si="26"/>
        <v/>
      </c>
      <c r="J85" s="754" t="str">
        <f t="shared" si="26"/>
        <v/>
      </c>
      <c r="K85" s="754" t="str">
        <f t="shared" si="26"/>
        <v/>
      </c>
      <c r="L85" s="754" t="str">
        <f t="shared" si="26"/>
        <v/>
      </c>
      <c r="M85" s="754" t="str">
        <f t="shared" si="26"/>
        <v/>
      </c>
      <c r="N85" s="754" t="str">
        <f t="shared" si="26"/>
        <v/>
      </c>
      <c r="O85" s="754" t="str">
        <f t="shared" si="26"/>
        <v/>
      </c>
      <c r="P85" s="754" t="str">
        <f t="shared" si="26"/>
        <v/>
      </c>
      <c r="Q85" s="754"/>
      <c r="R85" s="754"/>
      <c r="S85" s="754"/>
    </row>
    <row r="86" spans="2:19">
      <c r="B86" s="755" t="s">
        <v>461</v>
      </c>
      <c r="C86" s="750"/>
      <c r="D86" s="756">
        <f>D83-D85</f>
        <v>0</v>
      </c>
      <c r="E86" s="753"/>
      <c r="F86" s="754"/>
      <c r="G86" s="754"/>
      <c r="H86" s="754"/>
      <c r="I86" s="754"/>
      <c r="J86" s="754"/>
      <c r="K86" s="754"/>
      <c r="L86" s="754"/>
      <c r="M86" s="754"/>
      <c r="N86" s="754"/>
      <c r="O86" s="754"/>
      <c r="P86" s="754"/>
      <c r="Q86" s="754"/>
      <c r="R86" s="754"/>
      <c r="S86" s="754"/>
    </row>
    <row r="87" spans="2:19">
      <c r="B87" s="755" t="s">
        <v>462</v>
      </c>
      <c r="C87" s="750"/>
      <c r="D87" s="757" t="str">
        <f>IFERROR(IRR(F87:S87),"NA")</f>
        <v>NA</v>
      </c>
      <c r="E87" s="753"/>
      <c r="F87" s="754">
        <f t="shared" ref="F87:P87" si="27">IF(F74="","",(-F85)+F83)</f>
        <v>0</v>
      </c>
      <c r="G87" s="754">
        <f t="shared" si="27"/>
        <v>0</v>
      </c>
      <c r="H87" s="754" t="str">
        <f t="shared" si="27"/>
        <v/>
      </c>
      <c r="I87" s="754" t="str">
        <f t="shared" si="27"/>
        <v/>
      </c>
      <c r="J87" s="754" t="str">
        <f t="shared" si="27"/>
        <v/>
      </c>
      <c r="K87" s="754" t="str">
        <f t="shared" si="27"/>
        <v/>
      </c>
      <c r="L87" s="754" t="str">
        <f t="shared" si="27"/>
        <v/>
      </c>
      <c r="M87" s="754" t="str">
        <f t="shared" si="27"/>
        <v/>
      </c>
      <c r="N87" s="754" t="str">
        <f t="shared" si="27"/>
        <v/>
      </c>
      <c r="O87" s="754" t="str">
        <f t="shared" si="27"/>
        <v/>
      </c>
      <c r="P87" s="754" t="str">
        <f t="shared" si="27"/>
        <v/>
      </c>
      <c r="Q87" s="754"/>
      <c r="R87" s="754"/>
      <c r="S87" s="754"/>
    </row>
    <row r="88" spans="2:19">
      <c r="B88" s="755" t="s">
        <v>463</v>
      </c>
      <c r="C88" s="750"/>
      <c r="D88" s="811" t="str">
        <f>IFERROR(D83/D85,"NA")</f>
        <v>NA</v>
      </c>
      <c r="E88" s="753"/>
      <c r="F88" s="754"/>
      <c r="G88" s="754"/>
      <c r="H88" s="754"/>
      <c r="I88" s="754"/>
      <c r="J88" s="754"/>
      <c r="K88" s="754"/>
      <c r="L88" s="754"/>
      <c r="M88" s="754"/>
      <c r="N88" s="754"/>
      <c r="O88" s="754"/>
      <c r="P88" s="754"/>
      <c r="Q88" s="754"/>
      <c r="R88" s="754"/>
      <c r="S88" s="754"/>
    </row>
    <row r="89" spans="2:19">
      <c r="B89" s="755"/>
      <c r="C89" s="750"/>
      <c r="D89" s="752"/>
      <c r="E89" s="753"/>
      <c r="F89" s="754"/>
      <c r="G89" s="754"/>
      <c r="H89" s="754"/>
      <c r="I89" s="754"/>
      <c r="J89" s="754"/>
      <c r="K89" s="754"/>
      <c r="L89" s="754"/>
      <c r="M89" s="754"/>
      <c r="N89" s="754"/>
      <c r="O89" s="754"/>
      <c r="P89" s="754"/>
      <c r="Q89" s="754"/>
      <c r="R89" s="754"/>
      <c r="S89" s="754"/>
    </row>
    <row r="90" spans="2:19">
      <c r="B90" s="702"/>
      <c r="C90" s="691"/>
      <c r="D90" s="739"/>
      <c r="E90" s="737"/>
      <c r="F90" s="748"/>
      <c r="G90" s="719"/>
      <c r="H90" s="703"/>
      <c r="I90" s="703"/>
      <c r="J90" s="703"/>
      <c r="K90" s="703"/>
      <c r="L90" s="703"/>
      <c r="M90" s="703"/>
      <c r="N90" s="703"/>
      <c r="O90" s="703"/>
      <c r="P90" s="703"/>
      <c r="Q90" s="703"/>
      <c r="R90" s="703"/>
      <c r="S90" s="703"/>
    </row>
    <row r="91" spans="2:19">
      <c r="B91" s="741" t="s">
        <v>464</v>
      </c>
      <c r="C91" s="691"/>
      <c r="D91" s="739"/>
      <c r="E91" s="737"/>
      <c r="F91" s="748"/>
      <c r="G91" s="719"/>
      <c r="H91" s="703"/>
      <c r="I91" s="703"/>
      <c r="J91" s="703"/>
      <c r="K91" s="703"/>
      <c r="L91" s="703"/>
      <c r="M91" s="703"/>
      <c r="N91" s="703"/>
      <c r="O91" s="703"/>
      <c r="P91" s="703"/>
      <c r="Q91" s="703"/>
      <c r="R91" s="703"/>
      <c r="S91" s="703"/>
    </row>
    <row r="92" spans="2:19">
      <c r="B92" s="702" t="s">
        <v>465</v>
      </c>
      <c r="C92" s="691"/>
      <c r="D92" s="719">
        <f>SUM(F92:S92)</f>
        <v>0</v>
      </c>
      <c r="E92" s="737"/>
      <c r="F92" s="719">
        <f t="shared" ref="F92:P92" si="28">IF(F74="","",F123+F150+F165)</f>
        <v>0</v>
      </c>
      <c r="G92" s="719">
        <f t="shared" si="28"/>
        <v>0</v>
      </c>
      <c r="H92" s="719" t="str">
        <f t="shared" si="28"/>
        <v/>
      </c>
      <c r="I92" s="719" t="str">
        <f t="shared" si="28"/>
        <v/>
      </c>
      <c r="J92" s="719" t="str">
        <f t="shared" si="28"/>
        <v/>
      </c>
      <c r="K92" s="719" t="str">
        <f t="shared" si="28"/>
        <v/>
      </c>
      <c r="L92" s="719" t="str">
        <f t="shared" si="28"/>
        <v/>
      </c>
      <c r="M92" s="719" t="str">
        <f t="shared" si="28"/>
        <v/>
      </c>
      <c r="N92" s="719" t="str">
        <f t="shared" si="28"/>
        <v/>
      </c>
      <c r="O92" s="719" t="str">
        <f t="shared" si="28"/>
        <v/>
      </c>
      <c r="P92" s="719" t="str">
        <f t="shared" si="28"/>
        <v/>
      </c>
      <c r="Q92" s="719" t="str">
        <f>IF(Q74="","",Q123+Q150+Q165)</f>
        <v/>
      </c>
      <c r="R92" s="719" t="str">
        <f>IF(R74="","",R123+R150+R165)</f>
        <v/>
      </c>
      <c r="S92" s="719" t="str">
        <f>IF(S74="","",S123+S150+S165)</f>
        <v/>
      </c>
    </row>
    <row r="93" spans="2:19">
      <c r="B93" s="702" t="s">
        <v>466</v>
      </c>
      <c r="C93" s="691"/>
      <c r="D93" s="719">
        <f>SUM(F93:S93)</f>
        <v>0</v>
      </c>
      <c r="E93" s="737"/>
      <c r="F93" s="719">
        <f t="shared" ref="F93:S93" si="29">IF(F74="","",SUM(F102:F103))</f>
        <v>0</v>
      </c>
      <c r="G93" s="719">
        <f t="shared" si="29"/>
        <v>0</v>
      </c>
      <c r="H93" s="719" t="str">
        <f t="shared" si="29"/>
        <v/>
      </c>
      <c r="I93" s="719" t="str">
        <f t="shared" si="29"/>
        <v/>
      </c>
      <c r="J93" s="719" t="str">
        <f t="shared" si="29"/>
        <v/>
      </c>
      <c r="K93" s="719" t="str">
        <f t="shared" si="29"/>
        <v/>
      </c>
      <c r="L93" s="719" t="str">
        <f t="shared" si="29"/>
        <v/>
      </c>
      <c r="M93" s="719" t="str">
        <f t="shared" si="29"/>
        <v/>
      </c>
      <c r="N93" s="719" t="str">
        <f t="shared" si="29"/>
        <v/>
      </c>
      <c r="O93" s="719" t="str">
        <f t="shared" si="29"/>
        <v/>
      </c>
      <c r="P93" s="719" t="str">
        <f t="shared" si="29"/>
        <v/>
      </c>
      <c r="Q93" s="719" t="str">
        <f t="shared" si="29"/>
        <v/>
      </c>
      <c r="R93" s="719" t="str">
        <f t="shared" si="29"/>
        <v/>
      </c>
      <c r="S93" s="719" t="str">
        <f t="shared" si="29"/>
        <v/>
      </c>
    </row>
    <row r="94" spans="2:19">
      <c r="B94" s="702" t="s">
        <v>467</v>
      </c>
      <c r="C94" s="691"/>
      <c r="D94" s="719">
        <f>SUM(F94:S94)</f>
        <v>0</v>
      </c>
      <c r="E94" s="737"/>
      <c r="F94" s="719">
        <f t="shared" ref="F94:P94" si="30">IF(F74="","",-(MIN(F104,0)+F114+F129))</f>
        <v>0</v>
      </c>
      <c r="G94" s="719">
        <f t="shared" si="30"/>
        <v>0</v>
      </c>
      <c r="H94" s="719" t="str">
        <f t="shared" si="30"/>
        <v/>
      </c>
      <c r="I94" s="719" t="str">
        <f t="shared" si="30"/>
        <v/>
      </c>
      <c r="J94" s="719" t="str">
        <f t="shared" si="30"/>
        <v/>
      </c>
      <c r="K94" s="719" t="str">
        <f t="shared" si="30"/>
        <v/>
      </c>
      <c r="L94" s="719" t="str">
        <f t="shared" si="30"/>
        <v/>
      </c>
      <c r="M94" s="719" t="str">
        <f t="shared" si="30"/>
        <v/>
      </c>
      <c r="N94" s="719" t="str">
        <f t="shared" si="30"/>
        <v/>
      </c>
      <c r="O94" s="719" t="str">
        <f t="shared" si="30"/>
        <v/>
      </c>
      <c r="P94" s="719" t="str">
        <f t="shared" si="30"/>
        <v/>
      </c>
      <c r="Q94" s="719" t="str">
        <f t="shared" ref="Q94:S94" si="31">IF(Q74="","",-(MIN(Q104,0)+Q114))</f>
        <v/>
      </c>
      <c r="R94" s="719" t="str">
        <f t="shared" si="31"/>
        <v/>
      </c>
      <c r="S94" s="719" t="str">
        <f t="shared" si="31"/>
        <v/>
      </c>
    </row>
    <row r="95" spans="2:19">
      <c r="B95" s="702" t="s">
        <v>479</v>
      </c>
      <c r="C95" s="691"/>
      <c r="D95" s="719">
        <f>+D92+D93-D94</f>
        <v>0</v>
      </c>
      <c r="E95" s="737"/>
      <c r="F95" s="748"/>
      <c r="G95" s="719"/>
      <c r="H95" s="703"/>
      <c r="I95" s="703"/>
      <c r="J95" s="703"/>
      <c r="K95" s="703"/>
      <c r="L95" s="703"/>
      <c r="M95" s="703"/>
      <c r="N95" s="703"/>
      <c r="O95" s="703"/>
      <c r="P95" s="703"/>
      <c r="Q95" s="703"/>
      <c r="R95" s="703"/>
      <c r="S95" s="703"/>
    </row>
    <row r="96" spans="2:19">
      <c r="B96" s="702" t="s">
        <v>420</v>
      </c>
      <c r="C96" s="691"/>
      <c r="D96" s="812" t="str">
        <f>IFERROR(IRR(F96:S96),"NA")</f>
        <v>NA</v>
      </c>
      <c r="E96" s="737"/>
      <c r="F96" s="719">
        <f>IF(F74="","",(-F94)+F92+F93)</f>
        <v>0</v>
      </c>
      <c r="G96" s="719">
        <f t="shared" ref="G96:S96" si="32">IF(G74="","",(-G94)+G92+G93)</f>
        <v>0</v>
      </c>
      <c r="H96" s="719" t="str">
        <f t="shared" si="32"/>
        <v/>
      </c>
      <c r="I96" s="719" t="str">
        <f t="shared" si="32"/>
        <v/>
      </c>
      <c r="J96" s="719" t="str">
        <f t="shared" si="32"/>
        <v/>
      </c>
      <c r="K96" s="719" t="str">
        <f t="shared" si="32"/>
        <v/>
      </c>
      <c r="L96" s="719" t="str">
        <f t="shared" si="32"/>
        <v/>
      </c>
      <c r="M96" s="719" t="str">
        <f t="shared" si="32"/>
        <v/>
      </c>
      <c r="N96" s="719" t="str">
        <f t="shared" si="32"/>
        <v/>
      </c>
      <c r="O96" s="719" t="str">
        <f t="shared" si="32"/>
        <v/>
      </c>
      <c r="P96" s="719" t="str">
        <f t="shared" si="32"/>
        <v/>
      </c>
      <c r="Q96" s="719" t="str">
        <f t="shared" si="32"/>
        <v/>
      </c>
      <c r="R96" s="719" t="str">
        <f t="shared" si="32"/>
        <v/>
      </c>
      <c r="S96" s="719" t="str">
        <f t="shared" si="32"/>
        <v/>
      </c>
    </row>
    <row r="97" spans="2:19">
      <c r="B97" s="702" t="s">
        <v>469</v>
      </c>
      <c r="C97" s="691"/>
      <c r="D97" s="813" t="str">
        <f>IFERROR(D92/D94,"NA")</f>
        <v>NA</v>
      </c>
      <c r="E97" s="737"/>
      <c r="F97" s="742"/>
      <c r="G97" s="743"/>
      <c r="H97" s="700"/>
      <c r="I97" s="700"/>
      <c r="J97" s="701"/>
      <c r="K97" s="701"/>
      <c r="L97" s="701"/>
      <c r="M97" s="701"/>
      <c r="N97" s="701"/>
      <c r="O97" s="701"/>
      <c r="P97" s="701"/>
      <c r="Q97" s="701"/>
      <c r="R97" s="701"/>
      <c r="S97" s="701"/>
    </row>
    <row r="98" spans="2:19">
      <c r="B98" s="758"/>
      <c r="C98" s="759"/>
      <c r="D98" s="760"/>
      <c r="E98" s="691"/>
      <c r="F98" s="701"/>
      <c r="G98" s="701"/>
      <c r="H98" s="701"/>
      <c r="I98" s="701"/>
      <c r="J98" s="701"/>
      <c r="K98" s="701"/>
      <c r="L98" s="701"/>
      <c r="M98" s="701"/>
      <c r="N98" s="701"/>
      <c r="O98" s="701"/>
      <c r="P98" s="701"/>
      <c r="Q98" s="701"/>
      <c r="R98" s="701"/>
      <c r="S98" s="701"/>
    </row>
    <row r="99" spans="2:19">
      <c r="B99" s="1045" t="s">
        <v>480</v>
      </c>
      <c r="C99" s="1046"/>
      <c r="D99" s="1046"/>
      <c r="E99" s="1047"/>
      <c r="F99" s="1048" t="s">
        <v>471</v>
      </c>
      <c r="G99" s="1049">
        <f>G$20</f>
        <v>1</v>
      </c>
      <c r="H99" s="1049" t="str">
        <f t="shared" ref="H99:S99" si="33">H$20</f>
        <v/>
      </c>
      <c r="I99" s="1049" t="str">
        <f t="shared" si="33"/>
        <v/>
      </c>
      <c r="J99" s="1049" t="str">
        <f t="shared" si="33"/>
        <v/>
      </c>
      <c r="K99" s="1049" t="str">
        <f t="shared" si="33"/>
        <v/>
      </c>
      <c r="L99" s="1049" t="str">
        <f t="shared" si="33"/>
        <v/>
      </c>
      <c r="M99" s="1049" t="str">
        <f t="shared" si="33"/>
        <v/>
      </c>
      <c r="N99" s="1049" t="str">
        <f t="shared" si="33"/>
        <v/>
      </c>
      <c r="O99" s="1049" t="str">
        <f t="shared" si="33"/>
        <v/>
      </c>
      <c r="P99" s="1049" t="str">
        <f t="shared" si="33"/>
        <v/>
      </c>
      <c r="Q99" s="1049" t="str">
        <f t="shared" si="33"/>
        <v/>
      </c>
      <c r="R99" s="1049" t="str">
        <f t="shared" si="33"/>
        <v/>
      </c>
      <c r="S99" s="1049" t="str">
        <f t="shared" si="33"/>
        <v/>
      </c>
    </row>
    <row r="100" spans="2:19">
      <c r="B100" s="691"/>
      <c r="C100" s="691"/>
      <c r="D100" s="691"/>
      <c r="E100" s="701" t="s">
        <v>472</v>
      </c>
      <c r="F100" s="770">
        <f t="shared" ref="F100:S100" si="34">IF(F54="","",F54)</f>
        <v>731</v>
      </c>
      <c r="G100" s="771">
        <f t="shared" si="34"/>
        <v>1096</v>
      </c>
      <c r="H100" s="771" t="str">
        <f t="shared" si="34"/>
        <v/>
      </c>
      <c r="I100" s="771" t="str">
        <f t="shared" si="34"/>
        <v/>
      </c>
      <c r="J100" s="771" t="str">
        <f t="shared" si="34"/>
        <v/>
      </c>
      <c r="K100" s="771" t="str">
        <f t="shared" si="34"/>
        <v/>
      </c>
      <c r="L100" s="771" t="str">
        <f t="shared" si="34"/>
        <v/>
      </c>
      <c r="M100" s="771" t="str">
        <f t="shared" si="34"/>
        <v/>
      </c>
      <c r="N100" s="771" t="str">
        <f t="shared" si="34"/>
        <v/>
      </c>
      <c r="O100" s="771" t="str">
        <f t="shared" si="34"/>
        <v/>
      </c>
      <c r="P100" s="771" t="str">
        <f t="shared" si="34"/>
        <v/>
      </c>
      <c r="Q100" s="771" t="str">
        <f t="shared" si="34"/>
        <v/>
      </c>
      <c r="R100" s="771" t="str">
        <f t="shared" si="34"/>
        <v/>
      </c>
      <c r="S100" s="771" t="str">
        <f t="shared" si="34"/>
        <v/>
      </c>
    </row>
    <row r="101" spans="2:19">
      <c r="B101" s="761" t="s">
        <v>473</v>
      </c>
      <c r="C101" s="691"/>
      <c r="D101" s="691"/>
      <c r="E101" s="705"/>
      <c r="F101" s="772">
        <f t="shared" ref="F101:S101" si="35">IF(F55="","",F55)</f>
        <v>0</v>
      </c>
      <c r="G101" s="772">
        <f t="shared" si="35"/>
        <v>0</v>
      </c>
      <c r="H101" s="772" t="str">
        <f t="shared" si="35"/>
        <v/>
      </c>
      <c r="I101" s="772" t="str">
        <f t="shared" si="35"/>
        <v/>
      </c>
      <c r="J101" s="772" t="str">
        <f t="shared" si="35"/>
        <v/>
      </c>
      <c r="K101" s="772" t="str">
        <f t="shared" si="35"/>
        <v/>
      </c>
      <c r="L101" s="772" t="str">
        <f t="shared" si="35"/>
        <v/>
      </c>
      <c r="M101" s="772" t="str">
        <f t="shared" si="35"/>
        <v/>
      </c>
      <c r="N101" s="772" t="str">
        <f t="shared" si="35"/>
        <v/>
      </c>
      <c r="O101" s="772" t="str">
        <f t="shared" si="35"/>
        <v/>
      </c>
      <c r="P101" s="772" t="str">
        <f t="shared" si="35"/>
        <v/>
      </c>
      <c r="Q101" s="772" t="str">
        <f t="shared" si="35"/>
        <v/>
      </c>
      <c r="R101" s="772" t="str">
        <f t="shared" si="35"/>
        <v/>
      </c>
      <c r="S101" s="772" t="str">
        <f t="shared" si="35"/>
        <v/>
      </c>
    </row>
    <row r="102" spans="2:19">
      <c r="B102" s="755" t="s">
        <v>18</v>
      </c>
      <c r="C102" s="691"/>
      <c r="D102" s="691"/>
      <c r="E102" s="705"/>
      <c r="F102" s="772">
        <f>IF(F99="","",IFERROR(F57*($E$9/$E$12),0)+IFERROR(F58*($F$9/$F$12),0)+IFERROR(F56*($G$9/$G$12),0)+IFERROR(F59*($H$9/$H$12),0))</f>
        <v>0</v>
      </c>
      <c r="G102" s="772">
        <f>IF(G99="","",IFERROR(G57*($E$9/$E$12),0)+IFERROR(G58*($F$9/$F$12),0)+IFERROR(G56*($G$9/$G$12),0)+IFERROR(G59*($H$9/$H$12),0))</f>
        <v>0</v>
      </c>
      <c r="H102" s="772" t="str">
        <f t="shared" ref="H102:P102" si="36">IF(H99="","",IFERROR(H57*($E$9/$E$12),0)+IFERROR(H58*($F$9/$F$12),0)+IFERROR(H56*($G$9/$G$12),0)+IFERROR(H59*($H$9/$H$12),0))</f>
        <v/>
      </c>
      <c r="I102" s="772" t="str">
        <f t="shared" si="36"/>
        <v/>
      </c>
      <c r="J102" s="772" t="str">
        <f t="shared" si="36"/>
        <v/>
      </c>
      <c r="K102" s="772" t="str">
        <f t="shared" si="36"/>
        <v/>
      </c>
      <c r="L102" s="772" t="str">
        <f t="shared" si="36"/>
        <v/>
      </c>
      <c r="M102" s="772" t="str">
        <f t="shared" si="36"/>
        <v/>
      </c>
      <c r="N102" s="772" t="str">
        <f t="shared" si="36"/>
        <v/>
      </c>
      <c r="O102" s="772" t="str">
        <f t="shared" si="36"/>
        <v/>
      </c>
      <c r="P102" s="772" t="str">
        <f t="shared" si="36"/>
        <v/>
      </c>
      <c r="Q102" s="772" t="str">
        <f t="shared" ref="Q102:S103" si="37">IF(Q56="","",Q56)</f>
        <v/>
      </c>
      <c r="R102" s="772" t="str">
        <f t="shared" si="37"/>
        <v/>
      </c>
      <c r="S102" s="772" t="str">
        <f t="shared" si="37"/>
        <v/>
      </c>
    </row>
    <row r="103" spans="2:19">
      <c r="B103" s="755" t="s">
        <v>458</v>
      </c>
      <c r="C103" s="691"/>
      <c r="D103" s="691"/>
      <c r="E103" s="705"/>
      <c r="F103" s="772">
        <f>IF(F99="","",IFERROR(F57*($E$10/$E$12),0)+IFERROR(F58*($F$10/$F$12),0)+IFERROR(F56*($G$10/$G$12),0)+IFERROR(F59*($H$10/$H$12),0))</f>
        <v>0</v>
      </c>
      <c r="G103" s="772">
        <f t="shared" ref="G103:P103" si="38">IF(G99="","",IFERROR(G57*($E$10/$E$12),0)+IFERROR(G58*($F$10/$F$12),0)+IFERROR(G56*($G$10/$G$12),0)+IFERROR(G59*($H$10/$H$12),0))</f>
        <v>0</v>
      </c>
      <c r="H103" s="772" t="str">
        <f t="shared" si="38"/>
        <v/>
      </c>
      <c r="I103" s="772" t="str">
        <f t="shared" si="38"/>
        <v/>
      </c>
      <c r="J103" s="772" t="str">
        <f t="shared" si="38"/>
        <v/>
      </c>
      <c r="K103" s="772" t="str">
        <f t="shared" si="38"/>
        <v/>
      </c>
      <c r="L103" s="772" t="str">
        <f t="shared" si="38"/>
        <v/>
      </c>
      <c r="M103" s="772" t="str">
        <f t="shared" si="38"/>
        <v/>
      </c>
      <c r="N103" s="772" t="str">
        <f t="shared" si="38"/>
        <v/>
      </c>
      <c r="O103" s="772" t="str">
        <f t="shared" si="38"/>
        <v/>
      </c>
      <c r="P103" s="772" t="str">
        <f t="shared" si="38"/>
        <v/>
      </c>
      <c r="Q103" s="772" t="str">
        <f t="shared" si="37"/>
        <v/>
      </c>
      <c r="R103" s="772" t="str">
        <f t="shared" si="37"/>
        <v/>
      </c>
      <c r="S103" s="772" t="str">
        <f t="shared" si="37"/>
        <v/>
      </c>
    </row>
    <row r="104" spans="2:19">
      <c r="B104" s="761" t="s">
        <v>475</v>
      </c>
      <c r="C104" s="691"/>
      <c r="D104" s="691"/>
      <c r="E104" s="705"/>
      <c r="F104" s="766">
        <f>IF(F99="","",F101)</f>
        <v>0</v>
      </c>
      <c r="G104" s="766">
        <f>IF(G99="","",G101)</f>
        <v>0</v>
      </c>
      <c r="H104" s="766" t="str">
        <f>IF(H99="","",H101)</f>
        <v/>
      </c>
      <c r="I104" s="766" t="str">
        <f t="shared" ref="I104:P104" si="39">IF(I99="","",I101)</f>
        <v/>
      </c>
      <c r="J104" s="766" t="str">
        <f t="shared" si="39"/>
        <v/>
      </c>
      <c r="K104" s="766" t="str">
        <f t="shared" si="39"/>
        <v/>
      </c>
      <c r="L104" s="766" t="str">
        <f t="shared" si="39"/>
        <v/>
      </c>
      <c r="M104" s="766" t="str">
        <f t="shared" si="39"/>
        <v/>
      </c>
      <c r="N104" s="766" t="str">
        <f t="shared" si="39"/>
        <v/>
      </c>
      <c r="O104" s="766" t="str">
        <f t="shared" si="39"/>
        <v/>
      </c>
      <c r="P104" s="766" t="str">
        <f t="shared" si="39"/>
        <v/>
      </c>
      <c r="Q104" s="766" t="str">
        <f>IF(Q99="","",Q101)</f>
        <v/>
      </c>
      <c r="R104" s="766" t="str">
        <f>IF(R99="","",R101)</f>
        <v/>
      </c>
      <c r="S104" s="766" t="str">
        <f>IF(S99="","",S101)</f>
        <v/>
      </c>
    </row>
    <row r="105" spans="2:19">
      <c r="B105" s="761" t="s">
        <v>481</v>
      </c>
      <c r="C105" s="691"/>
      <c r="D105" s="691"/>
      <c r="E105" s="705"/>
      <c r="F105" s="766">
        <f t="shared" ref="F105:P105" si="40">IF(F99="","",F104-F133)</f>
        <v>0</v>
      </c>
      <c r="G105" s="766">
        <f t="shared" si="40"/>
        <v>0</v>
      </c>
      <c r="H105" s="766" t="str">
        <f t="shared" si="40"/>
        <v/>
      </c>
      <c r="I105" s="766" t="str">
        <f t="shared" si="40"/>
        <v/>
      </c>
      <c r="J105" s="766" t="str">
        <f t="shared" si="40"/>
        <v/>
      </c>
      <c r="K105" s="766" t="str">
        <f t="shared" si="40"/>
        <v/>
      </c>
      <c r="L105" s="766" t="str">
        <f t="shared" si="40"/>
        <v/>
      </c>
      <c r="M105" s="766" t="str">
        <f t="shared" si="40"/>
        <v/>
      </c>
      <c r="N105" s="766" t="str">
        <f t="shared" si="40"/>
        <v/>
      </c>
      <c r="O105" s="766" t="str">
        <f t="shared" si="40"/>
        <v/>
      </c>
      <c r="P105" s="766" t="str">
        <f t="shared" si="40"/>
        <v/>
      </c>
      <c r="Q105" s="766"/>
      <c r="R105" s="766"/>
      <c r="S105" s="766"/>
    </row>
    <row r="106" spans="2:19">
      <c r="B106" s="691" t="s">
        <v>419</v>
      </c>
      <c r="C106" s="691"/>
      <c r="D106" s="691"/>
      <c r="E106" s="691"/>
      <c r="F106" s="695" t="str">
        <f>IFERROR(IRR(F104:S104),"NA")</f>
        <v>NA</v>
      </c>
      <c r="G106" s="701"/>
      <c r="H106" s="701"/>
      <c r="I106" s="701"/>
      <c r="J106" s="701"/>
      <c r="K106" s="701"/>
      <c r="L106" s="701"/>
      <c r="M106" s="701"/>
      <c r="N106" s="701"/>
      <c r="O106" s="701"/>
      <c r="P106" s="701"/>
      <c r="Q106" s="701"/>
      <c r="R106" s="701"/>
      <c r="S106" s="701"/>
    </row>
    <row r="107" spans="2:19">
      <c r="B107" s="691" t="s">
        <v>418</v>
      </c>
      <c r="C107" s="691"/>
      <c r="D107" s="691"/>
      <c r="E107" s="691"/>
      <c r="F107" s="814" t="e">
        <f>SUMIF(F104:S104,"&gt;0")/-SUMIF(F104:S104,"&lt;0")</f>
        <v>#DIV/0!</v>
      </c>
      <c r="G107" s="701"/>
      <c r="H107" s="701"/>
      <c r="I107" s="701"/>
      <c r="J107" s="701"/>
      <c r="K107" s="701"/>
      <c r="L107" s="701"/>
      <c r="M107" s="701"/>
      <c r="N107" s="701"/>
      <c r="O107" s="701"/>
      <c r="P107" s="701"/>
      <c r="Q107" s="701"/>
      <c r="R107" s="701"/>
      <c r="S107" s="701"/>
    </row>
    <row r="108" spans="2:19">
      <c r="B108" s="691"/>
      <c r="C108" s="691"/>
      <c r="D108" s="691"/>
      <c r="E108" s="701"/>
      <c r="F108" s="767"/>
      <c r="G108" s="701"/>
      <c r="H108" s="701"/>
      <c r="I108" s="701"/>
      <c r="J108" s="701"/>
      <c r="K108" s="701"/>
      <c r="L108" s="701"/>
      <c r="M108" s="701"/>
      <c r="N108" s="701"/>
      <c r="O108" s="701"/>
      <c r="P108" s="767"/>
      <c r="Q108" s="701"/>
      <c r="R108" s="701"/>
      <c r="S108" s="701"/>
    </row>
    <row r="109" spans="2:19">
      <c r="B109" s="1050" t="s">
        <v>482</v>
      </c>
      <c r="C109" s="267"/>
      <c r="D109" s="267"/>
      <c r="E109" s="699"/>
      <c r="F109" s="698"/>
      <c r="G109" s="1051"/>
      <c r="H109" s="1051"/>
      <c r="I109" s="1051"/>
      <c r="J109" s="1051"/>
      <c r="K109" s="1051"/>
      <c r="L109" s="1051"/>
      <c r="M109" s="1051"/>
      <c r="N109" s="1051"/>
      <c r="O109" s="1051"/>
      <c r="P109" s="1051"/>
      <c r="Q109" s="1051"/>
      <c r="R109" s="1051"/>
      <c r="S109" s="1051"/>
    </row>
    <row r="110" spans="2:19">
      <c r="B110" s="1052" t="s">
        <v>483</v>
      </c>
      <c r="C110" s="1053">
        <f>E70</f>
        <v>0.1</v>
      </c>
      <c r="D110" s="1046"/>
      <c r="E110" s="1047"/>
      <c r="F110" s="1048" t="s">
        <v>471</v>
      </c>
      <c r="G110" s="1049">
        <f t="shared" ref="G110:S110" si="41">G$20</f>
        <v>1</v>
      </c>
      <c r="H110" s="1049" t="str">
        <f t="shared" si="41"/>
        <v/>
      </c>
      <c r="I110" s="1049" t="str">
        <f t="shared" si="41"/>
        <v/>
      </c>
      <c r="J110" s="1049" t="str">
        <f t="shared" si="41"/>
        <v/>
      </c>
      <c r="K110" s="1049" t="str">
        <f t="shared" si="41"/>
        <v/>
      </c>
      <c r="L110" s="1049" t="str">
        <f t="shared" si="41"/>
        <v/>
      </c>
      <c r="M110" s="1049" t="str">
        <f t="shared" si="41"/>
        <v/>
      </c>
      <c r="N110" s="1049" t="str">
        <f t="shared" si="41"/>
        <v/>
      </c>
      <c r="O110" s="1049" t="str">
        <f t="shared" si="41"/>
        <v/>
      </c>
      <c r="P110" s="1049" t="str">
        <f t="shared" si="41"/>
        <v/>
      </c>
      <c r="Q110" s="1049" t="str">
        <f t="shared" si="41"/>
        <v/>
      </c>
      <c r="R110" s="1049" t="str">
        <f t="shared" si="41"/>
        <v/>
      </c>
      <c r="S110" s="1049" t="str">
        <f t="shared" si="41"/>
        <v/>
      </c>
    </row>
    <row r="111" spans="2:19">
      <c r="B111" s="691" t="s">
        <v>484</v>
      </c>
      <c r="C111" s="691"/>
      <c r="D111" s="691"/>
      <c r="E111" s="691"/>
      <c r="F111" s="703">
        <f t="shared" ref="F111:P111" si="42">IF(F110="","",E116)</f>
        <v>0</v>
      </c>
      <c r="G111" s="703">
        <f t="shared" si="42"/>
        <v>0</v>
      </c>
      <c r="H111" s="703" t="str">
        <f t="shared" si="42"/>
        <v/>
      </c>
      <c r="I111" s="703" t="str">
        <f t="shared" si="42"/>
        <v/>
      </c>
      <c r="J111" s="703" t="str">
        <f t="shared" si="42"/>
        <v/>
      </c>
      <c r="K111" s="703" t="str">
        <f t="shared" si="42"/>
        <v/>
      </c>
      <c r="L111" s="703" t="str">
        <f t="shared" si="42"/>
        <v/>
      </c>
      <c r="M111" s="703" t="str">
        <f t="shared" si="42"/>
        <v/>
      </c>
      <c r="N111" s="703" t="str">
        <f t="shared" si="42"/>
        <v/>
      </c>
      <c r="O111" s="703" t="str">
        <f t="shared" si="42"/>
        <v/>
      </c>
      <c r="P111" s="703" t="str">
        <f t="shared" si="42"/>
        <v/>
      </c>
      <c r="Q111" s="703" t="str">
        <f>IF(Q110="","",P116)</f>
        <v/>
      </c>
      <c r="R111" s="703" t="str">
        <f>IF(R110="","",Q116)</f>
        <v/>
      </c>
      <c r="S111" s="703" t="str">
        <f>IF(S110="","",R116)</f>
        <v/>
      </c>
    </row>
    <row r="112" spans="2:19">
      <c r="B112" s="691" t="s">
        <v>485</v>
      </c>
      <c r="C112" s="691"/>
      <c r="D112" s="691"/>
      <c r="E112" s="691"/>
      <c r="F112" s="773" t="str">
        <f>IF(ROUND(SUM(G112:S112),0)=ROUND(SUM(F114:S114),0),"All Capital Returned","Capital Not Returned")</f>
        <v>All Capital Returned</v>
      </c>
      <c r="G112" s="703">
        <f t="shared" ref="G112:S112" si="43">IF(G110="","",G118-G113)</f>
        <v>0</v>
      </c>
      <c r="H112" s="703" t="str">
        <f t="shared" si="43"/>
        <v/>
      </c>
      <c r="I112" s="703" t="str">
        <f t="shared" si="43"/>
        <v/>
      </c>
      <c r="J112" s="703" t="str">
        <f t="shared" si="43"/>
        <v/>
      </c>
      <c r="K112" s="703" t="str">
        <f t="shared" si="43"/>
        <v/>
      </c>
      <c r="L112" s="703" t="str">
        <f t="shared" si="43"/>
        <v/>
      </c>
      <c r="M112" s="703" t="str">
        <f t="shared" si="43"/>
        <v/>
      </c>
      <c r="N112" s="703" t="str">
        <f t="shared" si="43"/>
        <v/>
      </c>
      <c r="O112" s="703" t="str">
        <f t="shared" si="43"/>
        <v/>
      </c>
      <c r="P112" s="703" t="str">
        <f t="shared" si="43"/>
        <v/>
      </c>
      <c r="Q112" s="703" t="str">
        <f t="shared" si="43"/>
        <v/>
      </c>
      <c r="R112" s="703" t="str">
        <f t="shared" si="43"/>
        <v/>
      </c>
      <c r="S112" s="703" t="str">
        <f t="shared" si="43"/>
        <v/>
      </c>
    </row>
    <row r="113" spans="2:19">
      <c r="B113" s="691" t="s">
        <v>486</v>
      </c>
      <c r="C113" s="691"/>
      <c r="D113" s="691"/>
      <c r="E113" s="691"/>
      <c r="F113" s="703">
        <f t="shared" ref="F113:P113" si="44">IF(F110="","",IF($D$67="Equity Multiple",E114*$C110-E114,F111*$E$16))</f>
        <v>0</v>
      </c>
      <c r="G113" s="703">
        <f t="shared" si="44"/>
        <v>0</v>
      </c>
      <c r="H113" s="703" t="str">
        <f t="shared" si="44"/>
        <v/>
      </c>
      <c r="I113" s="703" t="str">
        <f t="shared" si="44"/>
        <v/>
      </c>
      <c r="J113" s="703" t="str">
        <f t="shared" si="44"/>
        <v/>
      </c>
      <c r="K113" s="703" t="str">
        <f t="shared" si="44"/>
        <v/>
      </c>
      <c r="L113" s="703" t="str">
        <f t="shared" si="44"/>
        <v/>
      </c>
      <c r="M113" s="703" t="str">
        <f t="shared" si="44"/>
        <v/>
      </c>
      <c r="N113" s="703" t="str">
        <f t="shared" si="44"/>
        <v/>
      </c>
      <c r="O113" s="703" t="str">
        <f t="shared" si="44"/>
        <v/>
      </c>
      <c r="P113" s="703" t="str">
        <f t="shared" si="44"/>
        <v/>
      </c>
      <c r="Q113" s="703" t="str">
        <f>IF(Q110="","",IF($D$67="Equity Multiple",P114*$C110-P114,Q111*$E$16))</f>
        <v/>
      </c>
      <c r="R113" s="703" t="str">
        <f>IF(R110="","",IF($D$67="Equity Multiple",Q114*$C110-Q114,R111*$E$16))</f>
        <v/>
      </c>
      <c r="S113" s="703" t="str">
        <f>IF(S110="","",IF($D$67="Equity Multiple",R114*$C110-R114,S111*$E$16))</f>
        <v/>
      </c>
    </row>
    <row r="114" spans="2:19">
      <c r="B114" s="691" t="s">
        <v>487</v>
      </c>
      <c r="C114" s="691"/>
      <c r="D114" s="691"/>
      <c r="E114" s="691"/>
      <c r="F114" s="703">
        <f t="shared" ref="F114:S114" si="45">IF(F110="","",-MIN(0,F104*$C$11))</f>
        <v>0</v>
      </c>
      <c r="G114" s="703">
        <f t="shared" si="45"/>
        <v>0</v>
      </c>
      <c r="H114" s="703" t="str">
        <f t="shared" si="45"/>
        <v/>
      </c>
      <c r="I114" s="703" t="str">
        <f t="shared" si="45"/>
        <v/>
      </c>
      <c r="J114" s="703" t="str">
        <f t="shared" si="45"/>
        <v/>
      </c>
      <c r="K114" s="703" t="str">
        <f t="shared" si="45"/>
        <v/>
      </c>
      <c r="L114" s="703" t="str">
        <f t="shared" si="45"/>
        <v/>
      </c>
      <c r="M114" s="703" t="str">
        <f t="shared" si="45"/>
        <v/>
      </c>
      <c r="N114" s="703" t="str">
        <f t="shared" si="45"/>
        <v/>
      </c>
      <c r="O114" s="703" t="str">
        <f t="shared" si="45"/>
        <v/>
      </c>
      <c r="P114" s="703" t="str">
        <f t="shared" si="45"/>
        <v/>
      </c>
      <c r="Q114" s="703" t="str">
        <f t="shared" si="45"/>
        <v/>
      </c>
      <c r="R114" s="703" t="str">
        <f t="shared" si="45"/>
        <v/>
      </c>
      <c r="S114" s="703" t="str">
        <f t="shared" si="45"/>
        <v/>
      </c>
    </row>
    <row r="115" spans="2:19">
      <c r="B115" s="691" t="s">
        <v>488</v>
      </c>
      <c r="C115" s="691"/>
      <c r="D115" s="691"/>
      <c r="E115" s="691"/>
      <c r="F115" s="719">
        <f t="shared" ref="F115:P115" si="46">IF(F110="","",MIN(F111+F113,MAX(F105,0)*$I$16/($H$16+$I$16)))</f>
        <v>0</v>
      </c>
      <c r="G115" s="719">
        <f t="shared" si="46"/>
        <v>0</v>
      </c>
      <c r="H115" s="719" t="str">
        <f t="shared" si="46"/>
        <v/>
      </c>
      <c r="I115" s="719" t="str">
        <f t="shared" si="46"/>
        <v/>
      </c>
      <c r="J115" s="719" t="str">
        <f t="shared" si="46"/>
        <v/>
      </c>
      <c r="K115" s="719" t="str">
        <f t="shared" si="46"/>
        <v/>
      </c>
      <c r="L115" s="719" t="str">
        <f t="shared" si="46"/>
        <v/>
      </c>
      <c r="M115" s="719" t="str">
        <f t="shared" si="46"/>
        <v/>
      </c>
      <c r="N115" s="719" t="str">
        <f t="shared" si="46"/>
        <v/>
      </c>
      <c r="O115" s="719" t="str">
        <f t="shared" si="46"/>
        <v/>
      </c>
      <c r="P115" s="719" t="str">
        <f t="shared" si="46"/>
        <v/>
      </c>
      <c r="Q115" s="719" t="str">
        <f>IF(Q110="","",MIN(Q111+Q113,MAX(Q104,0)*$I$16/($H$16+$I$16)))</f>
        <v/>
      </c>
      <c r="R115" s="719" t="str">
        <f>IF(R110="","",MIN(R111+R113,MAX(R104,0)*$I$16/($H$16+$I$16)))</f>
        <v/>
      </c>
      <c r="S115" s="719" t="str">
        <f>IF(S110="","",MIN(S111+S113,MAX(S104,0)*$I$16/($H$16+$I$16)))</f>
        <v/>
      </c>
    </row>
    <row r="116" spans="2:19">
      <c r="B116" s="691" t="s">
        <v>489</v>
      </c>
      <c r="C116" s="691"/>
      <c r="D116" s="691"/>
      <c r="E116" s="691"/>
      <c r="F116" s="703">
        <f t="shared" ref="F116:S116" si="47">IF(F110="","",F111+F113+F114-F115)</f>
        <v>0</v>
      </c>
      <c r="G116" s="703">
        <f t="shared" si="47"/>
        <v>0</v>
      </c>
      <c r="H116" s="703" t="str">
        <f t="shared" si="47"/>
        <v/>
      </c>
      <c r="I116" s="703" t="str">
        <f t="shared" si="47"/>
        <v/>
      </c>
      <c r="J116" s="703" t="str">
        <f t="shared" si="47"/>
        <v/>
      </c>
      <c r="K116" s="703" t="str">
        <f t="shared" si="47"/>
        <v/>
      </c>
      <c r="L116" s="703" t="str">
        <f t="shared" si="47"/>
        <v/>
      </c>
      <c r="M116" s="703" t="str">
        <f t="shared" si="47"/>
        <v/>
      </c>
      <c r="N116" s="703" t="str">
        <f t="shared" si="47"/>
        <v/>
      </c>
      <c r="O116" s="703" t="str">
        <f t="shared" si="47"/>
        <v/>
      </c>
      <c r="P116" s="703" t="str">
        <f t="shared" si="47"/>
        <v/>
      </c>
      <c r="Q116" s="703" t="str">
        <f t="shared" si="47"/>
        <v/>
      </c>
      <c r="R116" s="703" t="str">
        <f t="shared" si="47"/>
        <v/>
      </c>
      <c r="S116" s="703" t="str">
        <f t="shared" si="47"/>
        <v/>
      </c>
    </row>
    <row r="117" spans="2:19">
      <c r="B117" s="707" t="str">
        <f>IF(D67="Equity Multiple", "LP-B EMx Check","LP-B IRR Check")</f>
        <v>LP-B IRR Check</v>
      </c>
      <c r="C117" s="691"/>
      <c r="D117" s="691"/>
      <c r="E117" s="774" t="str">
        <f>IFERROR(IF($D$67="IRR",IRR(F117:S117),SUMIF(F117:S117,"&gt;0")/-SUMIF(F117:S117,"&lt;0")),"NA")</f>
        <v>NA</v>
      </c>
      <c r="F117" s="703">
        <f t="shared" ref="F117:S117" si="48">IF(F110="","",-F114+F115)</f>
        <v>0</v>
      </c>
      <c r="G117" s="703">
        <f t="shared" si="48"/>
        <v>0</v>
      </c>
      <c r="H117" s="703" t="str">
        <f t="shared" si="48"/>
        <v/>
      </c>
      <c r="I117" s="703" t="str">
        <f t="shared" si="48"/>
        <v/>
      </c>
      <c r="J117" s="703" t="str">
        <f t="shared" si="48"/>
        <v/>
      </c>
      <c r="K117" s="703" t="str">
        <f t="shared" si="48"/>
        <v/>
      </c>
      <c r="L117" s="703" t="str">
        <f t="shared" si="48"/>
        <v/>
      </c>
      <c r="M117" s="703" t="str">
        <f t="shared" si="48"/>
        <v/>
      </c>
      <c r="N117" s="703" t="str">
        <f t="shared" si="48"/>
        <v/>
      </c>
      <c r="O117" s="703" t="str">
        <f t="shared" si="48"/>
        <v/>
      </c>
      <c r="P117" s="703" t="str">
        <f t="shared" si="48"/>
        <v/>
      </c>
      <c r="Q117" s="703" t="str">
        <f t="shared" si="48"/>
        <v/>
      </c>
      <c r="R117" s="703" t="str">
        <f t="shared" si="48"/>
        <v/>
      </c>
      <c r="S117" s="703" t="str">
        <f t="shared" si="48"/>
        <v/>
      </c>
    </row>
    <row r="118" spans="2:19">
      <c r="B118" s="691" t="s">
        <v>490</v>
      </c>
      <c r="C118" s="691"/>
      <c r="D118" s="691"/>
      <c r="E118" s="691"/>
      <c r="F118" s="703">
        <f t="shared" ref="F118:P118" si="49">IF(F110="","",MIN(F111+F113,MAX(F105,0)*$I$16/($H$16+$I$16)))</f>
        <v>0</v>
      </c>
      <c r="G118" s="703">
        <f t="shared" si="49"/>
        <v>0</v>
      </c>
      <c r="H118" s="703" t="str">
        <f t="shared" si="49"/>
        <v/>
      </c>
      <c r="I118" s="703" t="str">
        <f t="shared" si="49"/>
        <v/>
      </c>
      <c r="J118" s="703" t="str">
        <f t="shared" si="49"/>
        <v/>
      </c>
      <c r="K118" s="703" t="str">
        <f t="shared" si="49"/>
        <v/>
      </c>
      <c r="L118" s="703" t="str">
        <f t="shared" si="49"/>
        <v/>
      </c>
      <c r="M118" s="703" t="str">
        <f t="shared" si="49"/>
        <v/>
      </c>
      <c r="N118" s="703" t="str">
        <f t="shared" si="49"/>
        <v/>
      </c>
      <c r="O118" s="703" t="str">
        <f t="shared" si="49"/>
        <v/>
      </c>
      <c r="P118" s="703" t="str">
        <f t="shared" si="49"/>
        <v/>
      </c>
      <c r="Q118" s="703" t="str">
        <f>IF(Q110="","",MIN(Q111+Q113,MAX(Q104,0)*$I$16/($H$16+$I$16)))</f>
        <v/>
      </c>
      <c r="R118" s="703" t="str">
        <f>IF(R110="","",MIN(R111+R113,MAX(R104,0)*$I$16/($H$16+$I$16)))</f>
        <v/>
      </c>
      <c r="S118" s="703" t="str">
        <f>IF(S110="","",MIN(S111+S113,MAX(S104,0)*$I$16/($H$16+$I$16)))</f>
        <v/>
      </c>
    </row>
    <row r="119" spans="2:19">
      <c r="B119" s="691"/>
      <c r="C119" s="691"/>
      <c r="D119" s="691"/>
      <c r="E119" s="691"/>
      <c r="F119" s="703"/>
      <c r="G119" s="703"/>
      <c r="H119" s="703"/>
      <c r="I119" s="703"/>
      <c r="J119" s="703"/>
      <c r="K119" s="703"/>
      <c r="L119" s="703"/>
      <c r="M119" s="703"/>
      <c r="N119" s="703"/>
      <c r="O119" s="703"/>
      <c r="P119" s="703"/>
      <c r="Q119" s="703"/>
      <c r="R119" s="703"/>
      <c r="S119" s="703"/>
    </row>
    <row r="120" spans="2:19">
      <c r="B120" s="691" t="s">
        <v>491</v>
      </c>
      <c r="C120" s="691"/>
      <c r="D120" s="691"/>
      <c r="E120" s="691"/>
      <c r="F120" s="703">
        <f t="shared" ref="F120:P120" si="50">IF(F110="","",E124)</f>
        <v>0</v>
      </c>
      <c r="G120" s="703">
        <f t="shared" si="50"/>
        <v>0</v>
      </c>
      <c r="H120" s="703" t="str">
        <f t="shared" si="50"/>
        <v/>
      </c>
      <c r="I120" s="703" t="str">
        <f t="shared" si="50"/>
        <v/>
      </c>
      <c r="J120" s="703" t="str">
        <f t="shared" si="50"/>
        <v/>
      </c>
      <c r="K120" s="703" t="str">
        <f t="shared" si="50"/>
        <v/>
      </c>
      <c r="L120" s="703" t="str">
        <f t="shared" si="50"/>
        <v/>
      </c>
      <c r="M120" s="703" t="str">
        <f t="shared" si="50"/>
        <v/>
      </c>
      <c r="N120" s="703" t="str">
        <f t="shared" si="50"/>
        <v/>
      </c>
      <c r="O120" s="703" t="str">
        <f t="shared" si="50"/>
        <v/>
      </c>
      <c r="P120" s="703" t="str">
        <f t="shared" si="50"/>
        <v/>
      </c>
      <c r="Q120" s="703" t="str">
        <f>IF(Q110="","",P124)</f>
        <v/>
      </c>
      <c r="R120" s="703" t="str">
        <f>IF(R110="","",Q124)</f>
        <v/>
      </c>
      <c r="S120" s="703" t="str">
        <f>IF(S110="","",R124)</f>
        <v/>
      </c>
    </row>
    <row r="121" spans="2:19">
      <c r="B121" s="691" t="s">
        <v>492</v>
      </c>
      <c r="C121" s="691"/>
      <c r="D121" s="691"/>
      <c r="E121" s="691"/>
      <c r="F121" s="703">
        <f>IF(F110="","",IF($D$67="Equity Multiple",E122*$C110-E122,F120*$E$16))</f>
        <v>0</v>
      </c>
      <c r="G121" s="703">
        <f t="shared" ref="G121:P121" si="51">IF(G120="","",IF($D$67="Equity Multiple",F122*$C110-F122,G120*$E$16))</f>
        <v>0</v>
      </c>
      <c r="H121" s="703" t="str">
        <f t="shared" si="51"/>
        <v/>
      </c>
      <c r="I121" s="703" t="str">
        <f t="shared" si="51"/>
        <v/>
      </c>
      <c r="J121" s="703" t="str">
        <f t="shared" si="51"/>
        <v/>
      </c>
      <c r="K121" s="703" t="str">
        <f t="shared" si="51"/>
        <v/>
      </c>
      <c r="L121" s="703" t="str">
        <f t="shared" si="51"/>
        <v/>
      </c>
      <c r="M121" s="703" t="str">
        <f t="shared" si="51"/>
        <v/>
      </c>
      <c r="N121" s="703" t="str">
        <f t="shared" si="51"/>
        <v/>
      </c>
      <c r="O121" s="703" t="str">
        <f t="shared" si="51"/>
        <v/>
      </c>
      <c r="P121" s="703" t="str">
        <f t="shared" si="51"/>
        <v/>
      </c>
      <c r="Q121" s="703" t="str">
        <f>IF(Q120="","",IF($D$67="Equity Multiple",P122*$C110-P122,Q120*$E$16))</f>
        <v/>
      </c>
      <c r="R121" s="703" t="str">
        <f>IF(R120="","",IF($D$67="Equity Multiple",Q122*$C110-Q122,R120*$E$16))</f>
        <v/>
      </c>
      <c r="S121" s="703" t="str">
        <f>IF(S120="","",IF($D$67="Equity Multiple",R122*$C110-R122,S120*$E$16))</f>
        <v/>
      </c>
    </row>
    <row r="122" spans="2:19">
      <c r="B122" s="691" t="s">
        <v>493</v>
      </c>
      <c r="C122" s="691"/>
      <c r="D122" s="691"/>
      <c r="E122" s="691"/>
      <c r="F122" s="703">
        <f t="shared" ref="F122:S122" si="52">IF(F110="","",-MIN(0,F104*$C$9))</f>
        <v>0</v>
      </c>
      <c r="G122" s="703">
        <f t="shared" si="52"/>
        <v>0</v>
      </c>
      <c r="H122" s="703" t="str">
        <f t="shared" si="52"/>
        <v/>
      </c>
      <c r="I122" s="703" t="str">
        <f t="shared" si="52"/>
        <v/>
      </c>
      <c r="J122" s="703" t="str">
        <f t="shared" si="52"/>
        <v/>
      </c>
      <c r="K122" s="703" t="str">
        <f t="shared" si="52"/>
        <v/>
      </c>
      <c r="L122" s="703" t="str">
        <f t="shared" si="52"/>
        <v/>
      </c>
      <c r="M122" s="703" t="str">
        <f t="shared" si="52"/>
        <v/>
      </c>
      <c r="N122" s="703" t="str">
        <f t="shared" si="52"/>
        <v/>
      </c>
      <c r="O122" s="703" t="str">
        <f t="shared" si="52"/>
        <v/>
      </c>
      <c r="P122" s="703" t="str">
        <f t="shared" si="52"/>
        <v/>
      </c>
      <c r="Q122" s="703" t="str">
        <f t="shared" si="52"/>
        <v/>
      </c>
      <c r="R122" s="703" t="str">
        <f t="shared" si="52"/>
        <v/>
      </c>
      <c r="S122" s="703" t="str">
        <f t="shared" si="52"/>
        <v/>
      </c>
    </row>
    <row r="123" spans="2:19">
      <c r="B123" s="691" t="s">
        <v>494</v>
      </c>
      <c r="C123" s="691"/>
      <c r="D123" s="691"/>
      <c r="E123" s="691"/>
      <c r="F123" s="703">
        <f t="shared" ref="F123:P123" si="53">IF(F110="","",IF($A$6,MAX(MIN(F105-F118,F120+F121+F122),0),F115/$I$16*$H$16))</f>
        <v>0</v>
      </c>
      <c r="G123" s="719">
        <f t="shared" si="53"/>
        <v>0</v>
      </c>
      <c r="H123" s="719" t="str">
        <f t="shared" si="53"/>
        <v/>
      </c>
      <c r="I123" s="719" t="str">
        <f t="shared" si="53"/>
        <v/>
      </c>
      <c r="J123" s="719" t="str">
        <f t="shared" si="53"/>
        <v/>
      </c>
      <c r="K123" s="719" t="str">
        <f t="shared" si="53"/>
        <v/>
      </c>
      <c r="L123" s="719" t="str">
        <f t="shared" si="53"/>
        <v/>
      </c>
      <c r="M123" s="719" t="str">
        <f t="shared" si="53"/>
        <v/>
      </c>
      <c r="N123" s="719" t="str">
        <f t="shared" si="53"/>
        <v/>
      </c>
      <c r="O123" s="719" t="str">
        <f t="shared" si="53"/>
        <v/>
      </c>
      <c r="P123" s="719" t="str">
        <f t="shared" si="53"/>
        <v/>
      </c>
      <c r="Q123" s="719" t="str">
        <f>IF(Q110="","",IF($A$6,MAX(MIN(Q104-Q118,Q120+Q121+Q122),0),Q115/$I$16*$H$16))</f>
        <v/>
      </c>
      <c r="R123" s="719" t="str">
        <f>IF(R110="","",IF($A$6,MAX(MIN(R104-R118,R120+R121+R122),0),R115/$I$16*$H$16))</f>
        <v/>
      </c>
      <c r="S123" s="719" t="str">
        <f>IF(S110="","",IF($A$6,MAX(MIN(S104-S118,S120+S121+S122),0),S115/$I$16*$H$16))</f>
        <v/>
      </c>
    </row>
    <row r="124" spans="2:19">
      <c r="B124" s="691" t="s">
        <v>495</v>
      </c>
      <c r="C124" s="691"/>
      <c r="D124" s="691"/>
      <c r="E124" s="691"/>
      <c r="F124" s="703">
        <f t="shared" ref="F124:S124" si="54">IF(F110="","",F120+F121+F122-F123)</f>
        <v>0</v>
      </c>
      <c r="G124" s="719">
        <f t="shared" si="54"/>
        <v>0</v>
      </c>
      <c r="H124" s="719" t="str">
        <f t="shared" si="54"/>
        <v/>
      </c>
      <c r="I124" s="719" t="str">
        <f t="shared" si="54"/>
        <v/>
      </c>
      <c r="J124" s="719" t="str">
        <f t="shared" si="54"/>
        <v/>
      </c>
      <c r="K124" s="719" t="str">
        <f t="shared" si="54"/>
        <v/>
      </c>
      <c r="L124" s="719" t="str">
        <f t="shared" si="54"/>
        <v/>
      </c>
      <c r="M124" s="719" t="str">
        <f t="shared" si="54"/>
        <v/>
      </c>
      <c r="N124" s="719" t="str">
        <f t="shared" si="54"/>
        <v/>
      </c>
      <c r="O124" s="719" t="str">
        <f t="shared" si="54"/>
        <v/>
      </c>
      <c r="P124" s="719" t="str">
        <f t="shared" si="54"/>
        <v/>
      </c>
      <c r="Q124" s="719" t="str">
        <f t="shared" si="54"/>
        <v/>
      </c>
      <c r="R124" s="719" t="str">
        <f t="shared" si="54"/>
        <v/>
      </c>
      <c r="S124" s="719" t="str">
        <f t="shared" si="54"/>
        <v/>
      </c>
    </row>
    <row r="125" spans="2:19">
      <c r="B125" s="707" t="str">
        <f>IF(D67="Equity Multiple", "GP EMx Check","GP IRR Check")</f>
        <v>GP IRR Check</v>
      </c>
      <c r="C125" s="691"/>
      <c r="D125" s="691"/>
      <c r="E125" s="774" t="str">
        <f>IF($D$67="IRR",IFERROR(IRR(F125:S125),"NA"),SUMIF(F125:S125,"&gt;0")/-SUMIF(F125:S125,"&lt;0"))</f>
        <v>NA</v>
      </c>
      <c r="F125" s="703">
        <f t="shared" ref="F125:S125" si="55">IF(F110="","",-F122+F123)</f>
        <v>0</v>
      </c>
      <c r="G125" s="719">
        <f t="shared" si="55"/>
        <v>0</v>
      </c>
      <c r="H125" s="719" t="str">
        <f t="shared" si="55"/>
        <v/>
      </c>
      <c r="I125" s="719" t="str">
        <f t="shared" si="55"/>
        <v/>
      </c>
      <c r="J125" s="719" t="str">
        <f t="shared" si="55"/>
        <v/>
      </c>
      <c r="K125" s="719" t="str">
        <f t="shared" si="55"/>
        <v/>
      </c>
      <c r="L125" s="719" t="str">
        <f t="shared" si="55"/>
        <v/>
      </c>
      <c r="M125" s="719" t="str">
        <f t="shared" si="55"/>
        <v/>
      </c>
      <c r="N125" s="719" t="str">
        <f t="shared" si="55"/>
        <v/>
      </c>
      <c r="O125" s="719" t="str">
        <f t="shared" si="55"/>
        <v/>
      </c>
      <c r="P125" s="719" t="str">
        <f t="shared" si="55"/>
        <v/>
      </c>
      <c r="Q125" s="719" t="str">
        <f t="shared" si="55"/>
        <v/>
      </c>
      <c r="R125" s="719" t="str">
        <f t="shared" si="55"/>
        <v/>
      </c>
      <c r="S125" s="719" t="str">
        <f t="shared" si="55"/>
        <v/>
      </c>
    </row>
    <row r="126" spans="2:19">
      <c r="B126" s="775"/>
      <c r="C126" s="750"/>
      <c r="D126" s="750"/>
      <c r="E126" s="776"/>
      <c r="F126" s="754"/>
      <c r="G126" s="754"/>
      <c r="H126" s="754"/>
      <c r="I126" s="754"/>
      <c r="J126" s="754"/>
      <c r="K126" s="754"/>
      <c r="L126" s="754"/>
      <c r="M126" s="754"/>
      <c r="N126" s="754"/>
      <c r="O126" s="754"/>
      <c r="P126" s="754"/>
      <c r="Q126" s="754"/>
      <c r="R126" s="754"/>
      <c r="S126" s="754"/>
    </row>
    <row r="127" spans="2:19">
      <c r="B127" s="775" t="s">
        <v>496</v>
      </c>
      <c r="C127" s="750"/>
      <c r="D127" s="750"/>
      <c r="E127" s="776"/>
      <c r="F127" s="754">
        <f t="shared" ref="F127:P127" si="56">IF(F110="","",E131)</f>
        <v>0</v>
      </c>
      <c r="G127" s="754">
        <f t="shared" si="56"/>
        <v>0</v>
      </c>
      <c r="H127" s="754" t="str">
        <f t="shared" si="56"/>
        <v/>
      </c>
      <c r="I127" s="754" t="str">
        <f t="shared" si="56"/>
        <v/>
      </c>
      <c r="J127" s="754" t="str">
        <f t="shared" si="56"/>
        <v/>
      </c>
      <c r="K127" s="754" t="str">
        <f t="shared" si="56"/>
        <v/>
      </c>
      <c r="L127" s="754" t="str">
        <f t="shared" si="56"/>
        <v/>
      </c>
      <c r="M127" s="754" t="str">
        <f t="shared" si="56"/>
        <v/>
      </c>
      <c r="N127" s="754" t="str">
        <f t="shared" si="56"/>
        <v/>
      </c>
      <c r="O127" s="754" t="str">
        <f t="shared" si="56"/>
        <v/>
      </c>
      <c r="P127" s="754" t="str">
        <f t="shared" si="56"/>
        <v/>
      </c>
      <c r="Q127" s="754"/>
      <c r="R127" s="754"/>
      <c r="S127" s="754"/>
    </row>
    <row r="128" spans="2:19">
      <c r="B128" s="775" t="s">
        <v>497</v>
      </c>
      <c r="C128" s="750"/>
      <c r="D128" s="750"/>
      <c r="E128" s="776"/>
      <c r="F128" s="754" t="str">
        <f>IF(ROUND(SUM(G128:S128),0)&gt;=ROUND(SUM(F129:S129),0),"All Capital Returned","Capital Not Returned")</f>
        <v>All Capital Returned</v>
      </c>
      <c r="G128" s="754">
        <f t="shared" ref="G128:P128" si="57">IF(G110="","",G130)</f>
        <v>0</v>
      </c>
      <c r="H128" s="754" t="str">
        <f t="shared" si="57"/>
        <v/>
      </c>
      <c r="I128" s="754" t="str">
        <f t="shared" si="57"/>
        <v/>
      </c>
      <c r="J128" s="754" t="str">
        <f t="shared" si="57"/>
        <v/>
      </c>
      <c r="K128" s="754" t="str">
        <f t="shared" si="57"/>
        <v/>
      </c>
      <c r="L128" s="754" t="str">
        <f t="shared" si="57"/>
        <v/>
      </c>
      <c r="M128" s="754" t="str">
        <f t="shared" si="57"/>
        <v/>
      </c>
      <c r="N128" s="754" t="str">
        <f t="shared" si="57"/>
        <v/>
      </c>
      <c r="O128" s="754" t="str">
        <f t="shared" si="57"/>
        <v/>
      </c>
      <c r="P128" s="754" t="str">
        <f t="shared" si="57"/>
        <v/>
      </c>
      <c r="Q128" s="754"/>
      <c r="R128" s="754"/>
      <c r="S128" s="754"/>
    </row>
    <row r="129" spans="2:19">
      <c r="B129" s="775" t="s">
        <v>498</v>
      </c>
      <c r="C129" s="750"/>
      <c r="D129" s="750"/>
      <c r="E129" s="776"/>
      <c r="F129" s="754">
        <f t="shared" ref="F129:P129" si="58">IF(F110="","",-MIN(0,F104*$C$10))</f>
        <v>0</v>
      </c>
      <c r="G129" s="754">
        <f t="shared" si="58"/>
        <v>0</v>
      </c>
      <c r="H129" s="754" t="str">
        <f t="shared" si="58"/>
        <v/>
      </c>
      <c r="I129" s="754" t="str">
        <f t="shared" si="58"/>
        <v/>
      </c>
      <c r="J129" s="754" t="str">
        <f t="shared" si="58"/>
        <v/>
      </c>
      <c r="K129" s="754" t="str">
        <f t="shared" si="58"/>
        <v/>
      </c>
      <c r="L129" s="754" t="str">
        <f t="shared" si="58"/>
        <v/>
      </c>
      <c r="M129" s="754" t="str">
        <f t="shared" si="58"/>
        <v/>
      </c>
      <c r="N129" s="754" t="str">
        <f t="shared" si="58"/>
        <v/>
      </c>
      <c r="O129" s="754" t="str">
        <f t="shared" si="58"/>
        <v/>
      </c>
      <c r="P129" s="754" t="str">
        <f t="shared" si="58"/>
        <v/>
      </c>
      <c r="Q129" s="754"/>
      <c r="R129" s="754"/>
      <c r="S129" s="754"/>
    </row>
    <row r="130" spans="2:19">
      <c r="B130" s="775" t="s">
        <v>499</v>
      </c>
      <c r="C130" s="750"/>
      <c r="D130" s="750"/>
      <c r="E130" s="776"/>
      <c r="F130" s="754">
        <f t="shared" ref="F130:P130" si="59">IF(F110="","",MAX(F104,0)*$C$10)</f>
        <v>0</v>
      </c>
      <c r="G130" s="754">
        <f t="shared" si="59"/>
        <v>0</v>
      </c>
      <c r="H130" s="754" t="str">
        <f t="shared" si="59"/>
        <v/>
      </c>
      <c r="I130" s="754" t="str">
        <f t="shared" si="59"/>
        <v/>
      </c>
      <c r="J130" s="754" t="str">
        <f t="shared" si="59"/>
        <v/>
      </c>
      <c r="K130" s="754" t="str">
        <f t="shared" si="59"/>
        <v/>
      </c>
      <c r="L130" s="754" t="str">
        <f t="shared" si="59"/>
        <v/>
      </c>
      <c r="M130" s="754" t="str">
        <f t="shared" si="59"/>
        <v/>
      </c>
      <c r="N130" s="754" t="str">
        <f t="shared" si="59"/>
        <v/>
      </c>
      <c r="O130" s="754" t="str">
        <f t="shared" si="59"/>
        <v/>
      </c>
      <c r="P130" s="754" t="str">
        <f t="shared" si="59"/>
        <v/>
      </c>
      <c r="Q130" s="754"/>
      <c r="R130" s="754"/>
      <c r="S130" s="754"/>
    </row>
    <row r="131" spans="2:19">
      <c r="B131" s="775" t="s">
        <v>500</v>
      </c>
      <c r="C131" s="750"/>
      <c r="D131" s="750"/>
      <c r="E131" s="815"/>
      <c r="F131" s="754">
        <f t="shared" ref="F131:P131" si="60">IF(F110="","",F127+F129-F130)</f>
        <v>0</v>
      </c>
      <c r="G131" s="754">
        <f t="shared" si="60"/>
        <v>0</v>
      </c>
      <c r="H131" s="754" t="str">
        <f t="shared" si="60"/>
        <v/>
      </c>
      <c r="I131" s="754" t="str">
        <f t="shared" si="60"/>
        <v/>
      </c>
      <c r="J131" s="754" t="str">
        <f t="shared" si="60"/>
        <v/>
      </c>
      <c r="K131" s="754" t="str">
        <f t="shared" si="60"/>
        <v/>
      </c>
      <c r="L131" s="754" t="str">
        <f t="shared" si="60"/>
        <v/>
      </c>
      <c r="M131" s="754" t="str">
        <f t="shared" si="60"/>
        <v/>
      </c>
      <c r="N131" s="754" t="str">
        <f t="shared" si="60"/>
        <v/>
      </c>
      <c r="O131" s="754" t="str">
        <f t="shared" si="60"/>
        <v/>
      </c>
      <c r="P131" s="754" t="str">
        <f t="shared" si="60"/>
        <v/>
      </c>
      <c r="Q131" s="754"/>
      <c r="R131" s="754"/>
      <c r="S131" s="754"/>
    </row>
    <row r="132" spans="2:19">
      <c r="B132" s="775" t="s">
        <v>501</v>
      </c>
      <c r="C132" s="750"/>
      <c r="D132" s="808"/>
      <c r="E132" s="774" t="str">
        <f>IFERROR(IRR(F132:S132),"NA")</f>
        <v>NA</v>
      </c>
      <c r="F132" s="754">
        <f t="shared" ref="F132:P132" si="61">IF(F110="","",-F129+F130)</f>
        <v>0</v>
      </c>
      <c r="G132" s="754">
        <f t="shared" si="61"/>
        <v>0</v>
      </c>
      <c r="H132" s="754" t="str">
        <f t="shared" si="61"/>
        <v/>
      </c>
      <c r="I132" s="754" t="str">
        <f t="shared" si="61"/>
        <v/>
      </c>
      <c r="J132" s="754" t="str">
        <f t="shared" si="61"/>
        <v/>
      </c>
      <c r="K132" s="754" t="str">
        <f t="shared" si="61"/>
        <v/>
      </c>
      <c r="L132" s="754" t="str">
        <f t="shared" si="61"/>
        <v/>
      </c>
      <c r="M132" s="754" t="str">
        <f t="shared" si="61"/>
        <v/>
      </c>
      <c r="N132" s="754" t="str">
        <f t="shared" si="61"/>
        <v/>
      </c>
      <c r="O132" s="754" t="str">
        <f t="shared" si="61"/>
        <v/>
      </c>
      <c r="P132" s="754" t="str">
        <f t="shared" si="61"/>
        <v/>
      </c>
      <c r="Q132" s="754"/>
      <c r="R132" s="754"/>
      <c r="S132" s="754"/>
    </row>
    <row r="133" spans="2:19">
      <c r="B133" s="775" t="s">
        <v>502</v>
      </c>
      <c r="C133" s="750"/>
      <c r="D133" s="750"/>
      <c r="E133" s="776"/>
      <c r="F133" s="754">
        <f t="shared" ref="F133:P133" si="62">F130</f>
        <v>0</v>
      </c>
      <c r="G133" s="754">
        <f t="shared" si="62"/>
        <v>0</v>
      </c>
      <c r="H133" s="754" t="str">
        <f t="shared" si="62"/>
        <v/>
      </c>
      <c r="I133" s="754" t="str">
        <f t="shared" si="62"/>
        <v/>
      </c>
      <c r="J133" s="754" t="str">
        <f t="shared" si="62"/>
        <v/>
      </c>
      <c r="K133" s="754" t="str">
        <f t="shared" si="62"/>
        <v/>
      </c>
      <c r="L133" s="754" t="str">
        <f t="shared" si="62"/>
        <v/>
      </c>
      <c r="M133" s="754" t="str">
        <f t="shared" si="62"/>
        <v/>
      </c>
      <c r="N133" s="754" t="str">
        <f t="shared" si="62"/>
        <v/>
      </c>
      <c r="O133" s="754" t="str">
        <f t="shared" si="62"/>
        <v/>
      </c>
      <c r="P133" s="754" t="str">
        <f t="shared" si="62"/>
        <v/>
      </c>
      <c r="Q133" s="754"/>
      <c r="R133" s="754"/>
      <c r="S133" s="754"/>
    </row>
    <row r="134" spans="2:19">
      <c r="B134" s="775"/>
      <c r="C134" s="750"/>
      <c r="D134" s="750"/>
      <c r="E134" s="776"/>
      <c r="F134" s="754"/>
      <c r="G134" s="754"/>
      <c r="H134" s="754"/>
      <c r="I134" s="754"/>
      <c r="J134" s="754"/>
      <c r="K134" s="754"/>
      <c r="L134" s="754"/>
      <c r="M134" s="754"/>
      <c r="N134" s="754"/>
      <c r="O134" s="754"/>
      <c r="P134" s="754"/>
      <c r="Q134" s="754"/>
      <c r="R134" s="754"/>
      <c r="S134" s="754"/>
    </row>
    <row r="135" spans="2:19">
      <c r="B135" s="691"/>
      <c r="C135" s="691"/>
      <c r="D135" s="691"/>
      <c r="E135" s="691"/>
      <c r="F135" s="703"/>
      <c r="G135" s="719"/>
      <c r="H135" s="719"/>
      <c r="I135" s="719"/>
      <c r="J135" s="719"/>
      <c r="K135" s="719"/>
      <c r="L135" s="719"/>
      <c r="M135" s="719"/>
      <c r="N135" s="719"/>
      <c r="O135" s="719"/>
      <c r="P135" s="719"/>
      <c r="Q135" s="719"/>
      <c r="R135" s="719"/>
      <c r="S135" s="719"/>
    </row>
    <row r="136" spans="2:19">
      <c r="B136" s="691" t="str">
        <f>"Total Distributions ("&amp;B109&amp;")"</f>
        <v>Total Distributions (Tier 1 - Preferred Return + Return of Capital)</v>
      </c>
      <c r="C136" s="691"/>
      <c r="D136" s="691"/>
      <c r="E136" s="691"/>
      <c r="F136" s="703">
        <f t="shared" ref="F136:P136" si="63">IF(F110="","",F123+F118+F133)</f>
        <v>0</v>
      </c>
      <c r="G136" s="703">
        <f t="shared" si="63"/>
        <v>0</v>
      </c>
      <c r="H136" s="703" t="str">
        <f t="shared" si="63"/>
        <v/>
      </c>
      <c r="I136" s="703" t="str">
        <f t="shared" si="63"/>
        <v/>
      </c>
      <c r="J136" s="703" t="str">
        <f t="shared" si="63"/>
        <v/>
      </c>
      <c r="K136" s="703" t="str">
        <f t="shared" si="63"/>
        <v/>
      </c>
      <c r="L136" s="703" t="str">
        <f t="shared" si="63"/>
        <v/>
      </c>
      <c r="M136" s="703" t="str">
        <f t="shared" si="63"/>
        <v/>
      </c>
      <c r="N136" s="703" t="str">
        <f t="shared" si="63"/>
        <v/>
      </c>
      <c r="O136" s="703" t="str">
        <f t="shared" si="63"/>
        <v/>
      </c>
      <c r="P136" s="703" t="str">
        <f t="shared" si="63"/>
        <v/>
      </c>
      <c r="Q136" s="703" t="str">
        <f>IF(Q110="","",Q123+Q118)</f>
        <v/>
      </c>
      <c r="R136" s="703" t="str">
        <f>IF(R110="","",R123+R118)</f>
        <v/>
      </c>
      <c r="S136" s="703" t="str">
        <f>IF(S110="","",S123+S118)</f>
        <v/>
      </c>
    </row>
    <row r="137" spans="2:19">
      <c r="B137" s="691" t="s">
        <v>503</v>
      </c>
      <c r="C137" s="691"/>
      <c r="D137" s="691"/>
      <c r="E137" s="691"/>
      <c r="F137" s="703">
        <f t="shared" ref="F137:S137" si="64">IF(F110="","",MAX(F104-F136,0))</f>
        <v>0</v>
      </c>
      <c r="G137" s="703">
        <f t="shared" si="64"/>
        <v>0</v>
      </c>
      <c r="H137" s="703" t="str">
        <f t="shared" si="64"/>
        <v/>
      </c>
      <c r="I137" s="703" t="str">
        <f t="shared" si="64"/>
        <v/>
      </c>
      <c r="J137" s="703" t="str">
        <f t="shared" si="64"/>
        <v/>
      </c>
      <c r="K137" s="703" t="str">
        <f t="shared" si="64"/>
        <v/>
      </c>
      <c r="L137" s="703" t="str">
        <f t="shared" si="64"/>
        <v/>
      </c>
      <c r="M137" s="703" t="str">
        <f t="shared" si="64"/>
        <v/>
      </c>
      <c r="N137" s="703" t="str">
        <f t="shared" si="64"/>
        <v/>
      </c>
      <c r="O137" s="703" t="str">
        <f t="shared" si="64"/>
        <v/>
      </c>
      <c r="P137" s="703" t="str">
        <f t="shared" si="64"/>
        <v/>
      </c>
      <c r="Q137" s="703" t="str">
        <f t="shared" si="64"/>
        <v/>
      </c>
      <c r="R137" s="703" t="str">
        <f t="shared" si="64"/>
        <v/>
      </c>
      <c r="S137" s="703" t="str">
        <f t="shared" si="64"/>
        <v/>
      </c>
    </row>
    <row r="138" spans="2:19">
      <c r="B138" s="691"/>
      <c r="C138" s="691"/>
      <c r="D138" s="691"/>
      <c r="E138" s="691"/>
      <c r="F138" s="701"/>
      <c r="G138" s="701"/>
      <c r="H138" s="701"/>
      <c r="I138" s="701"/>
      <c r="J138" s="701"/>
      <c r="K138" s="701"/>
      <c r="L138" s="701"/>
      <c r="M138" s="701"/>
      <c r="N138" s="701"/>
      <c r="O138" s="701"/>
      <c r="P138" s="701"/>
      <c r="Q138" s="701"/>
      <c r="R138" s="701"/>
      <c r="S138" s="701"/>
    </row>
    <row r="139" spans="2:19">
      <c r="B139" s="1045" t="s">
        <v>415</v>
      </c>
      <c r="C139" s="1046"/>
      <c r="D139" s="1046"/>
      <c r="E139" s="1047"/>
      <c r="F139" s="1048" t="s">
        <v>471</v>
      </c>
      <c r="G139" s="1049">
        <f t="shared" ref="G139:S139" si="65">G$20</f>
        <v>1</v>
      </c>
      <c r="H139" s="1049" t="str">
        <f t="shared" si="65"/>
        <v/>
      </c>
      <c r="I139" s="1049" t="str">
        <f t="shared" si="65"/>
        <v/>
      </c>
      <c r="J139" s="1049" t="str">
        <f t="shared" si="65"/>
        <v/>
      </c>
      <c r="K139" s="1049" t="str">
        <f t="shared" si="65"/>
        <v/>
      </c>
      <c r="L139" s="1049" t="str">
        <f t="shared" si="65"/>
        <v/>
      </c>
      <c r="M139" s="1049" t="str">
        <f t="shared" si="65"/>
        <v/>
      </c>
      <c r="N139" s="1049" t="str">
        <f t="shared" si="65"/>
        <v/>
      </c>
      <c r="O139" s="1049" t="str">
        <f t="shared" si="65"/>
        <v/>
      </c>
      <c r="P139" s="1049" t="str">
        <f t="shared" si="65"/>
        <v/>
      </c>
      <c r="Q139" s="1049" t="str">
        <f t="shared" si="65"/>
        <v/>
      </c>
      <c r="R139" s="1049" t="str">
        <f t="shared" si="65"/>
        <v/>
      </c>
      <c r="S139" s="1049" t="str">
        <f t="shared" si="65"/>
        <v/>
      </c>
    </row>
    <row r="140" spans="2:19">
      <c r="B140" s="701" t="s">
        <v>483</v>
      </c>
      <c r="C140" s="777">
        <f>E71</f>
        <v>0.12</v>
      </c>
      <c r="D140" s="691"/>
      <c r="E140" s="691"/>
      <c r="F140" s="701"/>
      <c r="G140" s="708"/>
      <c r="H140" s="708"/>
      <c r="I140" s="708"/>
      <c r="J140" s="708"/>
      <c r="K140" s="708"/>
      <c r="L140" s="708"/>
      <c r="M140" s="708"/>
      <c r="N140" s="708"/>
      <c r="O140" s="708"/>
      <c r="P140" s="708"/>
      <c r="Q140" s="708"/>
      <c r="R140" s="708"/>
      <c r="S140" s="708"/>
    </row>
    <row r="141" spans="2:19">
      <c r="B141" s="691" t="s">
        <v>484</v>
      </c>
      <c r="C141" s="691"/>
      <c r="D141" s="691"/>
      <c r="E141" s="691"/>
      <c r="F141" s="703">
        <f t="shared" ref="F141:P141" si="66">IF(F139="","",E146)</f>
        <v>0</v>
      </c>
      <c r="G141" s="703">
        <f t="shared" si="66"/>
        <v>0</v>
      </c>
      <c r="H141" s="703" t="str">
        <f t="shared" si="66"/>
        <v/>
      </c>
      <c r="I141" s="703" t="str">
        <f t="shared" si="66"/>
        <v/>
      </c>
      <c r="J141" s="703" t="str">
        <f t="shared" si="66"/>
        <v/>
      </c>
      <c r="K141" s="703" t="str">
        <f t="shared" si="66"/>
        <v/>
      </c>
      <c r="L141" s="703" t="str">
        <f t="shared" si="66"/>
        <v/>
      </c>
      <c r="M141" s="703" t="str">
        <f t="shared" si="66"/>
        <v/>
      </c>
      <c r="N141" s="703" t="str">
        <f t="shared" si="66"/>
        <v/>
      </c>
      <c r="O141" s="703" t="str">
        <f t="shared" si="66"/>
        <v/>
      </c>
      <c r="P141" s="703" t="str">
        <f t="shared" si="66"/>
        <v/>
      </c>
      <c r="Q141" s="703" t="str">
        <f>IF(Q139="","",P146)</f>
        <v/>
      </c>
      <c r="R141" s="703" t="str">
        <f>IF(R139="","",Q146)</f>
        <v/>
      </c>
      <c r="S141" s="703" t="str">
        <f>IF(S139="","",R146)</f>
        <v/>
      </c>
    </row>
    <row r="142" spans="2:19">
      <c r="B142" s="691" t="s">
        <v>504</v>
      </c>
      <c r="C142" s="691"/>
      <c r="D142" s="691"/>
      <c r="E142" s="691"/>
      <c r="F142" s="703">
        <f t="shared" ref="F142:P142" si="67">IF(F139="","",IF($D$67="Equity Multiple",E143*$C140-E143,F141*$C140))</f>
        <v>0</v>
      </c>
      <c r="G142" s="703">
        <f t="shared" si="67"/>
        <v>0</v>
      </c>
      <c r="H142" s="703" t="str">
        <f t="shared" si="67"/>
        <v/>
      </c>
      <c r="I142" s="703" t="str">
        <f t="shared" si="67"/>
        <v/>
      </c>
      <c r="J142" s="703" t="str">
        <f t="shared" si="67"/>
        <v/>
      </c>
      <c r="K142" s="703" t="str">
        <f t="shared" si="67"/>
        <v/>
      </c>
      <c r="L142" s="703" t="str">
        <f t="shared" si="67"/>
        <v/>
      </c>
      <c r="M142" s="703" t="str">
        <f t="shared" si="67"/>
        <v/>
      </c>
      <c r="N142" s="703" t="str">
        <f t="shared" si="67"/>
        <v/>
      </c>
      <c r="O142" s="703" t="str">
        <f t="shared" si="67"/>
        <v/>
      </c>
      <c r="P142" s="703" t="str">
        <f t="shared" si="67"/>
        <v/>
      </c>
      <c r="Q142" s="703" t="str">
        <f>IF(Q139="","",IF($D$67="Equity Multiple",P143*$C140-P143,Q141*$C140))</f>
        <v/>
      </c>
      <c r="R142" s="703" t="str">
        <f>IF(R139="","",IF($D$67="Equity Multiple",Q143*$C140-Q143,R141*$C140))</f>
        <v/>
      </c>
      <c r="S142" s="703" t="str">
        <f>IF(S139="","",IF($D$67="Equity Multiple",R143*$C140-R143,S141*$C140))</f>
        <v/>
      </c>
    </row>
    <row r="143" spans="2:19">
      <c r="B143" s="691" t="s">
        <v>487</v>
      </c>
      <c r="C143" s="691"/>
      <c r="D143" s="691"/>
      <c r="E143" s="691"/>
      <c r="F143" s="703">
        <f t="shared" ref="F143:S143" si="68">IF(F139="","",-MIN(0,F$61*$C$11))</f>
        <v>0</v>
      </c>
      <c r="G143" s="703">
        <f t="shared" si="68"/>
        <v>0</v>
      </c>
      <c r="H143" s="703" t="str">
        <f t="shared" si="68"/>
        <v/>
      </c>
      <c r="I143" s="703" t="str">
        <f t="shared" si="68"/>
        <v/>
      </c>
      <c r="J143" s="703" t="str">
        <f t="shared" si="68"/>
        <v/>
      </c>
      <c r="K143" s="703" t="str">
        <f t="shared" si="68"/>
        <v/>
      </c>
      <c r="L143" s="703" t="str">
        <f t="shared" si="68"/>
        <v/>
      </c>
      <c r="M143" s="703" t="str">
        <f t="shared" si="68"/>
        <v/>
      </c>
      <c r="N143" s="703" t="str">
        <f t="shared" si="68"/>
        <v/>
      </c>
      <c r="O143" s="703" t="str">
        <f t="shared" si="68"/>
        <v/>
      </c>
      <c r="P143" s="703" t="str">
        <f t="shared" si="68"/>
        <v/>
      </c>
      <c r="Q143" s="703" t="str">
        <f t="shared" si="68"/>
        <v/>
      </c>
      <c r="R143" s="703" t="str">
        <f t="shared" si="68"/>
        <v/>
      </c>
      <c r="S143" s="703" t="str">
        <f t="shared" si="68"/>
        <v/>
      </c>
    </row>
    <row r="144" spans="2:19">
      <c r="B144" s="691" t="s">
        <v>505</v>
      </c>
      <c r="C144" s="691"/>
      <c r="D144" s="691"/>
      <c r="E144" s="691"/>
      <c r="F144" s="703">
        <f t="shared" ref="F144:S144" si="69">F118</f>
        <v>0</v>
      </c>
      <c r="G144" s="703">
        <f t="shared" si="69"/>
        <v>0</v>
      </c>
      <c r="H144" s="703" t="str">
        <f t="shared" si="69"/>
        <v/>
      </c>
      <c r="I144" s="703" t="str">
        <f t="shared" si="69"/>
        <v/>
      </c>
      <c r="J144" s="703" t="str">
        <f t="shared" si="69"/>
        <v/>
      </c>
      <c r="K144" s="703" t="str">
        <f t="shared" si="69"/>
        <v/>
      </c>
      <c r="L144" s="703" t="str">
        <f t="shared" si="69"/>
        <v/>
      </c>
      <c r="M144" s="703" t="str">
        <f t="shared" si="69"/>
        <v/>
      </c>
      <c r="N144" s="703" t="str">
        <f t="shared" si="69"/>
        <v/>
      </c>
      <c r="O144" s="703" t="str">
        <f t="shared" si="69"/>
        <v/>
      </c>
      <c r="P144" s="703" t="str">
        <f t="shared" si="69"/>
        <v/>
      </c>
      <c r="Q144" s="703" t="str">
        <f t="shared" si="69"/>
        <v/>
      </c>
      <c r="R144" s="703" t="str">
        <f t="shared" si="69"/>
        <v/>
      </c>
      <c r="S144" s="703" t="str">
        <f t="shared" si="69"/>
        <v/>
      </c>
    </row>
    <row r="145" spans="2:19">
      <c r="B145" s="691" t="str">
        <f>"Distributions to LP-B "&amp;B139</f>
        <v>Distributions to LP-B Tier 2</v>
      </c>
      <c r="C145" s="691"/>
      <c r="D145" s="691"/>
      <c r="E145" s="691"/>
      <c r="F145" s="703">
        <f t="shared" ref="F145:S145" si="70">IF(F139="","",MIN(F141+F142-F144,F137*$I$17))</f>
        <v>0</v>
      </c>
      <c r="G145" s="703">
        <f t="shared" si="70"/>
        <v>0</v>
      </c>
      <c r="H145" s="703" t="str">
        <f t="shared" si="70"/>
        <v/>
      </c>
      <c r="I145" s="703" t="str">
        <f t="shared" si="70"/>
        <v/>
      </c>
      <c r="J145" s="703" t="str">
        <f t="shared" si="70"/>
        <v/>
      </c>
      <c r="K145" s="703" t="str">
        <f t="shared" si="70"/>
        <v/>
      </c>
      <c r="L145" s="703" t="str">
        <f t="shared" si="70"/>
        <v/>
      </c>
      <c r="M145" s="703" t="str">
        <f t="shared" si="70"/>
        <v/>
      </c>
      <c r="N145" s="703" t="str">
        <f t="shared" si="70"/>
        <v/>
      </c>
      <c r="O145" s="703" t="str">
        <f t="shared" si="70"/>
        <v/>
      </c>
      <c r="P145" s="703" t="str">
        <f t="shared" si="70"/>
        <v/>
      </c>
      <c r="Q145" s="703" t="str">
        <f t="shared" si="70"/>
        <v/>
      </c>
      <c r="R145" s="703" t="str">
        <f t="shared" si="70"/>
        <v/>
      </c>
      <c r="S145" s="703" t="str">
        <f t="shared" si="70"/>
        <v/>
      </c>
    </row>
    <row r="146" spans="2:19">
      <c r="B146" s="691" t="s">
        <v>489</v>
      </c>
      <c r="C146" s="691"/>
      <c r="D146" s="691"/>
      <c r="E146" s="691"/>
      <c r="F146" s="703">
        <f t="shared" ref="F146:S146" si="71">IF(F139="","",F141+F142+F143-F144-F145)</f>
        <v>0</v>
      </c>
      <c r="G146" s="703">
        <f t="shared" si="71"/>
        <v>0</v>
      </c>
      <c r="H146" s="703" t="str">
        <f t="shared" si="71"/>
        <v/>
      </c>
      <c r="I146" s="703" t="str">
        <f t="shared" si="71"/>
        <v/>
      </c>
      <c r="J146" s="703" t="str">
        <f t="shared" si="71"/>
        <v/>
      </c>
      <c r="K146" s="703" t="str">
        <f t="shared" si="71"/>
        <v/>
      </c>
      <c r="L146" s="703" t="str">
        <f t="shared" si="71"/>
        <v/>
      </c>
      <c r="M146" s="703" t="str">
        <f t="shared" si="71"/>
        <v/>
      </c>
      <c r="N146" s="703" t="str">
        <f t="shared" si="71"/>
        <v/>
      </c>
      <c r="O146" s="703" t="str">
        <f t="shared" si="71"/>
        <v/>
      </c>
      <c r="P146" s="703" t="str">
        <f t="shared" si="71"/>
        <v/>
      </c>
      <c r="Q146" s="703" t="str">
        <f t="shared" si="71"/>
        <v/>
      </c>
      <c r="R146" s="703" t="str">
        <f t="shared" si="71"/>
        <v/>
      </c>
      <c r="S146" s="703" t="str">
        <f t="shared" si="71"/>
        <v/>
      </c>
    </row>
    <row r="147" spans="2:19">
      <c r="B147" s="709">
        <f>C140</f>
        <v>0.12</v>
      </c>
      <c r="C147" s="691"/>
      <c r="D147" s="691"/>
      <c r="E147" s="774" t="str">
        <f>IFERROR(IF($D$67="IRR",IRR(F147:S147),SUMIF(F147:S147,"&gt;0")/-SUMIF(F147:S147,"&lt;0")),"NA")</f>
        <v>NA</v>
      </c>
      <c r="F147" s="703">
        <f t="shared" ref="F147:S147" si="72">IF(F139="","",-F143+F144+F145)</f>
        <v>0</v>
      </c>
      <c r="G147" s="703">
        <f t="shared" si="72"/>
        <v>0</v>
      </c>
      <c r="H147" s="703" t="str">
        <f t="shared" si="72"/>
        <v/>
      </c>
      <c r="I147" s="703" t="str">
        <f t="shared" si="72"/>
        <v/>
      </c>
      <c r="J147" s="703" t="str">
        <f t="shared" si="72"/>
        <v/>
      </c>
      <c r="K147" s="703" t="str">
        <f t="shared" si="72"/>
        <v/>
      </c>
      <c r="L147" s="703" t="str">
        <f t="shared" si="72"/>
        <v/>
      </c>
      <c r="M147" s="703" t="str">
        <f t="shared" si="72"/>
        <v/>
      </c>
      <c r="N147" s="703" t="str">
        <f t="shared" si="72"/>
        <v/>
      </c>
      <c r="O147" s="703" t="str">
        <f t="shared" si="72"/>
        <v/>
      </c>
      <c r="P147" s="703" t="str">
        <f t="shared" si="72"/>
        <v/>
      </c>
      <c r="Q147" s="703" t="str">
        <f t="shared" si="72"/>
        <v/>
      </c>
      <c r="R147" s="703" t="str">
        <f t="shared" si="72"/>
        <v/>
      </c>
      <c r="S147" s="703" t="str">
        <f t="shared" si="72"/>
        <v/>
      </c>
    </row>
    <row r="148" spans="2:19">
      <c r="B148" s="713"/>
      <c r="C148" s="713"/>
      <c r="D148" s="713"/>
      <c r="E148" s="713"/>
      <c r="F148" s="778"/>
      <c r="G148" s="778"/>
      <c r="H148" s="778"/>
      <c r="I148" s="778"/>
      <c r="J148" s="778"/>
      <c r="K148" s="778"/>
      <c r="L148" s="778"/>
      <c r="M148" s="778"/>
      <c r="N148" s="778"/>
      <c r="O148" s="778"/>
      <c r="P148" s="778"/>
      <c r="Q148" s="778"/>
      <c r="R148" s="778"/>
      <c r="S148" s="778"/>
    </row>
    <row r="149" spans="2:19">
      <c r="B149" s="691" t="s">
        <v>490</v>
      </c>
      <c r="C149" s="691"/>
      <c r="D149" s="691"/>
      <c r="E149" s="691"/>
      <c r="F149" s="703">
        <f t="shared" ref="F149:S149" si="73">IF(F139="","",F145)</f>
        <v>0</v>
      </c>
      <c r="G149" s="703">
        <f t="shared" si="73"/>
        <v>0</v>
      </c>
      <c r="H149" s="703" t="str">
        <f t="shared" si="73"/>
        <v/>
      </c>
      <c r="I149" s="703" t="str">
        <f t="shared" si="73"/>
        <v/>
      </c>
      <c r="J149" s="703" t="str">
        <f t="shared" si="73"/>
        <v/>
      </c>
      <c r="K149" s="703" t="str">
        <f t="shared" si="73"/>
        <v/>
      </c>
      <c r="L149" s="703" t="str">
        <f t="shared" si="73"/>
        <v/>
      </c>
      <c r="M149" s="703" t="str">
        <f t="shared" si="73"/>
        <v/>
      </c>
      <c r="N149" s="703" t="str">
        <f t="shared" si="73"/>
        <v/>
      </c>
      <c r="O149" s="703" t="str">
        <f t="shared" si="73"/>
        <v/>
      </c>
      <c r="P149" s="703" t="str">
        <f t="shared" si="73"/>
        <v/>
      </c>
      <c r="Q149" s="703" t="str">
        <f t="shared" si="73"/>
        <v/>
      </c>
      <c r="R149" s="703" t="str">
        <f t="shared" si="73"/>
        <v/>
      </c>
      <c r="S149" s="703" t="str">
        <f t="shared" si="73"/>
        <v/>
      </c>
    </row>
    <row r="150" spans="2:19">
      <c r="B150" s="691" t="s">
        <v>494</v>
      </c>
      <c r="C150" s="691"/>
      <c r="D150" s="691"/>
      <c r="E150" s="691"/>
      <c r="F150" s="703">
        <f t="shared" ref="F150:S150" si="74">IF(F139="","",F149/$I$17*$H$17)</f>
        <v>0</v>
      </c>
      <c r="G150" s="703">
        <f t="shared" si="74"/>
        <v>0</v>
      </c>
      <c r="H150" s="703" t="str">
        <f t="shared" si="74"/>
        <v/>
      </c>
      <c r="I150" s="703" t="str">
        <f t="shared" si="74"/>
        <v/>
      </c>
      <c r="J150" s="703" t="str">
        <f t="shared" si="74"/>
        <v/>
      </c>
      <c r="K150" s="703" t="str">
        <f t="shared" si="74"/>
        <v/>
      </c>
      <c r="L150" s="703" t="str">
        <f t="shared" si="74"/>
        <v/>
      </c>
      <c r="M150" s="703" t="str">
        <f t="shared" si="74"/>
        <v/>
      </c>
      <c r="N150" s="703" t="str">
        <f t="shared" si="74"/>
        <v/>
      </c>
      <c r="O150" s="703" t="str">
        <f t="shared" si="74"/>
        <v/>
      </c>
      <c r="P150" s="703" t="str">
        <f t="shared" si="74"/>
        <v/>
      </c>
      <c r="Q150" s="703" t="str">
        <f t="shared" si="74"/>
        <v/>
      </c>
      <c r="R150" s="703" t="str">
        <f t="shared" si="74"/>
        <v/>
      </c>
      <c r="S150" s="703" t="str">
        <f t="shared" si="74"/>
        <v/>
      </c>
    </row>
    <row r="151" spans="2:19">
      <c r="B151" s="691" t="str">
        <f>"Total Distributions ("&amp;B139&amp;")"</f>
        <v>Total Distributions (Tier 2)</v>
      </c>
      <c r="C151" s="691"/>
      <c r="D151" s="691"/>
      <c r="E151" s="691"/>
      <c r="F151" s="703">
        <f t="shared" ref="F151:S151" si="75">IF(F139="","",F149+F150)</f>
        <v>0</v>
      </c>
      <c r="G151" s="703">
        <f t="shared" si="75"/>
        <v>0</v>
      </c>
      <c r="H151" s="703" t="str">
        <f t="shared" si="75"/>
        <v/>
      </c>
      <c r="I151" s="703" t="str">
        <f t="shared" si="75"/>
        <v/>
      </c>
      <c r="J151" s="703" t="str">
        <f t="shared" si="75"/>
        <v/>
      </c>
      <c r="K151" s="703" t="str">
        <f t="shared" si="75"/>
        <v/>
      </c>
      <c r="L151" s="703" t="str">
        <f t="shared" si="75"/>
        <v/>
      </c>
      <c r="M151" s="703" t="str">
        <f t="shared" si="75"/>
        <v/>
      </c>
      <c r="N151" s="703" t="str">
        <f t="shared" si="75"/>
        <v/>
      </c>
      <c r="O151" s="703" t="str">
        <f t="shared" si="75"/>
        <v/>
      </c>
      <c r="P151" s="703" t="str">
        <f t="shared" si="75"/>
        <v/>
      </c>
      <c r="Q151" s="703" t="str">
        <f t="shared" si="75"/>
        <v/>
      </c>
      <c r="R151" s="703" t="str">
        <f t="shared" si="75"/>
        <v/>
      </c>
      <c r="S151" s="703" t="str">
        <f t="shared" si="75"/>
        <v/>
      </c>
    </row>
    <row r="152" spans="2:19">
      <c r="B152" s="691" t="s">
        <v>503</v>
      </c>
      <c r="C152" s="691"/>
      <c r="D152" s="691"/>
      <c r="E152" s="691"/>
      <c r="F152" s="703">
        <f t="shared" ref="F152:S152" si="76">IF(F139="","",MAX(F$61-F136-F151,0))</f>
        <v>0</v>
      </c>
      <c r="G152" s="703">
        <f t="shared" si="76"/>
        <v>0</v>
      </c>
      <c r="H152" s="703" t="str">
        <f t="shared" si="76"/>
        <v/>
      </c>
      <c r="I152" s="703" t="str">
        <f t="shared" si="76"/>
        <v/>
      </c>
      <c r="J152" s="703" t="str">
        <f t="shared" si="76"/>
        <v/>
      </c>
      <c r="K152" s="703" t="str">
        <f t="shared" si="76"/>
        <v/>
      </c>
      <c r="L152" s="703" t="str">
        <f t="shared" si="76"/>
        <v/>
      </c>
      <c r="M152" s="703" t="str">
        <f t="shared" si="76"/>
        <v/>
      </c>
      <c r="N152" s="703" t="str">
        <f t="shared" si="76"/>
        <v/>
      </c>
      <c r="O152" s="703" t="str">
        <f t="shared" si="76"/>
        <v/>
      </c>
      <c r="P152" s="703" t="str">
        <f t="shared" si="76"/>
        <v/>
      </c>
      <c r="Q152" s="703" t="str">
        <f t="shared" si="76"/>
        <v/>
      </c>
      <c r="R152" s="703" t="str">
        <f t="shared" si="76"/>
        <v/>
      </c>
      <c r="S152" s="703" t="str">
        <f t="shared" si="76"/>
        <v/>
      </c>
    </row>
    <row r="153" spans="2:19">
      <c r="B153" s="691"/>
      <c r="C153" s="691"/>
      <c r="D153" s="691"/>
      <c r="E153" s="691"/>
      <c r="F153" s="701"/>
      <c r="G153" s="701"/>
      <c r="H153" s="701"/>
      <c r="I153" s="701"/>
      <c r="J153" s="701"/>
      <c r="K153" s="701"/>
      <c r="L153" s="701"/>
      <c r="M153" s="701"/>
      <c r="N153" s="701"/>
      <c r="O153" s="701"/>
      <c r="P153" s="701"/>
      <c r="Q153" s="701"/>
      <c r="R153" s="701"/>
      <c r="S153" s="701"/>
    </row>
    <row r="154" spans="2:19">
      <c r="B154" s="1045" t="s">
        <v>416</v>
      </c>
      <c r="C154" s="1046"/>
      <c r="D154" s="1046"/>
      <c r="E154" s="1047"/>
      <c r="F154" s="1048" t="s">
        <v>471</v>
      </c>
      <c r="G154" s="1049">
        <f t="shared" ref="G154:S154" si="77">G$20</f>
        <v>1</v>
      </c>
      <c r="H154" s="1049" t="str">
        <f t="shared" si="77"/>
        <v/>
      </c>
      <c r="I154" s="1049" t="str">
        <f t="shared" si="77"/>
        <v/>
      </c>
      <c r="J154" s="1049" t="str">
        <f t="shared" si="77"/>
        <v/>
      </c>
      <c r="K154" s="1049" t="str">
        <f t="shared" si="77"/>
        <v/>
      </c>
      <c r="L154" s="1049" t="str">
        <f t="shared" si="77"/>
        <v/>
      </c>
      <c r="M154" s="1049" t="str">
        <f t="shared" si="77"/>
        <v/>
      </c>
      <c r="N154" s="1049" t="str">
        <f t="shared" si="77"/>
        <v/>
      </c>
      <c r="O154" s="1049" t="str">
        <f t="shared" si="77"/>
        <v/>
      </c>
      <c r="P154" s="1049" t="str">
        <f t="shared" si="77"/>
        <v/>
      </c>
      <c r="Q154" s="1049" t="str">
        <f t="shared" si="77"/>
        <v/>
      </c>
      <c r="R154" s="1049" t="str">
        <f t="shared" si="77"/>
        <v/>
      </c>
      <c r="S154" s="1049" t="str">
        <f t="shared" si="77"/>
        <v/>
      </c>
    </row>
    <row r="155" spans="2:19">
      <c r="B155" s="701" t="s">
        <v>506</v>
      </c>
      <c r="C155" s="777">
        <f>E72</f>
        <v>9.99</v>
      </c>
      <c r="D155" s="691"/>
      <c r="E155" s="691"/>
      <c r="F155" s="701"/>
      <c r="G155" s="708"/>
      <c r="H155" s="708"/>
      <c r="I155" s="708"/>
      <c r="J155" s="708"/>
      <c r="K155" s="708"/>
      <c r="L155" s="708"/>
      <c r="M155" s="708"/>
      <c r="N155" s="708"/>
      <c r="O155" s="708"/>
      <c r="P155" s="708"/>
      <c r="Q155" s="708"/>
      <c r="R155" s="708"/>
      <c r="S155" s="708"/>
    </row>
    <row r="156" spans="2:19">
      <c r="B156" s="691" t="s">
        <v>484</v>
      </c>
      <c r="C156" s="691"/>
      <c r="D156" s="691"/>
      <c r="E156" s="691"/>
      <c r="F156" s="703">
        <f t="shared" ref="F156:P156" si="78">IF(F154="","",E161)</f>
        <v>0</v>
      </c>
      <c r="G156" s="703">
        <f t="shared" si="78"/>
        <v>0</v>
      </c>
      <c r="H156" s="703" t="str">
        <f t="shared" si="78"/>
        <v/>
      </c>
      <c r="I156" s="703" t="str">
        <f t="shared" si="78"/>
        <v/>
      </c>
      <c r="J156" s="703" t="str">
        <f t="shared" si="78"/>
        <v/>
      </c>
      <c r="K156" s="703" t="str">
        <f t="shared" si="78"/>
        <v/>
      </c>
      <c r="L156" s="703" t="str">
        <f t="shared" si="78"/>
        <v/>
      </c>
      <c r="M156" s="703" t="str">
        <f t="shared" si="78"/>
        <v/>
      </c>
      <c r="N156" s="703" t="str">
        <f t="shared" si="78"/>
        <v/>
      </c>
      <c r="O156" s="703" t="str">
        <f t="shared" si="78"/>
        <v/>
      </c>
      <c r="P156" s="703" t="str">
        <f t="shared" si="78"/>
        <v/>
      </c>
      <c r="Q156" s="703" t="str">
        <f>IF(Q154="","",P161)</f>
        <v/>
      </c>
      <c r="R156" s="703" t="str">
        <f>IF(R154="","",Q161)</f>
        <v/>
      </c>
      <c r="S156" s="703" t="str">
        <f>IF(S154="","",R161)</f>
        <v/>
      </c>
    </row>
    <row r="157" spans="2:19">
      <c r="B157" s="691" t="s">
        <v>507</v>
      </c>
      <c r="C157" s="691"/>
      <c r="D157" s="691"/>
      <c r="E157" s="691"/>
      <c r="F157" s="703">
        <f t="shared" ref="F157:P157" si="79">IF(F154="","",IF($D$67="Equity Multiple",E158*$C155-E158,F156*$C155))</f>
        <v>0</v>
      </c>
      <c r="G157" s="703">
        <f t="shared" si="79"/>
        <v>0</v>
      </c>
      <c r="H157" s="703" t="str">
        <f t="shared" si="79"/>
        <v/>
      </c>
      <c r="I157" s="703" t="str">
        <f t="shared" si="79"/>
        <v/>
      </c>
      <c r="J157" s="703" t="str">
        <f t="shared" si="79"/>
        <v/>
      </c>
      <c r="K157" s="703" t="str">
        <f t="shared" si="79"/>
        <v/>
      </c>
      <c r="L157" s="703" t="str">
        <f t="shared" si="79"/>
        <v/>
      </c>
      <c r="M157" s="703" t="str">
        <f t="shared" si="79"/>
        <v/>
      </c>
      <c r="N157" s="703" t="str">
        <f t="shared" si="79"/>
        <v/>
      </c>
      <c r="O157" s="703" t="str">
        <f t="shared" si="79"/>
        <v/>
      </c>
      <c r="P157" s="703" t="str">
        <f t="shared" si="79"/>
        <v/>
      </c>
      <c r="Q157" s="703" t="str">
        <f>IF(Q154="","",IF($D$67="Equity Multiple",P158*$C155-P158,Q156*$C155))</f>
        <v/>
      </c>
      <c r="R157" s="703" t="str">
        <f>IF(R154="","",IF($D$67="Equity Multiple",Q158*$C155-Q158,R156*$C155))</f>
        <v/>
      </c>
      <c r="S157" s="703" t="str">
        <f>IF(S154="","",IF($D$67="Equity Multiple",R158*$C155-R158,S156*$C155))</f>
        <v/>
      </c>
    </row>
    <row r="158" spans="2:19">
      <c r="B158" s="691" t="s">
        <v>487</v>
      </c>
      <c r="C158" s="691"/>
      <c r="D158" s="691"/>
      <c r="E158" s="691"/>
      <c r="F158" s="703">
        <f t="shared" ref="F158:S158" si="80">IF(F154="","",-MIN(0,F$61*$C$11))</f>
        <v>0</v>
      </c>
      <c r="G158" s="703">
        <f t="shared" si="80"/>
        <v>0</v>
      </c>
      <c r="H158" s="703" t="str">
        <f t="shared" si="80"/>
        <v/>
      </c>
      <c r="I158" s="703" t="str">
        <f t="shared" si="80"/>
        <v/>
      </c>
      <c r="J158" s="703" t="str">
        <f t="shared" si="80"/>
        <v/>
      </c>
      <c r="K158" s="703" t="str">
        <f t="shared" si="80"/>
        <v/>
      </c>
      <c r="L158" s="703" t="str">
        <f t="shared" si="80"/>
        <v/>
      </c>
      <c r="M158" s="703" t="str">
        <f t="shared" si="80"/>
        <v/>
      </c>
      <c r="N158" s="703" t="str">
        <f t="shared" si="80"/>
        <v/>
      </c>
      <c r="O158" s="703" t="str">
        <f t="shared" si="80"/>
        <v/>
      </c>
      <c r="P158" s="703" t="str">
        <f t="shared" si="80"/>
        <v/>
      </c>
      <c r="Q158" s="703" t="str">
        <f t="shared" si="80"/>
        <v/>
      </c>
      <c r="R158" s="703" t="str">
        <f t="shared" si="80"/>
        <v/>
      </c>
      <c r="S158" s="703" t="str">
        <f t="shared" si="80"/>
        <v/>
      </c>
    </row>
    <row r="159" spans="2:19">
      <c r="B159" s="691" t="s">
        <v>505</v>
      </c>
      <c r="C159" s="691"/>
      <c r="D159" s="691"/>
      <c r="E159" s="691"/>
      <c r="F159" s="703">
        <f t="shared" ref="F159:S159" si="81">IF(F154="","",F149+F118)</f>
        <v>0</v>
      </c>
      <c r="G159" s="703">
        <f t="shared" si="81"/>
        <v>0</v>
      </c>
      <c r="H159" s="703" t="str">
        <f t="shared" si="81"/>
        <v/>
      </c>
      <c r="I159" s="703" t="str">
        <f t="shared" si="81"/>
        <v/>
      </c>
      <c r="J159" s="703" t="str">
        <f t="shared" si="81"/>
        <v/>
      </c>
      <c r="K159" s="703" t="str">
        <f t="shared" si="81"/>
        <v/>
      </c>
      <c r="L159" s="703" t="str">
        <f t="shared" si="81"/>
        <v/>
      </c>
      <c r="M159" s="703" t="str">
        <f t="shared" si="81"/>
        <v/>
      </c>
      <c r="N159" s="703" t="str">
        <f t="shared" si="81"/>
        <v/>
      </c>
      <c r="O159" s="703" t="str">
        <f t="shared" si="81"/>
        <v/>
      </c>
      <c r="P159" s="703" t="str">
        <f t="shared" si="81"/>
        <v/>
      </c>
      <c r="Q159" s="703" t="str">
        <f t="shared" si="81"/>
        <v/>
      </c>
      <c r="R159" s="703" t="str">
        <f t="shared" si="81"/>
        <v/>
      </c>
      <c r="S159" s="703" t="str">
        <f t="shared" si="81"/>
        <v/>
      </c>
    </row>
    <row r="160" spans="2:19">
      <c r="B160" s="691" t="str">
        <f>"Distributions to LP-B "&amp;B154</f>
        <v>Distributions to LP-B Tier 3</v>
      </c>
      <c r="C160" s="691"/>
      <c r="D160" s="691"/>
      <c r="E160" s="691"/>
      <c r="F160" s="703">
        <f t="shared" ref="F160:S160" si="82">IF(F154="","",MIN(F156+F157-F159,F152*$I$18))</f>
        <v>0</v>
      </c>
      <c r="G160" s="703">
        <f t="shared" si="82"/>
        <v>0</v>
      </c>
      <c r="H160" s="703" t="str">
        <f t="shared" si="82"/>
        <v/>
      </c>
      <c r="I160" s="703" t="str">
        <f t="shared" si="82"/>
        <v/>
      </c>
      <c r="J160" s="703" t="str">
        <f t="shared" si="82"/>
        <v/>
      </c>
      <c r="K160" s="703" t="str">
        <f t="shared" si="82"/>
        <v/>
      </c>
      <c r="L160" s="703" t="str">
        <f t="shared" si="82"/>
        <v/>
      </c>
      <c r="M160" s="703" t="str">
        <f t="shared" si="82"/>
        <v/>
      </c>
      <c r="N160" s="703" t="str">
        <f t="shared" si="82"/>
        <v/>
      </c>
      <c r="O160" s="703" t="str">
        <f t="shared" si="82"/>
        <v/>
      </c>
      <c r="P160" s="703" t="str">
        <f t="shared" si="82"/>
        <v/>
      </c>
      <c r="Q160" s="703" t="str">
        <f t="shared" si="82"/>
        <v/>
      </c>
      <c r="R160" s="703" t="str">
        <f t="shared" si="82"/>
        <v/>
      </c>
      <c r="S160" s="703" t="str">
        <f t="shared" si="82"/>
        <v/>
      </c>
    </row>
    <row r="161" spans="2:19">
      <c r="B161" s="691" t="s">
        <v>489</v>
      </c>
      <c r="C161" s="691"/>
      <c r="D161" s="691"/>
      <c r="E161" s="691"/>
      <c r="F161" s="703">
        <f t="shared" ref="F161:S161" si="83">IF(F154="","",F156+F157+F158-F159-F160)</f>
        <v>0</v>
      </c>
      <c r="G161" s="703">
        <f t="shared" si="83"/>
        <v>0</v>
      </c>
      <c r="H161" s="703" t="str">
        <f t="shared" si="83"/>
        <v/>
      </c>
      <c r="I161" s="703" t="str">
        <f t="shared" si="83"/>
        <v/>
      </c>
      <c r="J161" s="703" t="str">
        <f t="shared" si="83"/>
        <v/>
      </c>
      <c r="K161" s="703" t="str">
        <f t="shared" si="83"/>
        <v/>
      </c>
      <c r="L161" s="703" t="str">
        <f t="shared" si="83"/>
        <v/>
      </c>
      <c r="M161" s="703" t="str">
        <f t="shared" si="83"/>
        <v/>
      </c>
      <c r="N161" s="703" t="str">
        <f t="shared" si="83"/>
        <v/>
      </c>
      <c r="O161" s="703" t="str">
        <f t="shared" si="83"/>
        <v/>
      </c>
      <c r="P161" s="703" t="str">
        <f t="shared" si="83"/>
        <v/>
      </c>
      <c r="Q161" s="703" t="str">
        <f t="shared" si="83"/>
        <v/>
      </c>
      <c r="R161" s="703" t="str">
        <f t="shared" si="83"/>
        <v/>
      </c>
      <c r="S161" s="703" t="str">
        <f t="shared" si="83"/>
        <v/>
      </c>
    </row>
    <row r="162" spans="2:19">
      <c r="B162" s="709">
        <f>C155</f>
        <v>9.99</v>
      </c>
      <c r="C162" s="691"/>
      <c r="D162" s="691"/>
      <c r="E162" s="774" t="str">
        <f>IFERROR(IF($D$67="IRR",IRR(F162:S162),SUMIF(F162:S162,"&gt;0")/-SUMIF(F162:S162,"&lt;0")),"NA")</f>
        <v>NA</v>
      </c>
      <c r="F162" s="703">
        <f t="shared" ref="F162:S162" si="84">IF(F154="","",-F158+F159+F160)</f>
        <v>0</v>
      </c>
      <c r="G162" s="703">
        <f t="shared" si="84"/>
        <v>0</v>
      </c>
      <c r="H162" s="703" t="str">
        <f t="shared" si="84"/>
        <v/>
      </c>
      <c r="I162" s="703" t="str">
        <f t="shared" si="84"/>
        <v/>
      </c>
      <c r="J162" s="703" t="str">
        <f t="shared" si="84"/>
        <v/>
      </c>
      <c r="K162" s="703" t="str">
        <f t="shared" si="84"/>
        <v/>
      </c>
      <c r="L162" s="703" t="str">
        <f t="shared" si="84"/>
        <v/>
      </c>
      <c r="M162" s="703" t="str">
        <f t="shared" si="84"/>
        <v/>
      </c>
      <c r="N162" s="703" t="str">
        <f t="shared" si="84"/>
        <v/>
      </c>
      <c r="O162" s="703" t="str">
        <f t="shared" si="84"/>
        <v/>
      </c>
      <c r="P162" s="703" t="str">
        <f t="shared" si="84"/>
        <v/>
      </c>
      <c r="Q162" s="703" t="str">
        <f t="shared" si="84"/>
        <v/>
      </c>
      <c r="R162" s="703" t="str">
        <f t="shared" si="84"/>
        <v/>
      </c>
      <c r="S162" s="703" t="str">
        <f t="shared" si="84"/>
        <v/>
      </c>
    </row>
    <row r="163" spans="2:19">
      <c r="B163" s="713"/>
      <c r="C163" s="713"/>
      <c r="D163" s="713"/>
      <c r="E163" s="713"/>
      <c r="F163" s="778"/>
      <c r="G163" s="778"/>
      <c r="H163" s="778"/>
      <c r="I163" s="778"/>
      <c r="J163" s="778"/>
      <c r="K163" s="778"/>
      <c r="L163" s="778"/>
      <c r="M163" s="778"/>
      <c r="N163" s="778"/>
      <c r="O163" s="778"/>
      <c r="P163" s="778"/>
      <c r="Q163" s="778"/>
      <c r="R163" s="778"/>
      <c r="S163" s="778"/>
    </row>
    <row r="164" spans="2:19">
      <c r="B164" s="691" t="s">
        <v>490</v>
      </c>
      <c r="C164" s="691"/>
      <c r="D164" s="691"/>
      <c r="E164" s="691"/>
      <c r="F164" s="703">
        <f t="shared" ref="F164:S164" si="85">IF(F154="","",F160)</f>
        <v>0</v>
      </c>
      <c r="G164" s="703">
        <f t="shared" si="85"/>
        <v>0</v>
      </c>
      <c r="H164" s="703" t="str">
        <f t="shared" si="85"/>
        <v/>
      </c>
      <c r="I164" s="703" t="str">
        <f t="shared" si="85"/>
        <v/>
      </c>
      <c r="J164" s="703" t="str">
        <f t="shared" si="85"/>
        <v/>
      </c>
      <c r="K164" s="703" t="str">
        <f t="shared" si="85"/>
        <v/>
      </c>
      <c r="L164" s="703" t="str">
        <f t="shared" si="85"/>
        <v/>
      </c>
      <c r="M164" s="703" t="str">
        <f t="shared" si="85"/>
        <v/>
      </c>
      <c r="N164" s="703" t="str">
        <f t="shared" si="85"/>
        <v/>
      </c>
      <c r="O164" s="703" t="str">
        <f t="shared" si="85"/>
        <v/>
      </c>
      <c r="P164" s="703" t="str">
        <f t="shared" si="85"/>
        <v/>
      </c>
      <c r="Q164" s="703" t="str">
        <f t="shared" si="85"/>
        <v/>
      </c>
      <c r="R164" s="703" t="str">
        <f t="shared" si="85"/>
        <v/>
      </c>
      <c r="S164" s="703" t="str">
        <f t="shared" si="85"/>
        <v/>
      </c>
    </row>
    <row r="165" spans="2:19">
      <c r="B165" s="691" t="s">
        <v>494</v>
      </c>
      <c r="C165" s="691"/>
      <c r="D165" s="691"/>
      <c r="E165" s="691"/>
      <c r="F165" s="703">
        <f t="shared" ref="F165:S165" si="86">IF(F154="","",F164/$I$18*$H$18)</f>
        <v>0</v>
      </c>
      <c r="G165" s="703">
        <f t="shared" si="86"/>
        <v>0</v>
      </c>
      <c r="H165" s="703" t="str">
        <f t="shared" si="86"/>
        <v/>
      </c>
      <c r="I165" s="703" t="str">
        <f t="shared" si="86"/>
        <v/>
      </c>
      <c r="J165" s="703" t="str">
        <f t="shared" si="86"/>
        <v/>
      </c>
      <c r="K165" s="703" t="str">
        <f t="shared" si="86"/>
        <v/>
      </c>
      <c r="L165" s="703" t="str">
        <f t="shared" si="86"/>
        <v/>
      </c>
      <c r="M165" s="703" t="str">
        <f t="shared" si="86"/>
        <v/>
      </c>
      <c r="N165" s="703" t="str">
        <f t="shared" si="86"/>
        <v/>
      </c>
      <c r="O165" s="703" t="str">
        <f t="shared" si="86"/>
        <v/>
      </c>
      <c r="P165" s="703" t="str">
        <f t="shared" si="86"/>
        <v/>
      </c>
      <c r="Q165" s="703" t="str">
        <f t="shared" si="86"/>
        <v/>
      </c>
      <c r="R165" s="703" t="str">
        <f t="shared" si="86"/>
        <v/>
      </c>
      <c r="S165" s="703" t="str">
        <f t="shared" si="86"/>
        <v/>
      </c>
    </row>
    <row r="166" spans="2:19">
      <c r="B166" s="691" t="str">
        <f>"Total Distributions ("&amp;B154&amp;")"</f>
        <v>Total Distributions (Tier 3)</v>
      </c>
      <c r="C166" s="691"/>
      <c r="D166" s="691"/>
      <c r="E166" s="691"/>
      <c r="F166" s="703">
        <f t="shared" ref="F166:S166" si="87">IF(F154="","",F164+F165)</f>
        <v>0</v>
      </c>
      <c r="G166" s="703">
        <f t="shared" si="87"/>
        <v>0</v>
      </c>
      <c r="H166" s="703" t="str">
        <f t="shared" si="87"/>
        <v/>
      </c>
      <c r="I166" s="703" t="str">
        <f t="shared" si="87"/>
        <v/>
      </c>
      <c r="J166" s="703" t="str">
        <f t="shared" si="87"/>
        <v/>
      </c>
      <c r="K166" s="703" t="str">
        <f t="shared" si="87"/>
        <v/>
      </c>
      <c r="L166" s="703" t="str">
        <f t="shared" si="87"/>
        <v/>
      </c>
      <c r="M166" s="703" t="str">
        <f t="shared" si="87"/>
        <v/>
      </c>
      <c r="N166" s="703" t="str">
        <f t="shared" si="87"/>
        <v/>
      </c>
      <c r="O166" s="703" t="str">
        <f t="shared" si="87"/>
        <v/>
      </c>
      <c r="P166" s="703" t="str">
        <f t="shared" si="87"/>
        <v/>
      </c>
      <c r="Q166" s="703" t="str">
        <f t="shared" si="87"/>
        <v/>
      </c>
      <c r="R166" s="703" t="str">
        <f t="shared" si="87"/>
        <v/>
      </c>
      <c r="S166" s="703" t="str">
        <f t="shared" si="87"/>
        <v/>
      </c>
    </row>
    <row r="167" spans="2:19">
      <c r="B167" s="691" t="s">
        <v>503</v>
      </c>
      <c r="C167" s="691"/>
      <c r="D167" s="691"/>
      <c r="E167" s="691"/>
      <c r="F167" s="703">
        <f t="shared" ref="F167:S167" si="88">IF(F154="","",MAX(F$61-F136-F151-F166,0))</f>
        <v>0</v>
      </c>
      <c r="G167" s="703">
        <f t="shared" si="88"/>
        <v>0</v>
      </c>
      <c r="H167" s="703" t="str">
        <f t="shared" si="88"/>
        <v/>
      </c>
      <c r="I167" s="703" t="str">
        <f t="shared" si="88"/>
        <v/>
      </c>
      <c r="J167" s="703" t="str">
        <f t="shared" si="88"/>
        <v/>
      </c>
      <c r="K167" s="703" t="str">
        <f t="shared" si="88"/>
        <v/>
      </c>
      <c r="L167" s="703" t="str">
        <f t="shared" si="88"/>
        <v/>
      </c>
      <c r="M167" s="703" t="str">
        <f t="shared" si="88"/>
        <v/>
      </c>
      <c r="N167" s="703" t="str">
        <f t="shared" si="88"/>
        <v/>
      </c>
      <c r="O167" s="703" t="str">
        <f t="shared" si="88"/>
        <v/>
      </c>
      <c r="P167" s="703" t="str">
        <f t="shared" si="88"/>
        <v/>
      </c>
      <c r="Q167" s="703" t="str">
        <f t="shared" si="88"/>
        <v/>
      </c>
      <c r="R167" s="703" t="str">
        <f t="shared" si="88"/>
        <v/>
      </c>
      <c r="S167" s="703" t="str">
        <f t="shared" si="88"/>
        <v/>
      </c>
    </row>
    <row r="168" spans="2:19">
      <c r="F168" s="688"/>
      <c r="G168" s="688"/>
      <c r="H168" s="688"/>
      <c r="I168" s="688"/>
      <c r="J168" s="688"/>
      <c r="K168" s="688"/>
      <c r="L168" s="688"/>
      <c r="M168" s="688"/>
      <c r="N168" s="688"/>
      <c r="O168" s="688"/>
      <c r="P168" s="688"/>
    </row>
    <row r="169" spans="2:19" ht="20">
      <c r="B169" s="795" t="s">
        <v>508</v>
      </c>
      <c r="C169" s="795"/>
      <c r="D169" s="795"/>
      <c r="E169" s="795"/>
      <c r="F169" s="796"/>
      <c r="G169" s="796"/>
      <c r="H169" s="796"/>
      <c r="I169" s="796"/>
      <c r="J169" s="796"/>
      <c r="K169" s="796"/>
      <c r="L169" s="796"/>
      <c r="M169" s="796"/>
      <c r="N169" s="796"/>
      <c r="O169" s="796"/>
      <c r="P169" s="796"/>
      <c r="Q169" s="796"/>
      <c r="R169" s="796"/>
      <c r="S169" s="797"/>
    </row>
    <row r="170" spans="2:19" ht="17" thickBot="1">
      <c r="B170" s="693"/>
      <c r="C170" s="693"/>
      <c r="D170" s="714" t="s">
        <v>418</v>
      </c>
      <c r="E170" s="693"/>
      <c r="F170" s="693"/>
      <c r="G170" s="693"/>
      <c r="H170" s="693"/>
      <c r="I170" s="693"/>
      <c r="J170" s="693"/>
      <c r="K170" s="693"/>
      <c r="L170" s="693"/>
      <c r="M170" s="693"/>
      <c r="N170" s="693"/>
      <c r="O170" s="693"/>
      <c r="P170" s="693"/>
      <c r="Q170" s="691"/>
      <c r="R170" s="691"/>
      <c r="S170" s="691"/>
    </row>
    <row r="171" spans="2:19" ht="16" customHeight="1">
      <c r="B171" s="1050"/>
      <c r="C171" s="1050"/>
      <c r="D171" s="1050"/>
      <c r="E171" s="1050"/>
      <c r="F171" s="1192" t="s">
        <v>436</v>
      </c>
      <c r="G171" s="1192"/>
      <c r="H171" s="1050" t="s">
        <v>437</v>
      </c>
      <c r="I171" s="1050"/>
      <c r="J171" s="1050"/>
      <c r="K171" s="1050"/>
      <c r="L171" s="1050"/>
      <c r="M171" s="1050"/>
      <c r="N171" s="1050"/>
      <c r="O171" s="1050"/>
      <c r="P171" s="721" t="s">
        <v>430</v>
      </c>
      <c r="Q171" s="798" t="e">
        <f>IF(ROUND(Q172,0)=ROUND(Q173,0),"OK","Error")</f>
        <v>#VALUE!</v>
      </c>
      <c r="R171" s="1050"/>
      <c r="S171" s="1050"/>
    </row>
    <row r="172" spans="2:19">
      <c r="B172" s="1045" t="str">
        <f>IF(D170="Equity Multiple","Partnership Distribution Assumptions (Equity Multiple Hurdles)","Partnership Distribution Assumptions (IRR Hurdles)")</f>
        <v>Partnership Distribution Assumptions (Equity Multiple Hurdles)</v>
      </c>
      <c r="C172" s="1045"/>
      <c r="D172" s="1045"/>
      <c r="E172" s="1045"/>
      <c r="F172" s="1193"/>
      <c r="G172" s="1193"/>
      <c r="H172" s="1045" t="s">
        <v>438</v>
      </c>
      <c r="I172" s="1045" t="s">
        <v>439</v>
      </c>
      <c r="J172" s="1045" t="s">
        <v>440</v>
      </c>
      <c r="K172" s="1045"/>
      <c r="L172" s="1045"/>
      <c r="M172" s="1045"/>
      <c r="N172" s="1045"/>
      <c r="O172" s="1045"/>
      <c r="P172" s="799" t="s">
        <v>477</v>
      </c>
      <c r="Q172" s="725">
        <f>(D179+D186+D194)/1000000</f>
        <v>0</v>
      </c>
      <c r="R172" s="1045"/>
      <c r="S172" s="1045"/>
    </row>
    <row r="173" spans="2:19" ht="17" thickBot="1">
      <c r="B173" s="691" t="str">
        <f>B16</f>
        <v>Tier 1 (Pref + Return of Capital)</v>
      </c>
      <c r="C173" s="729" t="s">
        <v>418</v>
      </c>
      <c r="D173" s="730"/>
      <c r="E173" s="779">
        <f>C174</f>
        <v>1.5</v>
      </c>
      <c r="F173" s="732"/>
      <c r="G173" s="733"/>
      <c r="H173" s="768">
        <f>IF(H16="","",H16)</f>
        <v>0.1</v>
      </c>
      <c r="I173" s="696">
        <f>1-H173</f>
        <v>0.9</v>
      </c>
      <c r="J173" s="1191" t="str">
        <f>IF(I173=$C$11,"Pref prorata to LP/GP, then Pro rata return of capital",IF($A$6,"Return of capital and Pref NOT pro rata + GP Catch Up","Return of capital and Pref NOT pro rata"))</f>
        <v>Return of capital and Pref NOT pro rata</v>
      </c>
      <c r="K173" s="1191"/>
      <c r="L173" s="1191"/>
      <c r="M173" s="1191"/>
      <c r="N173" s="1191"/>
      <c r="O173" s="693"/>
      <c r="P173" s="726" t="s">
        <v>671</v>
      </c>
      <c r="Q173" s="727" t="e" cm="1">
        <f t="array" ref="Q173">SUMPRODUCT((F203:P203&gt;0)*F203:P203)/1000000</f>
        <v>#VALUE!</v>
      </c>
      <c r="R173" s="691"/>
      <c r="S173" s="691"/>
    </row>
    <row r="174" spans="2:19">
      <c r="B174" s="691" t="str">
        <f>B17</f>
        <v>Tier 2 (Promote)</v>
      </c>
      <c r="C174" s="780">
        <f>C17</f>
        <v>1.5</v>
      </c>
      <c r="D174" s="736"/>
      <c r="E174" s="779">
        <f>IF($B$274&lt;3,99,C175)</f>
        <v>1.75</v>
      </c>
      <c r="F174" s="734"/>
      <c r="G174" s="696"/>
      <c r="H174" s="768">
        <f>IF(H17="","",H17)</f>
        <v>0.49</v>
      </c>
      <c r="I174" s="696">
        <f>1-H174</f>
        <v>0.51</v>
      </c>
      <c r="J174" s="1191" t="str">
        <f>IF($C$9&lt;&gt;H173,TEXT(I173,"0.0%")&amp;"/"&amp;TEXT(H173,"0.0%")&amp;" to "&amp;(IF(D170="IRR",TEXT(E173,"0.0%"),TEXT(E173,"0.0X")))&amp;", then "&amp;TEXT(I174,"0.0%")&amp;"/"&amp;TEXT(H174,"0.0%")&amp;" to "&amp;(IF(D170="IRR",TEXT(E174,"0.0%"),TEXT(E174,"0.0X"))),"Prorata to LP/GP to "&amp;(IF(D170="IRR",TEXT(E173,"0.0%"),TEXT(E173,"0.0X")))&amp;", then "&amp;TEXT(I174,"0.0%")&amp;"/"&amp;TEXT(H174,"0.0%")&amp;" to "&amp;(IF(D170="IRR",TEXT(E174,"0.0%"),TEXT(E174,"0.0X"))))</f>
        <v>Prorata to LP/GP to 1.5X, then 51.0%/49.0% to 1.8X</v>
      </c>
      <c r="K174" s="1191"/>
      <c r="L174" s="1191"/>
      <c r="M174" s="1191"/>
      <c r="N174" s="1191"/>
      <c r="O174" s="693"/>
      <c r="P174" s="693"/>
      <c r="Q174" s="691"/>
      <c r="R174" s="691"/>
      <c r="S174" s="691"/>
    </row>
    <row r="175" spans="2:19">
      <c r="B175" s="691" t="str">
        <f>B18</f>
        <v>Tier 3 (Promote)</v>
      </c>
      <c r="C175" s="780">
        <f>C18</f>
        <v>1.75</v>
      </c>
      <c r="D175" s="736"/>
      <c r="E175" s="779">
        <v>99</v>
      </c>
      <c r="F175" s="734"/>
      <c r="G175" s="696"/>
      <c r="H175" s="768">
        <f>IF(H18="","",H18)</f>
        <v>0.54999999999999993</v>
      </c>
      <c r="I175" s="696">
        <f>1-H175</f>
        <v>0.45000000000000007</v>
      </c>
      <c r="J175" s="1191" t="str">
        <f>TEXT(I174,"0.0%")&amp;"/"&amp;TEXT(H174,"0.0%")&amp;" to "&amp;(IF(D170="IRR",TEXT(E174,"0.0%"),TEXT(E174,"0.0X")))&amp;", then "&amp;TEXT(I175,"0.0%")&amp;"/"&amp;TEXT(H175,"0.0%")&amp;" to "&amp;(IF(D170="IRR",TEXT(E175,"0.0%"),TEXT(E175,"0.0X")))</f>
        <v>51.0%/49.0% to 1.8X, then 45.0%/55.0% to 99.0X</v>
      </c>
      <c r="K175" s="1191"/>
      <c r="L175" s="1191"/>
      <c r="M175" s="1191"/>
      <c r="N175" s="1191"/>
      <c r="O175" s="693"/>
      <c r="P175" s="693"/>
      <c r="Q175" s="691"/>
      <c r="R175" s="691"/>
      <c r="S175" s="691"/>
    </row>
    <row r="176" spans="2:19">
      <c r="B176" s="691"/>
      <c r="C176" s="691"/>
      <c r="D176" s="739"/>
      <c r="E176" s="737"/>
      <c r="F176" s="720"/>
      <c r="G176" s="740"/>
      <c r="H176" s="697"/>
      <c r="I176" s="697"/>
      <c r="J176" s="693"/>
      <c r="K176" s="693"/>
      <c r="L176" s="693"/>
      <c r="M176" s="693"/>
      <c r="N176" s="693"/>
      <c r="O176" s="693"/>
      <c r="P176" s="693"/>
      <c r="Q176" s="691"/>
      <c r="R176" s="691"/>
      <c r="S176" s="691"/>
    </row>
    <row r="177" spans="2:19">
      <c r="B177" s="1045" t="s">
        <v>445</v>
      </c>
      <c r="C177" s="1046"/>
      <c r="D177" s="1046"/>
      <c r="E177" s="1047"/>
      <c r="F177" s="1049">
        <v>0</v>
      </c>
      <c r="G177" s="1049">
        <f t="shared" ref="G177:P177" si="89">IF(G203="","",F177+1)</f>
        <v>1</v>
      </c>
      <c r="H177" s="1049" t="str">
        <f t="shared" si="89"/>
        <v/>
      </c>
      <c r="I177" s="1049" t="str">
        <f t="shared" si="89"/>
        <v/>
      </c>
      <c r="J177" s="1049" t="str">
        <f t="shared" si="89"/>
        <v/>
      </c>
      <c r="K177" s="1049" t="str">
        <f t="shared" si="89"/>
        <v/>
      </c>
      <c r="L177" s="1049" t="str">
        <f t="shared" si="89"/>
        <v/>
      </c>
      <c r="M177" s="1049" t="str">
        <f t="shared" si="89"/>
        <v/>
      </c>
      <c r="N177" s="1049" t="str">
        <f t="shared" si="89"/>
        <v/>
      </c>
      <c r="O177" s="1049" t="str">
        <f t="shared" si="89"/>
        <v/>
      </c>
      <c r="P177" s="1049" t="str">
        <f t="shared" si="89"/>
        <v/>
      </c>
      <c r="Q177" s="1049" t="str">
        <f>IF(Q203="","",P177+1)</f>
        <v/>
      </c>
      <c r="R177" s="1049" t="str">
        <f>IF(R203="","",Q177+1)</f>
        <v/>
      </c>
      <c r="S177" s="1049" t="str">
        <f>IF(S203="","",R177+1)</f>
        <v/>
      </c>
    </row>
    <row r="178" spans="2:19">
      <c r="B178" s="741" t="s">
        <v>447</v>
      </c>
      <c r="C178" s="691"/>
      <c r="D178" s="739"/>
      <c r="E178" s="737"/>
      <c r="F178" s="742"/>
      <c r="G178" s="743"/>
      <c r="H178" s="700"/>
      <c r="I178" s="700"/>
      <c r="J178" s="701"/>
      <c r="K178" s="701"/>
      <c r="L178" s="701"/>
      <c r="M178" s="701"/>
      <c r="N178" s="701"/>
      <c r="O178" s="701"/>
      <c r="P178" s="701"/>
      <c r="Q178" s="701"/>
      <c r="R178" s="701"/>
      <c r="S178" s="701"/>
    </row>
    <row r="179" spans="2:19">
      <c r="B179" s="702" t="s">
        <v>451</v>
      </c>
      <c r="C179" s="691"/>
      <c r="D179" s="745">
        <f>SUM(F179:S179)</f>
        <v>0</v>
      </c>
      <c r="E179" s="737"/>
      <c r="F179" s="719">
        <f t="shared" ref="F179:P179" si="90">IF(F177="","",F220+F251+F266)</f>
        <v>0</v>
      </c>
      <c r="G179" s="719">
        <f t="shared" si="90"/>
        <v>0</v>
      </c>
      <c r="H179" s="719" t="str">
        <f t="shared" si="90"/>
        <v/>
      </c>
      <c r="I179" s="719" t="str">
        <f t="shared" si="90"/>
        <v/>
      </c>
      <c r="J179" s="719" t="str">
        <f t="shared" si="90"/>
        <v/>
      </c>
      <c r="K179" s="719" t="str">
        <f t="shared" si="90"/>
        <v/>
      </c>
      <c r="L179" s="719" t="str">
        <f t="shared" si="90"/>
        <v/>
      </c>
      <c r="M179" s="719" t="str">
        <f t="shared" si="90"/>
        <v/>
      </c>
      <c r="N179" s="719" t="str">
        <f t="shared" si="90"/>
        <v/>
      </c>
      <c r="O179" s="719" t="str">
        <f t="shared" si="90"/>
        <v/>
      </c>
      <c r="P179" s="719" t="str">
        <f t="shared" si="90"/>
        <v/>
      </c>
      <c r="Q179" s="719" t="str">
        <f>IF(Q177="","",Q220+Q251+Q266)</f>
        <v/>
      </c>
      <c r="R179" s="719" t="str">
        <f>IF(R177="","",R220+R251+R266)</f>
        <v/>
      </c>
      <c r="S179" s="719" t="str">
        <f>IF(S177="","",S220+S251+S266)</f>
        <v/>
      </c>
    </row>
    <row r="180" spans="2:19">
      <c r="B180" s="702" t="s">
        <v>452</v>
      </c>
      <c r="C180" s="691"/>
      <c r="D180" s="745">
        <f>SUM(F180:S180)</f>
        <v>0</v>
      </c>
      <c r="E180" s="737"/>
      <c r="F180" s="719">
        <f t="shared" ref="F180:S180" si="91">F216</f>
        <v>0</v>
      </c>
      <c r="G180" s="719">
        <f t="shared" si="91"/>
        <v>0</v>
      </c>
      <c r="H180" s="719" t="str">
        <f t="shared" si="91"/>
        <v/>
      </c>
      <c r="I180" s="719" t="str">
        <f t="shared" si="91"/>
        <v/>
      </c>
      <c r="J180" s="719" t="str">
        <f t="shared" si="91"/>
        <v/>
      </c>
      <c r="K180" s="719" t="str">
        <f t="shared" si="91"/>
        <v/>
      </c>
      <c r="L180" s="719" t="str">
        <f t="shared" si="91"/>
        <v/>
      </c>
      <c r="M180" s="719" t="str">
        <f t="shared" si="91"/>
        <v/>
      </c>
      <c r="N180" s="719" t="str">
        <f t="shared" si="91"/>
        <v/>
      </c>
      <c r="O180" s="719" t="str">
        <f t="shared" si="91"/>
        <v/>
      </c>
      <c r="P180" s="719" t="str">
        <f t="shared" si="91"/>
        <v/>
      </c>
      <c r="Q180" s="719" t="str">
        <f t="shared" si="91"/>
        <v/>
      </c>
      <c r="R180" s="719" t="str">
        <f t="shared" si="91"/>
        <v/>
      </c>
      <c r="S180" s="719" t="str">
        <f t="shared" si="91"/>
        <v/>
      </c>
    </row>
    <row r="181" spans="2:19">
      <c r="B181" s="702" t="s">
        <v>453</v>
      </c>
      <c r="C181" s="691"/>
      <c r="D181" s="809">
        <f>D179-D180</f>
        <v>0</v>
      </c>
      <c r="E181" s="737"/>
      <c r="F181" s="748"/>
      <c r="G181" s="719"/>
      <c r="H181" s="703"/>
      <c r="I181" s="703"/>
      <c r="J181" s="703"/>
      <c r="K181" s="703"/>
      <c r="L181" s="703"/>
      <c r="M181" s="703"/>
      <c r="N181" s="703"/>
      <c r="O181" s="703"/>
      <c r="P181" s="703"/>
      <c r="Q181" s="703"/>
      <c r="R181" s="703"/>
      <c r="S181" s="703"/>
    </row>
    <row r="182" spans="2:19">
      <c r="B182" s="702" t="s">
        <v>454</v>
      </c>
      <c r="C182" s="691"/>
      <c r="D182" s="810" t="str">
        <f>IFERROR(IRR(F182:S182),"NA")</f>
        <v>NA</v>
      </c>
      <c r="E182" s="737"/>
      <c r="F182" s="719">
        <f t="shared" ref="F182:S182" si="92">IF(F177="","",(-F180)+F179)</f>
        <v>0</v>
      </c>
      <c r="G182" s="719">
        <f t="shared" si="92"/>
        <v>0</v>
      </c>
      <c r="H182" s="719" t="str">
        <f t="shared" si="92"/>
        <v/>
      </c>
      <c r="I182" s="719" t="str">
        <f t="shared" si="92"/>
        <v/>
      </c>
      <c r="J182" s="719" t="str">
        <f t="shared" si="92"/>
        <v/>
      </c>
      <c r="K182" s="719" t="str">
        <f t="shared" si="92"/>
        <v/>
      </c>
      <c r="L182" s="719" t="str">
        <f t="shared" si="92"/>
        <v/>
      </c>
      <c r="M182" s="719" t="str">
        <f t="shared" si="92"/>
        <v/>
      </c>
      <c r="N182" s="719" t="str">
        <f t="shared" si="92"/>
        <v/>
      </c>
      <c r="O182" s="719" t="str">
        <f t="shared" si="92"/>
        <v/>
      </c>
      <c r="P182" s="719" t="str">
        <f t="shared" si="92"/>
        <v/>
      </c>
      <c r="Q182" s="719" t="str">
        <f t="shared" si="92"/>
        <v/>
      </c>
      <c r="R182" s="719" t="str">
        <f t="shared" si="92"/>
        <v/>
      </c>
      <c r="S182" s="719" t="str">
        <f t="shared" si="92"/>
        <v/>
      </c>
    </row>
    <row r="183" spans="2:19">
      <c r="B183" s="702" t="s">
        <v>455</v>
      </c>
      <c r="C183" s="691"/>
      <c r="D183" s="749" t="e">
        <f>D179/D180</f>
        <v>#DIV/0!</v>
      </c>
      <c r="E183" s="737"/>
      <c r="F183" s="748"/>
      <c r="G183" s="719"/>
      <c r="H183" s="703"/>
      <c r="I183" s="703"/>
      <c r="J183" s="703"/>
      <c r="K183" s="703"/>
      <c r="L183" s="703"/>
      <c r="M183" s="703"/>
      <c r="N183" s="703"/>
      <c r="O183" s="703"/>
      <c r="P183" s="703"/>
      <c r="Q183" s="703"/>
      <c r="R183" s="703"/>
      <c r="S183" s="703"/>
    </row>
    <row r="184" spans="2:19">
      <c r="B184" s="755"/>
      <c r="C184" s="750"/>
      <c r="D184" s="752"/>
      <c r="E184" s="753"/>
      <c r="F184" s="754"/>
      <c r="G184" s="754"/>
      <c r="H184" s="754"/>
      <c r="I184" s="754"/>
      <c r="J184" s="754"/>
      <c r="K184" s="754"/>
      <c r="L184" s="754"/>
      <c r="M184" s="754"/>
      <c r="N184" s="754"/>
      <c r="O184" s="754"/>
      <c r="P184" s="754"/>
      <c r="Q184" s="754"/>
      <c r="R184" s="754"/>
      <c r="S184" s="754"/>
    </row>
    <row r="185" spans="2:19">
      <c r="B185" s="751" t="s">
        <v>456</v>
      </c>
      <c r="C185" s="750"/>
      <c r="D185" s="752"/>
      <c r="E185" s="753"/>
      <c r="F185" s="754" t="str">
        <f t="shared" ref="F185:P185" si="93">IF(F$176="","",F235)</f>
        <v/>
      </c>
      <c r="G185" s="754" t="str">
        <f t="shared" si="93"/>
        <v/>
      </c>
      <c r="H185" s="754" t="str">
        <f t="shared" si="93"/>
        <v/>
      </c>
      <c r="I185" s="754" t="str">
        <f t="shared" si="93"/>
        <v/>
      </c>
      <c r="J185" s="754" t="str">
        <f t="shared" si="93"/>
        <v/>
      </c>
      <c r="K185" s="754" t="str">
        <f t="shared" si="93"/>
        <v/>
      </c>
      <c r="L185" s="754" t="str">
        <f t="shared" si="93"/>
        <v/>
      </c>
      <c r="M185" s="754" t="str">
        <f t="shared" si="93"/>
        <v/>
      </c>
      <c r="N185" s="754" t="str">
        <f t="shared" si="93"/>
        <v/>
      </c>
      <c r="O185" s="754" t="str">
        <f t="shared" si="93"/>
        <v/>
      </c>
      <c r="P185" s="754" t="str">
        <f t="shared" si="93"/>
        <v/>
      </c>
      <c r="Q185" s="754"/>
      <c r="R185" s="754"/>
      <c r="S185" s="754"/>
    </row>
    <row r="186" spans="2:19">
      <c r="B186" s="755" t="s">
        <v>459</v>
      </c>
      <c r="C186" s="750"/>
      <c r="D186" s="756">
        <f>SUM(F186:S186)</f>
        <v>0</v>
      </c>
      <c r="E186" s="753"/>
      <c r="F186" s="754">
        <f t="shared" ref="F186:P186" si="94">IF(F$177="","",F235)</f>
        <v>0</v>
      </c>
      <c r="G186" s="754">
        <f t="shared" si="94"/>
        <v>0</v>
      </c>
      <c r="H186" s="754" t="str">
        <f t="shared" si="94"/>
        <v/>
      </c>
      <c r="I186" s="754" t="str">
        <f t="shared" si="94"/>
        <v/>
      </c>
      <c r="J186" s="754" t="str">
        <f t="shared" si="94"/>
        <v/>
      </c>
      <c r="K186" s="754" t="str">
        <f t="shared" si="94"/>
        <v/>
      </c>
      <c r="L186" s="754" t="str">
        <f t="shared" si="94"/>
        <v/>
      </c>
      <c r="M186" s="754" t="str">
        <f t="shared" si="94"/>
        <v/>
      </c>
      <c r="N186" s="754" t="str">
        <f t="shared" si="94"/>
        <v/>
      </c>
      <c r="O186" s="754" t="str">
        <f t="shared" si="94"/>
        <v/>
      </c>
      <c r="P186" s="754" t="str">
        <f t="shared" si="94"/>
        <v/>
      </c>
      <c r="Q186" s="754"/>
      <c r="R186" s="754"/>
      <c r="S186" s="754"/>
    </row>
    <row r="187" spans="2:19">
      <c r="B187" s="755" t="s">
        <v>460</v>
      </c>
      <c r="C187" s="750"/>
      <c r="D187" s="756">
        <f>SUM(F187:S187)</f>
        <v>0</v>
      </c>
      <c r="E187" s="753"/>
      <c r="F187" s="754">
        <f t="shared" ref="F187:P187" si="95">F231</f>
        <v>0</v>
      </c>
      <c r="G187" s="754">
        <f t="shared" si="95"/>
        <v>0</v>
      </c>
      <c r="H187" s="754" t="str">
        <f t="shared" si="95"/>
        <v/>
      </c>
      <c r="I187" s="754" t="str">
        <f t="shared" si="95"/>
        <v/>
      </c>
      <c r="J187" s="754" t="str">
        <f t="shared" si="95"/>
        <v/>
      </c>
      <c r="K187" s="754" t="str">
        <f t="shared" si="95"/>
        <v/>
      </c>
      <c r="L187" s="754" t="str">
        <f t="shared" si="95"/>
        <v/>
      </c>
      <c r="M187" s="754" t="str">
        <f t="shared" si="95"/>
        <v/>
      </c>
      <c r="N187" s="754" t="str">
        <f t="shared" si="95"/>
        <v/>
      </c>
      <c r="O187" s="754" t="str">
        <f t="shared" si="95"/>
        <v/>
      </c>
      <c r="P187" s="754" t="str">
        <f t="shared" si="95"/>
        <v/>
      </c>
      <c r="Q187" s="754"/>
      <c r="R187" s="754"/>
      <c r="S187" s="754"/>
    </row>
    <row r="188" spans="2:19">
      <c r="B188" s="755" t="s">
        <v>461</v>
      </c>
      <c r="C188" s="750"/>
      <c r="D188" s="756">
        <f>D186-D187</f>
        <v>0</v>
      </c>
      <c r="E188" s="753"/>
      <c r="F188" s="754"/>
      <c r="G188" s="754"/>
      <c r="H188" s="754"/>
      <c r="I188" s="754"/>
      <c r="J188" s="754"/>
      <c r="K188" s="754"/>
      <c r="L188" s="754"/>
      <c r="M188" s="754"/>
      <c r="N188" s="754"/>
      <c r="O188" s="754"/>
      <c r="P188" s="754"/>
      <c r="Q188" s="754"/>
      <c r="R188" s="754"/>
      <c r="S188" s="754"/>
    </row>
    <row r="189" spans="2:19">
      <c r="B189" s="755" t="s">
        <v>462</v>
      </c>
      <c r="C189" s="750"/>
      <c r="D189" s="757" t="str">
        <f>IFERROR(IRR(F189:S189),"NA")</f>
        <v>NA</v>
      </c>
      <c r="E189" s="753"/>
      <c r="F189" s="754">
        <f t="shared" ref="F189:P189" si="96">IF(F177="","",(-F187)+F186)</f>
        <v>0</v>
      </c>
      <c r="G189" s="754">
        <f t="shared" si="96"/>
        <v>0</v>
      </c>
      <c r="H189" s="754" t="str">
        <f t="shared" si="96"/>
        <v/>
      </c>
      <c r="I189" s="754" t="str">
        <f t="shared" si="96"/>
        <v/>
      </c>
      <c r="J189" s="754" t="str">
        <f t="shared" si="96"/>
        <v/>
      </c>
      <c r="K189" s="754" t="str">
        <f t="shared" si="96"/>
        <v/>
      </c>
      <c r="L189" s="754" t="str">
        <f t="shared" si="96"/>
        <v/>
      </c>
      <c r="M189" s="754" t="str">
        <f t="shared" si="96"/>
        <v/>
      </c>
      <c r="N189" s="754" t="str">
        <f t="shared" si="96"/>
        <v/>
      </c>
      <c r="O189" s="754" t="str">
        <f t="shared" si="96"/>
        <v/>
      </c>
      <c r="P189" s="754" t="str">
        <f t="shared" si="96"/>
        <v/>
      </c>
      <c r="Q189" s="754"/>
      <c r="R189" s="754"/>
      <c r="S189" s="754"/>
    </row>
    <row r="190" spans="2:19">
      <c r="B190" s="755" t="s">
        <v>463</v>
      </c>
      <c r="C190" s="750"/>
      <c r="D190" s="811" t="str">
        <f>IFERROR(D186/D187,"NA")</f>
        <v>NA</v>
      </c>
      <c r="E190" s="753"/>
      <c r="F190" s="754"/>
      <c r="G190" s="754"/>
      <c r="H190" s="754"/>
      <c r="I190" s="754"/>
      <c r="J190" s="754"/>
      <c r="K190" s="754"/>
      <c r="L190" s="754"/>
      <c r="M190" s="754"/>
      <c r="N190" s="754"/>
      <c r="O190" s="754"/>
      <c r="P190" s="754"/>
      <c r="Q190" s="754"/>
      <c r="R190" s="754"/>
      <c r="S190" s="754"/>
    </row>
    <row r="191" spans="2:19">
      <c r="B191" s="755"/>
      <c r="C191" s="750"/>
      <c r="D191" s="752"/>
      <c r="E191" s="753"/>
      <c r="F191" s="754"/>
      <c r="G191" s="754"/>
      <c r="H191" s="754"/>
      <c r="I191" s="754"/>
      <c r="J191" s="754"/>
      <c r="K191" s="754"/>
      <c r="L191" s="754"/>
      <c r="M191" s="754"/>
      <c r="N191" s="754"/>
      <c r="O191" s="754"/>
      <c r="P191" s="754"/>
      <c r="Q191" s="754"/>
      <c r="R191" s="754"/>
      <c r="S191" s="754"/>
    </row>
    <row r="192" spans="2:19">
      <c r="B192" s="702"/>
      <c r="C192" s="691"/>
      <c r="D192" s="739"/>
      <c r="E192" s="737"/>
      <c r="F192" s="748"/>
      <c r="G192" s="719"/>
      <c r="H192" s="703"/>
      <c r="I192" s="703"/>
      <c r="J192" s="703"/>
      <c r="K192" s="703"/>
      <c r="L192" s="703"/>
      <c r="M192" s="703"/>
      <c r="N192" s="703"/>
      <c r="O192" s="703"/>
      <c r="P192" s="703"/>
      <c r="Q192" s="703"/>
      <c r="R192" s="703"/>
      <c r="S192" s="703"/>
    </row>
    <row r="193" spans="2:19">
      <c r="B193" s="741" t="s">
        <v>464</v>
      </c>
      <c r="C193" s="691"/>
      <c r="D193" s="739"/>
      <c r="E193" s="737"/>
      <c r="F193" s="748"/>
      <c r="G193" s="719"/>
      <c r="H193" s="703"/>
      <c r="I193" s="703"/>
      <c r="J193" s="703"/>
      <c r="K193" s="703"/>
      <c r="L193" s="703"/>
      <c r="M193" s="703"/>
      <c r="N193" s="703"/>
      <c r="O193" s="703"/>
      <c r="P193" s="703"/>
      <c r="Q193" s="703"/>
      <c r="R193" s="703"/>
      <c r="S193" s="703"/>
    </row>
    <row r="194" spans="2:19">
      <c r="B194" s="702" t="s">
        <v>465</v>
      </c>
      <c r="C194" s="691"/>
      <c r="D194" s="719">
        <f>SUM(F194:S194)</f>
        <v>0</v>
      </c>
      <c r="E194" s="737"/>
      <c r="F194" s="719">
        <f t="shared" ref="F194:P194" si="97">IF(F177="","",F225+F252+F267)</f>
        <v>0</v>
      </c>
      <c r="G194" s="719">
        <f t="shared" si="97"/>
        <v>0</v>
      </c>
      <c r="H194" s="719" t="str">
        <f t="shared" si="97"/>
        <v/>
      </c>
      <c r="I194" s="719" t="str">
        <f t="shared" si="97"/>
        <v/>
      </c>
      <c r="J194" s="719" t="str">
        <f t="shared" si="97"/>
        <v/>
      </c>
      <c r="K194" s="719" t="str">
        <f t="shared" si="97"/>
        <v/>
      </c>
      <c r="L194" s="719" t="str">
        <f t="shared" si="97"/>
        <v/>
      </c>
      <c r="M194" s="719" t="str">
        <f t="shared" si="97"/>
        <v/>
      </c>
      <c r="N194" s="719" t="str">
        <f t="shared" si="97"/>
        <v/>
      </c>
      <c r="O194" s="719" t="str">
        <f t="shared" si="97"/>
        <v/>
      </c>
      <c r="P194" s="719" t="str">
        <f t="shared" si="97"/>
        <v/>
      </c>
      <c r="Q194" s="719" t="str">
        <f>IF(Q177="","",Q225+Q252+Q267)</f>
        <v/>
      </c>
      <c r="R194" s="719" t="str">
        <f>IF(R177="","",R225+R252+R267)</f>
        <v/>
      </c>
      <c r="S194" s="719" t="str">
        <f>IF(S177="","",S225+S252+S267)</f>
        <v/>
      </c>
    </row>
    <row r="195" spans="2:19">
      <c r="B195" s="702" t="s">
        <v>466</v>
      </c>
      <c r="C195" s="691"/>
      <c r="D195" s="719">
        <f>SUM(F195:S195)</f>
        <v>0</v>
      </c>
      <c r="E195" s="737"/>
      <c r="F195" s="719">
        <f t="shared" ref="F195:S195" si="98">IF(F177="","",SUM(F204:F205))</f>
        <v>0</v>
      </c>
      <c r="G195" s="719">
        <f t="shared" si="98"/>
        <v>0</v>
      </c>
      <c r="H195" s="719" t="str">
        <f t="shared" si="98"/>
        <v/>
      </c>
      <c r="I195" s="719" t="str">
        <f t="shared" si="98"/>
        <v/>
      </c>
      <c r="J195" s="719" t="str">
        <f t="shared" si="98"/>
        <v/>
      </c>
      <c r="K195" s="719" t="str">
        <f t="shared" si="98"/>
        <v/>
      </c>
      <c r="L195" s="719" t="str">
        <f t="shared" si="98"/>
        <v/>
      </c>
      <c r="M195" s="719" t="str">
        <f t="shared" si="98"/>
        <v/>
      </c>
      <c r="N195" s="719" t="str">
        <f t="shared" si="98"/>
        <v/>
      </c>
      <c r="O195" s="719" t="str">
        <f t="shared" si="98"/>
        <v/>
      </c>
      <c r="P195" s="719" t="str">
        <f t="shared" si="98"/>
        <v/>
      </c>
      <c r="Q195" s="719" t="str">
        <f t="shared" si="98"/>
        <v/>
      </c>
      <c r="R195" s="719" t="str">
        <f t="shared" si="98"/>
        <v/>
      </c>
      <c r="S195" s="719" t="str">
        <f t="shared" si="98"/>
        <v/>
      </c>
    </row>
    <row r="196" spans="2:19">
      <c r="B196" s="702" t="s">
        <v>467</v>
      </c>
      <c r="C196" s="691"/>
      <c r="D196" s="719">
        <f>SUM(F196:S196)</f>
        <v>0</v>
      </c>
      <c r="E196" s="737"/>
      <c r="F196" s="719">
        <f t="shared" ref="F196:P196" si="99">IF(F177="","",-(MIN(F206,0)+F216+F231))</f>
        <v>0</v>
      </c>
      <c r="G196" s="719">
        <f t="shared" si="99"/>
        <v>0</v>
      </c>
      <c r="H196" s="719" t="str">
        <f t="shared" si="99"/>
        <v/>
      </c>
      <c r="I196" s="719" t="str">
        <f t="shared" si="99"/>
        <v/>
      </c>
      <c r="J196" s="719" t="str">
        <f t="shared" si="99"/>
        <v/>
      </c>
      <c r="K196" s="719" t="str">
        <f t="shared" si="99"/>
        <v/>
      </c>
      <c r="L196" s="719" t="str">
        <f t="shared" si="99"/>
        <v/>
      </c>
      <c r="M196" s="719" t="str">
        <f t="shared" si="99"/>
        <v/>
      </c>
      <c r="N196" s="719" t="str">
        <f t="shared" si="99"/>
        <v/>
      </c>
      <c r="O196" s="719" t="str">
        <f t="shared" si="99"/>
        <v/>
      </c>
      <c r="P196" s="719" t="str">
        <f t="shared" si="99"/>
        <v/>
      </c>
      <c r="Q196" s="719" t="str">
        <f>IF(Q177="","",-(MIN(Q206,0)+Q216))</f>
        <v/>
      </c>
      <c r="R196" s="719" t="str">
        <f>IF(R177="","",-(MIN(R206,0)+R216))</f>
        <v/>
      </c>
      <c r="S196" s="719" t="str">
        <f>IF(S177="","",-(MIN(S206,0)+S216))</f>
        <v/>
      </c>
    </row>
    <row r="197" spans="2:19">
      <c r="B197" s="702" t="s">
        <v>479</v>
      </c>
      <c r="C197" s="691"/>
      <c r="D197" s="719">
        <f>+D194+D195-D196</f>
        <v>0</v>
      </c>
      <c r="E197" s="737"/>
      <c r="F197" s="748"/>
      <c r="G197" s="719"/>
      <c r="H197" s="703"/>
      <c r="I197" s="703"/>
      <c r="J197" s="703"/>
      <c r="K197" s="703"/>
      <c r="L197" s="703"/>
      <c r="M197" s="703"/>
      <c r="N197" s="703"/>
      <c r="O197" s="703"/>
      <c r="P197" s="703"/>
      <c r="Q197" s="703"/>
      <c r="R197" s="703"/>
      <c r="S197" s="703"/>
    </row>
    <row r="198" spans="2:19">
      <c r="B198" s="702" t="s">
        <v>420</v>
      </c>
      <c r="C198" s="691"/>
      <c r="D198" s="812" t="str">
        <f>IFERROR(IRR(F198:S198),"NA")</f>
        <v>NA</v>
      </c>
      <c r="E198" s="737"/>
      <c r="F198" s="719">
        <f t="shared" ref="F198:S198" si="100">IF(F177="","",(-F196)+F194+F195)</f>
        <v>0</v>
      </c>
      <c r="G198" s="719">
        <f t="shared" si="100"/>
        <v>0</v>
      </c>
      <c r="H198" s="719" t="str">
        <f t="shared" si="100"/>
        <v/>
      </c>
      <c r="I198" s="719" t="str">
        <f t="shared" si="100"/>
        <v/>
      </c>
      <c r="J198" s="719" t="str">
        <f t="shared" si="100"/>
        <v/>
      </c>
      <c r="K198" s="719" t="str">
        <f t="shared" si="100"/>
        <v/>
      </c>
      <c r="L198" s="719" t="str">
        <f t="shared" si="100"/>
        <v/>
      </c>
      <c r="M198" s="719" t="str">
        <f t="shared" si="100"/>
        <v/>
      </c>
      <c r="N198" s="719" t="str">
        <f t="shared" si="100"/>
        <v/>
      </c>
      <c r="O198" s="719" t="str">
        <f t="shared" si="100"/>
        <v/>
      </c>
      <c r="P198" s="719" t="str">
        <f t="shared" si="100"/>
        <v/>
      </c>
      <c r="Q198" s="719" t="str">
        <f t="shared" si="100"/>
        <v/>
      </c>
      <c r="R198" s="719" t="str">
        <f t="shared" si="100"/>
        <v/>
      </c>
      <c r="S198" s="719" t="str">
        <f t="shared" si="100"/>
        <v/>
      </c>
    </row>
    <row r="199" spans="2:19">
      <c r="B199" s="702" t="s">
        <v>469</v>
      </c>
      <c r="C199" s="691"/>
      <c r="D199" s="813" t="str">
        <f>IFERROR(D194/D196,"NA")</f>
        <v>NA</v>
      </c>
      <c r="E199" s="737"/>
      <c r="F199" s="742"/>
      <c r="G199" s="743"/>
      <c r="H199" s="700"/>
      <c r="I199" s="700"/>
      <c r="J199" s="701"/>
      <c r="K199" s="701"/>
      <c r="L199" s="701"/>
      <c r="M199" s="701"/>
      <c r="N199" s="701"/>
      <c r="O199" s="701"/>
      <c r="P199" s="701"/>
      <c r="Q199" s="701"/>
      <c r="R199" s="701"/>
      <c r="S199" s="701"/>
    </row>
    <row r="200" spans="2:19">
      <c r="B200" s="758"/>
      <c r="C200" s="759"/>
      <c r="D200" s="760"/>
      <c r="E200" s="691"/>
      <c r="F200" s="701"/>
      <c r="G200" s="701"/>
      <c r="H200" s="701"/>
      <c r="I200" s="701"/>
      <c r="J200" s="701"/>
      <c r="K200" s="701"/>
      <c r="L200" s="701"/>
      <c r="M200" s="701"/>
      <c r="N200" s="701"/>
      <c r="O200" s="701"/>
      <c r="P200" s="701"/>
      <c r="Q200" s="701"/>
      <c r="R200" s="701"/>
      <c r="S200" s="701"/>
    </row>
    <row r="201" spans="2:19">
      <c r="B201" s="1045" t="s">
        <v>480</v>
      </c>
      <c r="C201" s="1046"/>
      <c r="D201" s="1046"/>
      <c r="E201" s="1047"/>
      <c r="F201" s="1048" t="s">
        <v>471</v>
      </c>
      <c r="G201" s="1049">
        <f t="shared" ref="G201:S201" si="101">G$20</f>
        <v>1</v>
      </c>
      <c r="H201" s="1049" t="str">
        <f t="shared" si="101"/>
        <v/>
      </c>
      <c r="I201" s="1049" t="str">
        <f t="shared" si="101"/>
        <v/>
      </c>
      <c r="J201" s="1049" t="str">
        <f t="shared" si="101"/>
        <v/>
      </c>
      <c r="K201" s="1049" t="str">
        <f t="shared" si="101"/>
        <v/>
      </c>
      <c r="L201" s="1049" t="str">
        <f t="shared" si="101"/>
        <v/>
      </c>
      <c r="M201" s="1049" t="str">
        <f t="shared" si="101"/>
        <v/>
      </c>
      <c r="N201" s="1049" t="str">
        <f t="shared" si="101"/>
        <v/>
      </c>
      <c r="O201" s="1049" t="str">
        <f t="shared" si="101"/>
        <v/>
      </c>
      <c r="P201" s="1049" t="str">
        <f t="shared" si="101"/>
        <v/>
      </c>
      <c r="Q201" s="1049" t="str">
        <f t="shared" si="101"/>
        <v/>
      </c>
      <c r="R201" s="1049" t="str">
        <f t="shared" si="101"/>
        <v/>
      </c>
      <c r="S201" s="1049" t="str">
        <f t="shared" si="101"/>
        <v/>
      </c>
    </row>
    <row r="202" spans="2:19">
      <c r="B202" s="781"/>
      <c r="C202" s="781"/>
      <c r="D202" s="781"/>
      <c r="E202" s="782" t="s">
        <v>472</v>
      </c>
      <c r="F202" s="770">
        <f t="shared" ref="F202:S202" si="102">IF(F54="","",F54)</f>
        <v>731</v>
      </c>
      <c r="G202" s="771">
        <f t="shared" si="102"/>
        <v>1096</v>
      </c>
      <c r="H202" s="771" t="str">
        <f t="shared" si="102"/>
        <v/>
      </c>
      <c r="I202" s="771" t="str">
        <f t="shared" si="102"/>
        <v/>
      </c>
      <c r="J202" s="771" t="str">
        <f t="shared" si="102"/>
        <v/>
      </c>
      <c r="K202" s="771" t="str">
        <f t="shared" si="102"/>
        <v/>
      </c>
      <c r="L202" s="771" t="str">
        <f t="shared" si="102"/>
        <v/>
      </c>
      <c r="M202" s="771" t="str">
        <f t="shared" si="102"/>
        <v/>
      </c>
      <c r="N202" s="771" t="str">
        <f t="shared" si="102"/>
        <v/>
      </c>
      <c r="O202" s="771" t="str">
        <f t="shared" si="102"/>
        <v/>
      </c>
      <c r="P202" s="771" t="str">
        <f t="shared" si="102"/>
        <v/>
      </c>
      <c r="Q202" s="771" t="str">
        <f t="shared" si="102"/>
        <v/>
      </c>
      <c r="R202" s="771" t="str">
        <f t="shared" si="102"/>
        <v/>
      </c>
      <c r="S202" s="771" t="str">
        <f t="shared" si="102"/>
        <v/>
      </c>
    </row>
    <row r="203" spans="2:19">
      <c r="B203" s="781" t="s">
        <v>473</v>
      </c>
      <c r="C203" s="781"/>
      <c r="D203" s="781"/>
      <c r="E203" s="783"/>
      <c r="F203" s="772">
        <f t="shared" ref="F203:S203" si="103">IF(F55="","",F55)</f>
        <v>0</v>
      </c>
      <c r="G203" s="772">
        <f t="shared" si="103"/>
        <v>0</v>
      </c>
      <c r="H203" s="772" t="str">
        <f t="shared" si="103"/>
        <v/>
      </c>
      <c r="I203" s="772" t="str">
        <f t="shared" si="103"/>
        <v/>
      </c>
      <c r="J203" s="772" t="str">
        <f t="shared" si="103"/>
        <v/>
      </c>
      <c r="K203" s="772" t="str">
        <f t="shared" si="103"/>
        <v/>
      </c>
      <c r="L203" s="772" t="str">
        <f t="shared" si="103"/>
        <v/>
      </c>
      <c r="M203" s="772" t="str">
        <f t="shared" si="103"/>
        <v/>
      </c>
      <c r="N203" s="772" t="str">
        <f t="shared" si="103"/>
        <v/>
      </c>
      <c r="O203" s="772" t="str">
        <f t="shared" si="103"/>
        <v/>
      </c>
      <c r="P203" s="772" t="str">
        <f t="shared" si="103"/>
        <v/>
      </c>
      <c r="Q203" s="772" t="str">
        <f t="shared" si="103"/>
        <v/>
      </c>
      <c r="R203" s="772" t="str">
        <f t="shared" si="103"/>
        <v/>
      </c>
      <c r="S203" s="772" t="str">
        <f t="shared" si="103"/>
        <v/>
      </c>
    </row>
    <row r="204" spans="2:19">
      <c r="B204" s="755" t="s">
        <v>18</v>
      </c>
      <c r="C204" s="781"/>
      <c r="D204" s="781"/>
      <c r="E204" s="783"/>
      <c r="F204" s="772">
        <f>IF(F201="","",IFERROR(F57*($E$9/$E$12),0)+IFERROR(F58*($F$9/$F$12),0)+IFERROR(F56*($G$9/$G$12),0)+IFERROR(F59*($H$9/$H$12),0))</f>
        <v>0</v>
      </c>
      <c r="G204" s="772">
        <f t="shared" ref="G204:P204" si="104">IF(G201="","",IFERROR(G57*($E$9/$E$12),0)+IFERROR(G58*($F$9/$F$12),0)+IFERROR(G56*($G$9/$G$12),0)+IFERROR(G59*($H$9/$H$12),0))</f>
        <v>0</v>
      </c>
      <c r="H204" s="772" t="str">
        <f t="shared" si="104"/>
        <v/>
      </c>
      <c r="I204" s="772" t="str">
        <f t="shared" si="104"/>
        <v/>
      </c>
      <c r="J204" s="772" t="str">
        <f t="shared" si="104"/>
        <v/>
      </c>
      <c r="K204" s="772" t="str">
        <f t="shared" si="104"/>
        <v/>
      </c>
      <c r="L204" s="772" t="str">
        <f t="shared" si="104"/>
        <v/>
      </c>
      <c r="M204" s="772" t="str">
        <f t="shared" si="104"/>
        <v/>
      </c>
      <c r="N204" s="772" t="str">
        <f t="shared" si="104"/>
        <v/>
      </c>
      <c r="O204" s="772" t="str">
        <f t="shared" si="104"/>
        <v/>
      </c>
      <c r="P204" s="772" t="str">
        <f t="shared" si="104"/>
        <v/>
      </c>
      <c r="Q204" s="772" t="str">
        <f t="shared" ref="Q204:S205" si="105">IF(Q56="","",Q56)</f>
        <v/>
      </c>
      <c r="R204" s="772" t="str">
        <f t="shared" si="105"/>
        <v/>
      </c>
      <c r="S204" s="772" t="str">
        <f t="shared" si="105"/>
        <v/>
      </c>
    </row>
    <row r="205" spans="2:19">
      <c r="B205" s="755" t="s">
        <v>458</v>
      </c>
      <c r="C205" s="781"/>
      <c r="D205" s="781"/>
      <c r="E205" s="783"/>
      <c r="F205" s="772">
        <f>IF(F201="","",IFERROR(F57*($E$10/$E$12),0)+IFERROR(F58*($F$10/$F$12),0)+IFERROR(F56*($G$10/$G$12),0)+IFERROR(F59*($H$10/$H$12),0))</f>
        <v>0</v>
      </c>
      <c r="G205" s="772">
        <f t="shared" ref="G205:P205" si="106">IF(G201="","",IFERROR(G57*($E$10/$E$12),0)+IFERROR(G58*($F$10/$F$12),0)+IFERROR(G56*($G$10/$G$12),0)+IFERROR(G59*($H$10/$H$12),0))</f>
        <v>0</v>
      </c>
      <c r="H205" s="772" t="str">
        <f t="shared" si="106"/>
        <v/>
      </c>
      <c r="I205" s="772" t="str">
        <f t="shared" si="106"/>
        <v/>
      </c>
      <c r="J205" s="772" t="str">
        <f t="shared" si="106"/>
        <v/>
      </c>
      <c r="K205" s="772" t="str">
        <f t="shared" si="106"/>
        <v/>
      </c>
      <c r="L205" s="772" t="str">
        <f t="shared" si="106"/>
        <v/>
      </c>
      <c r="M205" s="772" t="str">
        <f t="shared" si="106"/>
        <v/>
      </c>
      <c r="N205" s="772" t="str">
        <f t="shared" si="106"/>
        <v/>
      </c>
      <c r="O205" s="772" t="str">
        <f t="shared" si="106"/>
        <v/>
      </c>
      <c r="P205" s="772" t="str">
        <f t="shared" si="106"/>
        <v/>
      </c>
      <c r="Q205" s="772" t="str">
        <f t="shared" si="105"/>
        <v/>
      </c>
      <c r="R205" s="772" t="str">
        <f t="shared" si="105"/>
        <v/>
      </c>
      <c r="S205" s="772" t="str">
        <f t="shared" si="105"/>
        <v/>
      </c>
    </row>
    <row r="206" spans="2:19">
      <c r="B206" s="761" t="s">
        <v>475</v>
      </c>
      <c r="C206" s="691"/>
      <c r="D206" s="691"/>
      <c r="E206" s="705"/>
      <c r="F206" s="766">
        <f>IF(F201="","",F203)</f>
        <v>0</v>
      </c>
      <c r="G206" s="766">
        <f t="shared" ref="G206:P206" si="107">IF(G201="","",G203)</f>
        <v>0</v>
      </c>
      <c r="H206" s="766" t="str">
        <f t="shared" si="107"/>
        <v/>
      </c>
      <c r="I206" s="766" t="str">
        <f t="shared" si="107"/>
        <v/>
      </c>
      <c r="J206" s="766" t="str">
        <f t="shared" si="107"/>
        <v/>
      </c>
      <c r="K206" s="766" t="str">
        <f t="shared" si="107"/>
        <v/>
      </c>
      <c r="L206" s="766" t="str">
        <f t="shared" si="107"/>
        <v/>
      </c>
      <c r="M206" s="766" t="str">
        <f t="shared" si="107"/>
        <v/>
      </c>
      <c r="N206" s="766" t="str">
        <f t="shared" si="107"/>
        <v/>
      </c>
      <c r="O206" s="766" t="str">
        <f t="shared" si="107"/>
        <v/>
      </c>
      <c r="P206" s="766" t="str">
        <f t="shared" si="107"/>
        <v/>
      </c>
      <c r="Q206" s="766" t="str">
        <f>IF(Q201="","",Q203)</f>
        <v/>
      </c>
      <c r="R206" s="766" t="str">
        <f>IF(R201="","",R203)</f>
        <v/>
      </c>
      <c r="S206" s="766" t="str">
        <f>IF(S201="","",S203)</f>
        <v/>
      </c>
    </row>
    <row r="207" spans="2:19">
      <c r="B207" s="750" t="s">
        <v>481</v>
      </c>
      <c r="C207" s="750"/>
      <c r="D207" s="750"/>
      <c r="E207" s="764"/>
      <c r="F207" s="772">
        <f t="shared" ref="F207:P207" si="108">IF(F201="","",F206-F235)</f>
        <v>0</v>
      </c>
      <c r="G207" s="772">
        <f t="shared" si="108"/>
        <v>0</v>
      </c>
      <c r="H207" s="772" t="str">
        <f t="shared" si="108"/>
        <v/>
      </c>
      <c r="I207" s="772" t="str">
        <f t="shared" si="108"/>
        <v/>
      </c>
      <c r="J207" s="772" t="str">
        <f t="shared" si="108"/>
        <v/>
      </c>
      <c r="K207" s="772" t="str">
        <f t="shared" si="108"/>
        <v/>
      </c>
      <c r="L207" s="772" t="str">
        <f t="shared" si="108"/>
        <v/>
      </c>
      <c r="M207" s="772" t="str">
        <f t="shared" si="108"/>
        <v/>
      </c>
      <c r="N207" s="772" t="str">
        <f t="shared" si="108"/>
        <v/>
      </c>
      <c r="O207" s="772" t="str">
        <f t="shared" si="108"/>
        <v/>
      </c>
      <c r="P207" s="772" t="str">
        <f t="shared" si="108"/>
        <v/>
      </c>
      <c r="Q207" s="772"/>
      <c r="R207" s="772"/>
      <c r="S207" s="772"/>
    </row>
    <row r="208" spans="2:19">
      <c r="B208" s="691" t="s">
        <v>419</v>
      </c>
      <c r="C208" s="691"/>
      <c r="D208" s="691"/>
      <c r="E208" s="691"/>
      <c r="F208" s="700" t="str">
        <f>IFERROR(IRR(F206:S206),"NA")</f>
        <v>NA</v>
      </c>
      <c r="G208" s="701"/>
      <c r="H208" s="701"/>
      <c r="I208" s="701"/>
      <c r="J208" s="701"/>
      <c r="K208" s="701"/>
      <c r="L208" s="701"/>
      <c r="M208" s="701"/>
      <c r="N208" s="701"/>
      <c r="O208" s="701"/>
      <c r="P208" s="701"/>
      <c r="Q208" s="701"/>
      <c r="R208" s="701"/>
      <c r="S208" s="701"/>
    </row>
    <row r="209" spans="2:19">
      <c r="B209" s="691" t="s">
        <v>418</v>
      </c>
      <c r="C209" s="691"/>
      <c r="D209" s="691"/>
      <c r="E209" s="691"/>
      <c r="F209" s="706" t="e">
        <f>SUMIF(F206:S206,"&gt;0")/-SUMIF(F206:S206,"&lt;0")</f>
        <v>#DIV/0!</v>
      </c>
      <c r="G209" s="701"/>
      <c r="H209" s="701"/>
      <c r="I209" s="701"/>
      <c r="J209" s="701"/>
      <c r="K209" s="701"/>
      <c r="L209" s="701"/>
      <c r="M209" s="701"/>
      <c r="N209" s="701"/>
      <c r="O209" s="701"/>
      <c r="P209" s="701"/>
      <c r="Q209" s="701"/>
      <c r="R209" s="701"/>
      <c r="S209" s="701"/>
    </row>
    <row r="210" spans="2:19">
      <c r="B210" s="691"/>
      <c r="C210" s="691"/>
      <c r="D210" s="691"/>
      <c r="E210" s="701"/>
      <c r="F210" s="767"/>
      <c r="G210" s="701"/>
      <c r="H210" s="701"/>
      <c r="I210" s="701"/>
      <c r="J210" s="701"/>
      <c r="K210" s="701"/>
      <c r="L210" s="701"/>
      <c r="M210" s="701"/>
      <c r="N210" s="701"/>
      <c r="O210" s="701"/>
      <c r="P210" s="767"/>
      <c r="Q210" s="701"/>
      <c r="R210" s="701"/>
      <c r="S210" s="701"/>
    </row>
    <row r="211" spans="2:19">
      <c r="B211" s="1050" t="s">
        <v>482</v>
      </c>
      <c r="C211" s="267"/>
      <c r="D211" s="267"/>
      <c r="E211" s="699"/>
      <c r="F211" s="698"/>
      <c r="G211" s="1051"/>
      <c r="H211" s="1051"/>
      <c r="I211" s="1051"/>
      <c r="J211" s="1051"/>
      <c r="K211" s="1051"/>
      <c r="L211" s="1051"/>
      <c r="M211" s="1051"/>
      <c r="N211" s="1051"/>
      <c r="O211" s="1051"/>
      <c r="P211" s="1051"/>
      <c r="Q211" s="1051"/>
      <c r="R211" s="1051"/>
      <c r="S211" s="1051"/>
    </row>
    <row r="212" spans="2:19">
      <c r="B212" s="1052" t="s">
        <v>483</v>
      </c>
      <c r="C212" s="1054">
        <f>E173</f>
        <v>1.5</v>
      </c>
      <c r="D212" s="1046"/>
      <c r="E212" s="1047"/>
      <c r="F212" s="1048" t="s">
        <v>471</v>
      </c>
      <c r="G212" s="1049">
        <f t="shared" ref="G212:S212" si="109">G$20</f>
        <v>1</v>
      </c>
      <c r="H212" s="1049" t="str">
        <f t="shared" si="109"/>
        <v/>
      </c>
      <c r="I212" s="1049" t="str">
        <f t="shared" si="109"/>
        <v/>
      </c>
      <c r="J212" s="1049" t="str">
        <f t="shared" si="109"/>
        <v/>
      </c>
      <c r="K212" s="1049" t="str">
        <f t="shared" si="109"/>
        <v/>
      </c>
      <c r="L212" s="1049" t="str">
        <f t="shared" si="109"/>
        <v/>
      </c>
      <c r="M212" s="1049" t="str">
        <f t="shared" si="109"/>
        <v/>
      </c>
      <c r="N212" s="1049" t="str">
        <f t="shared" si="109"/>
        <v/>
      </c>
      <c r="O212" s="1049" t="str">
        <f t="shared" si="109"/>
        <v/>
      </c>
      <c r="P212" s="1049" t="str">
        <f t="shared" si="109"/>
        <v/>
      </c>
      <c r="Q212" s="1049" t="str">
        <f t="shared" si="109"/>
        <v/>
      </c>
      <c r="R212" s="1049" t="str">
        <f t="shared" si="109"/>
        <v/>
      </c>
      <c r="S212" s="1049" t="str">
        <f t="shared" si="109"/>
        <v/>
      </c>
    </row>
    <row r="213" spans="2:19">
      <c r="B213" s="691" t="s">
        <v>484</v>
      </c>
      <c r="C213" s="691"/>
      <c r="D213" s="691"/>
      <c r="E213" s="691"/>
      <c r="F213" s="703">
        <f t="shared" ref="F213:P213" si="110">IF(F212="","",E218)</f>
        <v>0</v>
      </c>
      <c r="G213" s="703">
        <f t="shared" si="110"/>
        <v>0</v>
      </c>
      <c r="H213" s="703" t="str">
        <f t="shared" si="110"/>
        <v/>
      </c>
      <c r="I213" s="703" t="str">
        <f t="shared" si="110"/>
        <v/>
      </c>
      <c r="J213" s="703" t="str">
        <f t="shared" si="110"/>
        <v/>
      </c>
      <c r="K213" s="703" t="str">
        <f t="shared" si="110"/>
        <v/>
      </c>
      <c r="L213" s="703" t="str">
        <f t="shared" si="110"/>
        <v/>
      </c>
      <c r="M213" s="703" t="str">
        <f t="shared" si="110"/>
        <v/>
      </c>
      <c r="N213" s="703" t="str">
        <f t="shared" si="110"/>
        <v/>
      </c>
      <c r="O213" s="703" t="str">
        <f t="shared" si="110"/>
        <v/>
      </c>
      <c r="P213" s="703" t="str">
        <f t="shared" si="110"/>
        <v/>
      </c>
      <c r="Q213" s="703" t="str">
        <f>IF(Q212="","",P218)</f>
        <v/>
      </c>
      <c r="R213" s="703" t="str">
        <f>IF(R212="","",Q218)</f>
        <v/>
      </c>
      <c r="S213" s="703" t="str">
        <f>IF(S212="","",R218)</f>
        <v/>
      </c>
    </row>
    <row r="214" spans="2:19">
      <c r="B214" s="691" t="s">
        <v>485</v>
      </c>
      <c r="C214" s="691"/>
      <c r="D214" s="691"/>
      <c r="E214" s="691"/>
      <c r="F214" s="773" t="str">
        <f>IF(ROUND(SUM(G214:S214),0)=ROUND(SUM(F216:S216),0),"All Capital Returned","Capital Not Returned")</f>
        <v>All Capital Returned</v>
      </c>
      <c r="G214" s="703">
        <f t="shared" ref="G214:S214" si="111">IF(G212="","",G220-G215)</f>
        <v>0</v>
      </c>
      <c r="H214" s="703" t="str">
        <f t="shared" si="111"/>
        <v/>
      </c>
      <c r="I214" s="703" t="str">
        <f t="shared" si="111"/>
        <v/>
      </c>
      <c r="J214" s="703" t="str">
        <f t="shared" si="111"/>
        <v/>
      </c>
      <c r="K214" s="703" t="str">
        <f t="shared" si="111"/>
        <v/>
      </c>
      <c r="L214" s="703" t="str">
        <f t="shared" si="111"/>
        <v/>
      </c>
      <c r="M214" s="703" t="str">
        <f t="shared" si="111"/>
        <v/>
      </c>
      <c r="N214" s="703" t="str">
        <f t="shared" si="111"/>
        <v/>
      </c>
      <c r="O214" s="703" t="str">
        <f t="shared" si="111"/>
        <v/>
      </c>
      <c r="P214" s="703" t="str">
        <f t="shared" si="111"/>
        <v/>
      </c>
      <c r="Q214" s="703" t="str">
        <f t="shared" si="111"/>
        <v/>
      </c>
      <c r="R214" s="703" t="str">
        <f t="shared" si="111"/>
        <v/>
      </c>
      <c r="S214" s="703" t="str">
        <f t="shared" si="111"/>
        <v/>
      </c>
    </row>
    <row r="215" spans="2:19">
      <c r="B215" s="691" t="s">
        <v>486</v>
      </c>
      <c r="C215" s="691"/>
      <c r="D215" s="691"/>
      <c r="E215" s="691"/>
      <c r="F215" s="703">
        <f t="shared" ref="F215:P215" si="112">IF(F212="","",IF($D$170="Equity Multiple",E216*$C212-E216,F213*$E$16))</f>
        <v>0</v>
      </c>
      <c r="G215" s="703">
        <f t="shared" si="112"/>
        <v>0</v>
      </c>
      <c r="H215" s="703" t="str">
        <f t="shared" si="112"/>
        <v/>
      </c>
      <c r="I215" s="703" t="str">
        <f t="shared" si="112"/>
        <v/>
      </c>
      <c r="J215" s="703" t="str">
        <f t="shared" si="112"/>
        <v/>
      </c>
      <c r="K215" s="703" t="str">
        <f t="shared" si="112"/>
        <v/>
      </c>
      <c r="L215" s="703" t="str">
        <f t="shared" si="112"/>
        <v/>
      </c>
      <c r="M215" s="703" t="str">
        <f t="shared" si="112"/>
        <v/>
      </c>
      <c r="N215" s="703" t="str">
        <f t="shared" si="112"/>
        <v/>
      </c>
      <c r="O215" s="703" t="str">
        <f t="shared" si="112"/>
        <v/>
      </c>
      <c r="P215" s="703" t="str">
        <f t="shared" si="112"/>
        <v/>
      </c>
      <c r="Q215" s="703" t="str">
        <f>IF(Q212="","",IF($D$170="Equity Multiple",P216*$C212-P216,Q213*$E$16))</f>
        <v/>
      </c>
      <c r="R215" s="703" t="str">
        <f>IF(R212="","",IF($D$170="Equity Multiple",Q216*$C212-Q216,R213*$E$16))</f>
        <v/>
      </c>
      <c r="S215" s="703" t="str">
        <f>IF(S212="","",IF($D$170="Equity Multiple",R216*$C212-R216,S213*$E$16))</f>
        <v/>
      </c>
    </row>
    <row r="216" spans="2:19">
      <c r="B216" s="691" t="s">
        <v>487</v>
      </c>
      <c r="C216" s="691"/>
      <c r="D216" s="691"/>
      <c r="E216" s="691"/>
      <c r="F216" s="703">
        <f t="shared" ref="F216:S216" si="113">IF(F212="","",-MIN(0,F206*$C$11))</f>
        <v>0</v>
      </c>
      <c r="G216" s="703">
        <f t="shared" si="113"/>
        <v>0</v>
      </c>
      <c r="H216" s="703" t="str">
        <f t="shared" si="113"/>
        <v/>
      </c>
      <c r="I216" s="703" t="str">
        <f t="shared" si="113"/>
        <v/>
      </c>
      <c r="J216" s="703" t="str">
        <f t="shared" si="113"/>
        <v/>
      </c>
      <c r="K216" s="703" t="str">
        <f t="shared" si="113"/>
        <v/>
      </c>
      <c r="L216" s="703" t="str">
        <f t="shared" si="113"/>
        <v/>
      </c>
      <c r="M216" s="703" t="str">
        <f t="shared" si="113"/>
        <v/>
      </c>
      <c r="N216" s="703" t="str">
        <f t="shared" si="113"/>
        <v/>
      </c>
      <c r="O216" s="703" t="str">
        <f t="shared" si="113"/>
        <v/>
      </c>
      <c r="P216" s="703" t="str">
        <f t="shared" si="113"/>
        <v/>
      </c>
      <c r="Q216" s="703" t="str">
        <f t="shared" si="113"/>
        <v/>
      </c>
      <c r="R216" s="703" t="str">
        <f t="shared" si="113"/>
        <v/>
      </c>
      <c r="S216" s="703" t="str">
        <f t="shared" si="113"/>
        <v/>
      </c>
    </row>
    <row r="217" spans="2:19">
      <c r="B217" s="691" t="s">
        <v>488</v>
      </c>
      <c r="C217" s="691"/>
      <c r="D217" s="691"/>
      <c r="E217" s="691"/>
      <c r="F217" s="719">
        <f t="shared" ref="F217:P217" si="114">IF(F212="","",MIN(F213+F215,MAX(F207,0)*$I$16/($H$16+$I$16)))</f>
        <v>0</v>
      </c>
      <c r="G217" s="719">
        <f t="shared" si="114"/>
        <v>0</v>
      </c>
      <c r="H217" s="719" t="str">
        <f t="shared" si="114"/>
        <v/>
      </c>
      <c r="I217" s="719" t="str">
        <f t="shared" si="114"/>
        <v/>
      </c>
      <c r="J217" s="719" t="str">
        <f t="shared" si="114"/>
        <v/>
      </c>
      <c r="K217" s="719" t="str">
        <f t="shared" si="114"/>
        <v/>
      </c>
      <c r="L217" s="719" t="str">
        <f t="shared" si="114"/>
        <v/>
      </c>
      <c r="M217" s="719" t="str">
        <f t="shared" si="114"/>
        <v/>
      </c>
      <c r="N217" s="719" t="str">
        <f t="shared" si="114"/>
        <v/>
      </c>
      <c r="O217" s="719" t="str">
        <f t="shared" si="114"/>
        <v/>
      </c>
      <c r="P217" s="719" t="str">
        <f t="shared" si="114"/>
        <v/>
      </c>
      <c r="Q217" s="719" t="str">
        <f>IF(Q212="","",MIN(Q213+Q215,MAX(Q206,0)*$I$16/($H$16+$I$16)))</f>
        <v/>
      </c>
      <c r="R217" s="719" t="str">
        <f>IF(R212="","",MIN(R213+R215,MAX(R206,0)*$I$16/($H$16+$I$16)))</f>
        <v/>
      </c>
      <c r="S217" s="719" t="str">
        <f>IF(S212="","",MIN(S213+S215,MAX(S206,0)*$I$16/($H$16+$I$16)))</f>
        <v/>
      </c>
    </row>
    <row r="218" spans="2:19">
      <c r="B218" s="691" t="s">
        <v>489</v>
      </c>
      <c r="C218" s="691"/>
      <c r="D218" s="691"/>
      <c r="E218" s="691"/>
      <c r="F218" s="703">
        <f t="shared" ref="F218:S218" si="115">IF(F212="","",F213+F215+F216-F217)</f>
        <v>0</v>
      </c>
      <c r="G218" s="703">
        <f t="shared" si="115"/>
        <v>0</v>
      </c>
      <c r="H218" s="703" t="str">
        <f t="shared" si="115"/>
        <v/>
      </c>
      <c r="I218" s="703" t="str">
        <f t="shared" si="115"/>
        <v/>
      </c>
      <c r="J218" s="703" t="str">
        <f t="shared" si="115"/>
        <v/>
      </c>
      <c r="K218" s="703" t="str">
        <f t="shared" si="115"/>
        <v/>
      </c>
      <c r="L218" s="703" t="str">
        <f t="shared" si="115"/>
        <v/>
      </c>
      <c r="M218" s="703" t="str">
        <f t="shared" si="115"/>
        <v/>
      </c>
      <c r="N218" s="703" t="str">
        <f t="shared" si="115"/>
        <v/>
      </c>
      <c r="O218" s="703" t="str">
        <f t="shared" si="115"/>
        <v/>
      </c>
      <c r="P218" s="703" t="str">
        <f t="shared" si="115"/>
        <v/>
      </c>
      <c r="Q218" s="703" t="str">
        <f t="shared" si="115"/>
        <v/>
      </c>
      <c r="R218" s="703" t="str">
        <f t="shared" si="115"/>
        <v/>
      </c>
      <c r="S218" s="703" t="str">
        <f t="shared" si="115"/>
        <v/>
      </c>
    </row>
    <row r="219" spans="2:19">
      <c r="B219" s="707" t="str">
        <f>IF(D170="Equity Multiple", "LP-B EMx Check","LP-B IRR Check")</f>
        <v>LP-B EMx Check</v>
      </c>
      <c r="C219" s="691"/>
      <c r="D219" s="691"/>
      <c r="E219" s="784" t="e">
        <f>IF($D$170="IRR",IRR(F219:S219),SUMIF(F219:S219,"&gt;0")/-SUMIF(F219:S219,"&lt;0"))</f>
        <v>#DIV/0!</v>
      </c>
      <c r="F219" s="703">
        <f t="shared" ref="F219:S219" si="116">IF(F212="","",-F216+F217)</f>
        <v>0</v>
      </c>
      <c r="G219" s="703">
        <f t="shared" si="116"/>
        <v>0</v>
      </c>
      <c r="H219" s="703" t="str">
        <f t="shared" si="116"/>
        <v/>
      </c>
      <c r="I219" s="703" t="str">
        <f t="shared" si="116"/>
        <v/>
      </c>
      <c r="J219" s="703" t="str">
        <f t="shared" si="116"/>
        <v/>
      </c>
      <c r="K219" s="703" t="str">
        <f t="shared" si="116"/>
        <v/>
      </c>
      <c r="L219" s="703" t="str">
        <f t="shared" si="116"/>
        <v/>
      </c>
      <c r="M219" s="703" t="str">
        <f t="shared" si="116"/>
        <v/>
      </c>
      <c r="N219" s="703" t="str">
        <f t="shared" si="116"/>
        <v/>
      </c>
      <c r="O219" s="703" t="str">
        <f t="shared" si="116"/>
        <v/>
      </c>
      <c r="P219" s="703" t="str">
        <f t="shared" si="116"/>
        <v/>
      </c>
      <c r="Q219" s="703" t="str">
        <f t="shared" si="116"/>
        <v/>
      </c>
      <c r="R219" s="703" t="str">
        <f t="shared" si="116"/>
        <v/>
      </c>
      <c r="S219" s="703" t="str">
        <f t="shared" si="116"/>
        <v/>
      </c>
    </row>
    <row r="220" spans="2:19">
      <c r="B220" s="691" t="s">
        <v>490</v>
      </c>
      <c r="C220" s="691"/>
      <c r="D220" s="691"/>
      <c r="E220" s="691"/>
      <c r="F220" s="703">
        <f t="shared" ref="F220:P220" si="117">IF(F212="","",MIN(F213+F215,MAX(F207,0)*$I$16/($H$16+$I$16)))</f>
        <v>0</v>
      </c>
      <c r="G220" s="703">
        <f t="shared" si="117"/>
        <v>0</v>
      </c>
      <c r="H220" s="703" t="str">
        <f t="shared" si="117"/>
        <v/>
      </c>
      <c r="I220" s="703" t="str">
        <f t="shared" si="117"/>
        <v/>
      </c>
      <c r="J220" s="703" t="str">
        <f t="shared" si="117"/>
        <v/>
      </c>
      <c r="K220" s="703" t="str">
        <f t="shared" si="117"/>
        <v/>
      </c>
      <c r="L220" s="703" t="str">
        <f t="shared" si="117"/>
        <v/>
      </c>
      <c r="M220" s="703" t="str">
        <f t="shared" si="117"/>
        <v/>
      </c>
      <c r="N220" s="703" t="str">
        <f t="shared" si="117"/>
        <v/>
      </c>
      <c r="O220" s="703" t="str">
        <f t="shared" si="117"/>
        <v/>
      </c>
      <c r="P220" s="703" t="str">
        <f t="shared" si="117"/>
        <v/>
      </c>
      <c r="Q220" s="703" t="str">
        <f>IF(Q212="","",MIN(Q213+Q215,MAX(Q206,0)*$I$16/($H$16+$I$16)))</f>
        <v/>
      </c>
      <c r="R220" s="703" t="str">
        <f>IF(R212="","",MIN(R213+R215,MAX(R206,0)*$I$16/($H$16+$I$16)))</f>
        <v/>
      </c>
      <c r="S220" s="703" t="str">
        <f>IF(S212="","",MIN(S213+S215,MAX(S206,0)*$I$16/($H$16+$I$16)))</f>
        <v/>
      </c>
    </row>
    <row r="221" spans="2:19">
      <c r="B221" s="691"/>
      <c r="C221" s="691"/>
      <c r="D221" s="691"/>
      <c r="E221" s="691"/>
      <c r="F221" s="703"/>
      <c r="G221" s="703"/>
      <c r="H221" s="703"/>
      <c r="I221" s="703"/>
      <c r="J221" s="703"/>
      <c r="K221" s="703"/>
      <c r="L221" s="703"/>
      <c r="M221" s="703"/>
      <c r="N221" s="703"/>
      <c r="O221" s="703"/>
      <c r="P221" s="703"/>
      <c r="Q221" s="703"/>
      <c r="R221" s="703"/>
      <c r="S221" s="703"/>
    </row>
    <row r="222" spans="2:19">
      <c r="B222" s="691" t="s">
        <v>491</v>
      </c>
      <c r="C222" s="691"/>
      <c r="D222" s="691"/>
      <c r="E222" s="691"/>
      <c r="F222" s="703">
        <f t="shared" ref="F222:P222" si="118">IF(F212="","",E226)</f>
        <v>0</v>
      </c>
      <c r="G222" s="703">
        <f t="shared" si="118"/>
        <v>0</v>
      </c>
      <c r="H222" s="703" t="str">
        <f t="shared" si="118"/>
        <v/>
      </c>
      <c r="I222" s="703" t="str">
        <f t="shared" si="118"/>
        <v/>
      </c>
      <c r="J222" s="703" t="str">
        <f t="shared" si="118"/>
        <v/>
      </c>
      <c r="K222" s="703" t="str">
        <f t="shared" si="118"/>
        <v/>
      </c>
      <c r="L222" s="703" t="str">
        <f t="shared" si="118"/>
        <v/>
      </c>
      <c r="M222" s="703" t="str">
        <f t="shared" si="118"/>
        <v/>
      </c>
      <c r="N222" s="703" t="str">
        <f t="shared" si="118"/>
        <v/>
      </c>
      <c r="O222" s="703" t="str">
        <f t="shared" si="118"/>
        <v/>
      </c>
      <c r="P222" s="703" t="str">
        <f t="shared" si="118"/>
        <v/>
      </c>
      <c r="Q222" s="703" t="str">
        <f>IF(Q212="","",P226)</f>
        <v/>
      </c>
      <c r="R222" s="703" t="str">
        <f>IF(R212="","",Q226)</f>
        <v/>
      </c>
      <c r="S222" s="703" t="str">
        <f>IF(S212="","",R226)</f>
        <v/>
      </c>
    </row>
    <row r="223" spans="2:19">
      <c r="B223" s="691" t="s">
        <v>492</v>
      </c>
      <c r="C223" s="691"/>
      <c r="D223" s="691"/>
      <c r="E223" s="691"/>
      <c r="F223" s="703">
        <f t="shared" ref="F223:P223" si="119">IF(F212="","",IF($D$170="Equity Multiple",E224*$C212-E224,F222*$E$16))</f>
        <v>0</v>
      </c>
      <c r="G223" s="703">
        <f t="shared" si="119"/>
        <v>0</v>
      </c>
      <c r="H223" s="703" t="str">
        <f t="shared" si="119"/>
        <v/>
      </c>
      <c r="I223" s="703" t="str">
        <f t="shared" si="119"/>
        <v/>
      </c>
      <c r="J223" s="703" t="str">
        <f t="shared" si="119"/>
        <v/>
      </c>
      <c r="K223" s="703" t="str">
        <f t="shared" si="119"/>
        <v/>
      </c>
      <c r="L223" s="703" t="str">
        <f t="shared" si="119"/>
        <v/>
      </c>
      <c r="M223" s="703" t="str">
        <f t="shared" si="119"/>
        <v/>
      </c>
      <c r="N223" s="703" t="str">
        <f t="shared" si="119"/>
        <v/>
      </c>
      <c r="O223" s="703" t="str">
        <f t="shared" si="119"/>
        <v/>
      </c>
      <c r="P223" s="703" t="str">
        <f t="shared" si="119"/>
        <v/>
      </c>
      <c r="Q223" s="703" t="str">
        <f>IF(Q212="","",IF($D$170="Equity Multiple",P224*$C212-P224,Q222*$E$16))</f>
        <v/>
      </c>
      <c r="R223" s="703" t="str">
        <f>IF(R212="","",IF($D$170="Equity Multiple",Q224*$C212-Q224,R222*$E$16))</f>
        <v/>
      </c>
      <c r="S223" s="703" t="str">
        <f>IF(S212="","",IF($D$170="Equity Multiple",R224*$C212-R224,S222*$E$16))</f>
        <v/>
      </c>
    </row>
    <row r="224" spans="2:19">
      <c r="B224" s="691" t="s">
        <v>493</v>
      </c>
      <c r="C224" s="691"/>
      <c r="D224" s="691"/>
      <c r="E224" s="691"/>
      <c r="F224" s="703">
        <f t="shared" ref="F224:S224" si="120">IF(F212="","",-MIN(0,F206*$C$9))</f>
        <v>0</v>
      </c>
      <c r="G224" s="703">
        <f t="shared" si="120"/>
        <v>0</v>
      </c>
      <c r="H224" s="703" t="str">
        <f t="shared" si="120"/>
        <v/>
      </c>
      <c r="I224" s="703" t="str">
        <f t="shared" si="120"/>
        <v/>
      </c>
      <c r="J224" s="703" t="str">
        <f t="shared" si="120"/>
        <v/>
      </c>
      <c r="K224" s="703" t="str">
        <f t="shared" si="120"/>
        <v/>
      </c>
      <c r="L224" s="703" t="str">
        <f t="shared" si="120"/>
        <v/>
      </c>
      <c r="M224" s="703" t="str">
        <f t="shared" si="120"/>
        <v/>
      </c>
      <c r="N224" s="703" t="str">
        <f t="shared" si="120"/>
        <v/>
      </c>
      <c r="O224" s="703" t="str">
        <f t="shared" si="120"/>
        <v/>
      </c>
      <c r="P224" s="703" t="str">
        <f t="shared" si="120"/>
        <v/>
      </c>
      <c r="Q224" s="703" t="str">
        <f t="shared" si="120"/>
        <v/>
      </c>
      <c r="R224" s="703" t="str">
        <f t="shared" si="120"/>
        <v/>
      </c>
      <c r="S224" s="703" t="str">
        <f t="shared" si="120"/>
        <v/>
      </c>
    </row>
    <row r="225" spans="2:19">
      <c r="B225" s="691" t="s">
        <v>494</v>
      </c>
      <c r="C225" s="691"/>
      <c r="D225" s="691"/>
      <c r="E225" s="691"/>
      <c r="F225" s="703">
        <f t="shared" ref="F225:P225" si="121">IF(F212="","",IF($A$6,MAX(MIN(F207-F220,F222+F223+F224),0),F217/$I$16*$H$16))</f>
        <v>0</v>
      </c>
      <c r="G225" s="719">
        <f t="shared" si="121"/>
        <v>0</v>
      </c>
      <c r="H225" s="719" t="str">
        <f t="shared" si="121"/>
        <v/>
      </c>
      <c r="I225" s="719" t="str">
        <f t="shared" si="121"/>
        <v/>
      </c>
      <c r="J225" s="719" t="str">
        <f t="shared" si="121"/>
        <v/>
      </c>
      <c r="K225" s="719" t="str">
        <f t="shared" si="121"/>
        <v/>
      </c>
      <c r="L225" s="719" t="str">
        <f t="shared" si="121"/>
        <v/>
      </c>
      <c r="M225" s="719" t="str">
        <f t="shared" si="121"/>
        <v/>
      </c>
      <c r="N225" s="719" t="str">
        <f t="shared" si="121"/>
        <v/>
      </c>
      <c r="O225" s="719" t="str">
        <f t="shared" si="121"/>
        <v/>
      </c>
      <c r="P225" s="719" t="str">
        <f t="shared" si="121"/>
        <v/>
      </c>
      <c r="Q225" s="719" t="str">
        <f>IF(Q212="","",IF($A$6,MAX(MIN(Q206-Q220,Q222+Q223+Q224),0),Q217/$I$16*$H$16))</f>
        <v/>
      </c>
      <c r="R225" s="719" t="str">
        <f>IF(R212="","",IF($A$6,MAX(MIN(R206-R220,R222+R223+R224),0),R217/$I$16*$H$16))</f>
        <v/>
      </c>
      <c r="S225" s="719" t="str">
        <f>IF(S212="","",IF($A$6,MAX(MIN(S206-S220,S222+S223+S224),0),S217/$I$16*$H$16))</f>
        <v/>
      </c>
    </row>
    <row r="226" spans="2:19">
      <c r="B226" s="691" t="s">
        <v>495</v>
      </c>
      <c r="C226" s="691"/>
      <c r="D226" s="691"/>
      <c r="E226" s="691"/>
      <c r="F226" s="703">
        <f t="shared" ref="F226:S226" si="122">IF(F212="","",F222+F223+F224-F225)</f>
        <v>0</v>
      </c>
      <c r="G226" s="719">
        <f t="shared" si="122"/>
        <v>0</v>
      </c>
      <c r="H226" s="719" t="str">
        <f t="shared" si="122"/>
        <v/>
      </c>
      <c r="I226" s="719" t="str">
        <f t="shared" si="122"/>
        <v/>
      </c>
      <c r="J226" s="719" t="str">
        <f t="shared" si="122"/>
        <v/>
      </c>
      <c r="K226" s="719" t="str">
        <f t="shared" si="122"/>
        <v/>
      </c>
      <c r="L226" s="719" t="str">
        <f t="shared" si="122"/>
        <v/>
      </c>
      <c r="M226" s="719" t="str">
        <f t="shared" si="122"/>
        <v/>
      </c>
      <c r="N226" s="719" t="str">
        <f t="shared" si="122"/>
        <v/>
      </c>
      <c r="O226" s="719" t="str">
        <f t="shared" si="122"/>
        <v/>
      </c>
      <c r="P226" s="719" t="str">
        <f t="shared" si="122"/>
        <v/>
      </c>
      <c r="Q226" s="719" t="str">
        <f t="shared" si="122"/>
        <v/>
      </c>
      <c r="R226" s="719" t="str">
        <f t="shared" si="122"/>
        <v/>
      </c>
      <c r="S226" s="719" t="str">
        <f t="shared" si="122"/>
        <v/>
      </c>
    </row>
    <row r="227" spans="2:19">
      <c r="B227" s="707" t="str">
        <f>IF(D170="Equity Multiple", "GP EMx Check","GP IRR Check")</f>
        <v>GP EMx Check</v>
      </c>
      <c r="C227" s="691"/>
      <c r="D227" s="691"/>
      <c r="E227" s="784" t="e">
        <f>IF($D$170="IRR",IFERROR(IRR(F227:S227),"NA"),SUMIF(F227:S227,"&gt;0")/-SUMIF(F227:S227,"&lt;0"))</f>
        <v>#DIV/0!</v>
      </c>
      <c r="F227" s="703">
        <f t="shared" ref="F227:S227" si="123">IF(F212="","",-F224+F225)</f>
        <v>0</v>
      </c>
      <c r="G227" s="719">
        <f t="shared" si="123"/>
        <v>0</v>
      </c>
      <c r="H227" s="719" t="str">
        <f t="shared" si="123"/>
        <v/>
      </c>
      <c r="I227" s="719" t="str">
        <f t="shared" si="123"/>
        <v/>
      </c>
      <c r="J227" s="719" t="str">
        <f t="shared" si="123"/>
        <v/>
      </c>
      <c r="K227" s="719" t="str">
        <f t="shared" si="123"/>
        <v/>
      </c>
      <c r="L227" s="719" t="str">
        <f t="shared" si="123"/>
        <v/>
      </c>
      <c r="M227" s="719" t="str">
        <f t="shared" si="123"/>
        <v/>
      </c>
      <c r="N227" s="719" t="str">
        <f t="shared" si="123"/>
        <v/>
      </c>
      <c r="O227" s="719" t="str">
        <f t="shared" si="123"/>
        <v/>
      </c>
      <c r="P227" s="719" t="str">
        <f t="shared" si="123"/>
        <v/>
      </c>
      <c r="Q227" s="719" t="str">
        <f t="shared" si="123"/>
        <v/>
      </c>
      <c r="R227" s="719" t="str">
        <f t="shared" si="123"/>
        <v/>
      </c>
      <c r="S227" s="719" t="str">
        <f t="shared" si="123"/>
        <v/>
      </c>
    </row>
    <row r="228" spans="2:19">
      <c r="B228" s="775"/>
      <c r="C228" s="750"/>
      <c r="D228" s="750"/>
      <c r="E228" s="785"/>
      <c r="F228" s="754"/>
      <c r="G228" s="754"/>
      <c r="H228" s="754"/>
      <c r="I228" s="754"/>
      <c r="J228" s="754"/>
      <c r="K228" s="754"/>
      <c r="L228" s="754"/>
      <c r="M228" s="754"/>
      <c r="N228" s="754"/>
      <c r="O228" s="754"/>
      <c r="P228" s="754"/>
      <c r="Q228" s="754"/>
      <c r="R228" s="754"/>
      <c r="S228" s="754"/>
    </row>
    <row r="229" spans="2:19">
      <c r="B229" s="775" t="s">
        <v>496</v>
      </c>
      <c r="C229" s="750"/>
      <c r="D229" s="750"/>
      <c r="E229" s="785"/>
      <c r="F229" s="754">
        <f t="shared" ref="F229:P229" si="124">IF(F212="","",E233)</f>
        <v>0</v>
      </c>
      <c r="G229" s="754">
        <f t="shared" si="124"/>
        <v>0</v>
      </c>
      <c r="H229" s="754" t="str">
        <f t="shared" si="124"/>
        <v/>
      </c>
      <c r="I229" s="754" t="str">
        <f t="shared" si="124"/>
        <v/>
      </c>
      <c r="J229" s="754" t="str">
        <f t="shared" si="124"/>
        <v/>
      </c>
      <c r="K229" s="754" t="str">
        <f t="shared" si="124"/>
        <v/>
      </c>
      <c r="L229" s="754" t="str">
        <f t="shared" si="124"/>
        <v/>
      </c>
      <c r="M229" s="754" t="str">
        <f t="shared" si="124"/>
        <v/>
      </c>
      <c r="N229" s="754" t="str">
        <f t="shared" si="124"/>
        <v/>
      </c>
      <c r="O229" s="754" t="str">
        <f t="shared" si="124"/>
        <v/>
      </c>
      <c r="P229" s="754" t="str">
        <f t="shared" si="124"/>
        <v/>
      </c>
      <c r="Q229" s="754"/>
      <c r="R229" s="754"/>
      <c r="S229" s="754"/>
    </row>
    <row r="230" spans="2:19">
      <c r="B230" s="775" t="s">
        <v>497</v>
      </c>
      <c r="C230" s="750"/>
      <c r="D230" s="750"/>
      <c r="E230" s="785"/>
      <c r="F230" s="754" t="str">
        <f>IF(ROUND(SUM(G230:S230),0)&gt;=ROUND(SUM(F231:S231),0),"All Capital Returned","Capital Not Returned")</f>
        <v>All Capital Returned</v>
      </c>
      <c r="G230" s="754">
        <f t="shared" ref="G230:P230" si="125">IF(G212="","",G232)</f>
        <v>0</v>
      </c>
      <c r="H230" s="754" t="str">
        <f t="shared" si="125"/>
        <v/>
      </c>
      <c r="I230" s="754" t="str">
        <f t="shared" si="125"/>
        <v/>
      </c>
      <c r="J230" s="754" t="str">
        <f t="shared" si="125"/>
        <v/>
      </c>
      <c r="K230" s="754" t="str">
        <f t="shared" si="125"/>
        <v/>
      </c>
      <c r="L230" s="754" t="str">
        <f t="shared" si="125"/>
        <v/>
      </c>
      <c r="M230" s="754" t="str">
        <f t="shared" si="125"/>
        <v/>
      </c>
      <c r="N230" s="754" t="str">
        <f t="shared" si="125"/>
        <v/>
      </c>
      <c r="O230" s="754" t="str">
        <f t="shared" si="125"/>
        <v/>
      </c>
      <c r="P230" s="754" t="str">
        <f t="shared" si="125"/>
        <v/>
      </c>
      <c r="Q230" s="754"/>
      <c r="R230" s="754"/>
      <c r="S230" s="754"/>
    </row>
    <row r="231" spans="2:19">
      <c r="B231" s="775" t="s">
        <v>498</v>
      </c>
      <c r="C231" s="750"/>
      <c r="D231" s="750"/>
      <c r="E231" s="785"/>
      <c r="F231" s="754">
        <f t="shared" ref="F231:P231" si="126">IF(F212="","",-MIN(0,F206*$C$10))</f>
        <v>0</v>
      </c>
      <c r="G231" s="754">
        <f t="shared" si="126"/>
        <v>0</v>
      </c>
      <c r="H231" s="754" t="str">
        <f t="shared" si="126"/>
        <v/>
      </c>
      <c r="I231" s="754" t="str">
        <f t="shared" si="126"/>
        <v/>
      </c>
      <c r="J231" s="754" t="str">
        <f t="shared" si="126"/>
        <v/>
      </c>
      <c r="K231" s="754" t="str">
        <f t="shared" si="126"/>
        <v/>
      </c>
      <c r="L231" s="754" t="str">
        <f t="shared" si="126"/>
        <v/>
      </c>
      <c r="M231" s="754" t="str">
        <f t="shared" si="126"/>
        <v/>
      </c>
      <c r="N231" s="754" t="str">
        <f t="shared" si="126"/>
        <v/>
      </c>
      <c r="O231" s="754" t="str">
        <f t="shared" si="126"/>
        <v/>
      </c>
      <c r="P231" s="754" t="str">
        <f t="shared" si="126"/>
        <v/>
      </c>
      <c r="Q231" s="754"/>
      <c r="R231" s="754"/>
      <c r="S231" s="754"/>
    </row>
    <row r="232" spans="2:19">
      <c r="B232" s="775" t="s">
        <v>499</v>
      </c>
      <c r="C232" s="750"/>
      <c r="D232" s="750"/>
      <c r="E232" s="785"/>
      <c r="F232" s="754">
        <f t="shared" ref="F232:P232" si="127">IF(F212="","",MAX(F206,0)*$C$10)</f>
        <v>0</v>
      </c>
      <c r="G232" s="754">
        <f t="shared" si="127"/>
        <v>0</v>
      </c>
      <c r="H232" s="754" t="str">
        <f t="shared" si="127"/>
        <v/>
      </c>
      <c r="I232" s="754" t="str">
        <f t="shared" si="127"/>
        <v/>
      </c>
      <c r="J232" s="754" t="str">
        <f t="shared" si="127"/>
        <v/>
      </c>
      <c r="K232" s="754" t="str">
        <f t="shared" si="127"/>
        <v/>
      </c>
      <c r="L232" s="754" t="str">
        <f t="shared" si="127"/>
        <v/>
      </c>
      <c r="M232" s="754" t="str">
        <f t="shared" si="127"/>
        <v/>
      </c>
      <c r="N232" s="754" t="str">
        <f t="shared" si="127"/>
        <v/>
      </c>
      <c r="O232" s="754" t="str">
        <f t="shared" si="127"/>
        <v/>
      </c>
      <c r="P232" s="754" t="str">
        <f t="shared" si="127"/>
        <v/>
      </c>
      <c r="Q232" s="754"/>
      <c r="R232" s="754"/>
      <c r="S232" s="754"/>
    </row>
    <row r="233" spans="2:19">
      <c r="B233" s="775" t="s">
        <v>500</v>
      </c>
      <c r="C233" s="750"/>
      <c r="D233" s="750"/>
      <c r="E233" s="816"/>
      <c r="F233" s="754">
        <f t="shared" ref="F233:P233" si="128">IF(F212="","",F229+F231-F232)</f>
        <v>0</v>
      </c>
      <c r="G233" s="754">
        <f t="shared" si="128"/>
        <v>0</v>
      </c>
      <c r="H233" s="754" t="str">
        <f t="shared" si="128"/>
        <v/>
      </c>
      <c r="I233" s="754" t="str">
        <f t="shared" si="128"/>
        <v/>
      </c>
      <c r="J233" s="754" t="str">
        <f t="shared" si="128"/>
        <v/>
      </c>
      <c r="K233" s="754" t="str">
        <f t="shared" si="128"/>
        <v/>
      </c>
      <c r="L233" s="754" t="str">
        <f t="shared" si="128"/>
        <v/>
      </c>
      <c r="M233" s="754" t="str">
        <f t="shared" si="128"/>
        <v/>
      </c>
      <c r="N233" s="754" t="str">
        <f t="shared" si="128"/>
        <v/>
      </c>
      <c r="O233" s="754" t="str">
        <f t="shared" si="128"/>
        <v/>
      </c>
      <c r="P233" s="754" t="str">
        <f t="shared" si="128"/>
        <v/>
      </c>
      <c r="Q233" s="754"/>
      <c r="R233" s="754"/>
      <c r="S233" s="754"/>
    </row>
    <row r="234" spans="2:19">
      <c r="B234" s="775" t="s">
        <v>501</v>
      </c>
      <c r="C234" s="750"/>
      <c r="D234" s="750"/>
      <c r="E234" s="784" t="str">
        <f>IFERROR(SUMIF(F234:S234,"&gt;0")/-SUMIF(F234:S234,"&lt;0"),"NA")</f>
        <v>NA</v>
      </c>
      <c r="F234" s="754">
        <f t="shared" ref="F234:P234" si="129">IF(F212="","",-F231+F232)</f>
        <v>0</v>
      </c>
      <c r="G234" s="754">
        <f t="shared" si="129"/>
        <v>0</v>
      </c>
      <c r="H234" s="754" t="str">
        <f t="shared" si="129"/>
        <v/>
      </c>
      <c r="I234" s="754" t="str">
        <f t="shared" si="129"/>
        <v/>
      </c>
      <c r="J234" s="754" t="str">
        <f t="shared" si="129"/>
        <v/>
      </c>
      <c r="K234" s="754" t="str">
        <f t="shared" si="129"/>
        <v/>
      </c>
      <c r="L234" s="754" t="str">
        <f t="shared" si="129"/>
        <v/>
      </c>
      <c r="M234" s="754" t="str">
        <f t="shared" si="129"/>
        <v/>
      </c>
      <c r="N234" s="754" t="str">
        <f t="shared" si="129"/>
        <v/>
      </c>
      <c r="O234" s="754" t="str">
        <f t="shared" si="129"/>
        <v/>
      </c>
      <c r="P234" s="754" t="str">
        <f t="shared" si="129"/>
        <v/>
      </c>
      <c r="Q234" s="754"/>
      <c r="R234" s="754"/>
      <c r="S234" s="754"/>
    </row>
    <row r="235" spans="2:19">
      <c r="B235" s="775" t="s">
        <v>502</v>
      </c>
      <c r="C235" s="750"/>
      <c r="D235" s="750"/>
      <c r="E235" s="785"/>
      <c r="F235" s="754">
        <f t="shared" ref="F235:P235" si="130">F232</f>
        <v>0</v>
      </c>
      <c r="G235" s="754">
        <f t="shared" si="130"/>
        <v>0</v>
      </c>
      <c r="H235" s="754" t="str">
        <f t="shared" si="130"/>
        <v/>
      </c>
      <c r="I235" s="754" t="str">
        <f t="shared" si="130"/>
        <v/>
      </c>
      <c r="J235" s="754" t="str">
        <f t="shared" si="130"/>
        <v/>
      </c>
      <c r="K235" s="754" t="str">
        <f t="shared" si="130"/>
        <v/>
      </c>
      <c r="L235" s="754" t="str">
        <f t="shared" si="130"/>
        <v/>
      </c>
      <c r="M235" s="754" t="str">
        <f t="shared" si="130"/>
        <v/>
      </c>
      <c r="N235" s="754" t="str">
        <f t="shared" si="130"/>
        <v/>
      </c>
      <c r="O235" s="754" t="str">
        <f t="shared" si="130"/>
        <v/>
      </c>
      <c r="P235" s="754" t="str">
        <f t="shared" si="130"/>
        <v/>
      </c>
      <c r="Q235" s="754"/>
      <c r="R235" s="754"/>
      <c r="S235" s="754"/>
    </row>
    <row r="236" spans="2:19">
      <c r="B236" s="775"/>
      <c r="C236" s="750"/>
      <c r="D236" s="750"/>
      <c r="E236" s="785"/>
      <c r="F236" s="754"/>
      <c r="G236" s="754"/>
      <c r="H236" s="754"/>
      <c r="I236" s="754"/>
      <c r="J236" s="754"/>
      <c r="K236" s="754"/>
      <c r="L236" s="754"/>
      <c r="M236" s="754"/>
      <c r="N236" s="754"/>
      <c r="O236" s="754"/>
      <c r="P236" s="754"/>
      <c r="Q236" s="754"/>
      <c r="R236" s="754"/>
      <c r="S236" s="754"/>
    </row>
    <row r="237" spans="2:19">
      <c r="B237" s="691"/>
      <c r="C237" s="691"/>
      <c r="D237" s="691"/>
      <c r="E237" s="691"/>
      <c r="F237" s="703"/>
      <c r="G237" s="719"/>
      <c r="H237" s="719"/>
      <c r="I237" s="719"/>
      <c r="J237" s="719"/>
      <c r="K237" s="719"/>
      <c r="L237" s="719"/>
      <c r="M237" s="719"/>
      <c r="N237" s="719"/>
      <c r="O237" s="719"/>
      <c r="P237" s="719"/>
      <c r="Q237" s="719"/>
      <c r="R237" s="719"/>
      <c r="S237" s="719"/>
    </row>
    <row r="238" spans="2:19">
      <c r="B238" s="691" t="str">
        <f>"Total Distributions ("&amp;B211&amp;")"</f>
        <v>Total Distributions (Tier 1 - Preferred Return + Return of Capital)</v>
      </c>
      <c r="C238" s="691"/>
      <c r="D238" s="691"/>
      <c r="E238" s="691"/>
      <c r="F238" s="703">
        <f t="shared" ref="F238:P238" si="131">IF(F212="","",F225+F220+F235)</f>
        <v>0</v>
      </c>
      <c r="G238" s="703">
        <f t="shared" si="131"/>
        <v>0</v>
      </c>
      <c r="H238" s="703" t="str">
        <f t="shared" si="131"/>
        <v/>
      </c>
      <c r="I238" s="703" t="str">
        <f t="shared" si="131"/>
        <v/>
      </c>
      <c r="J238" s="703" t="str">
        <f t="shared" si="131"/>
        <v/>
      </c>
      <c r="K238" s="703" t="str">
        <f t="shared" si="131"/>
        <v/>
      </c>
      <c r="L238" s="703" t="str">
        <f t="shared" si="131"/>
        <v/>
      </c>
      <c r="M238" s="703" t="str">
        <f t="shared" si="131"/>
        <v/>
      </c>
      <c r="N238" s="703" t="str">
        <f t="shared" si="131"/>
        <v/>
      </c>
      <c r="O238" s="703" t="str">
        <f t="shared" si="131"/>
        <v/>
      </c>
      <c r="P238" s="703" t="str">
        <f t="shared" si="131"/>
        <v/>
      </c>
      <c r="Q238" s="703" t="str">
        <f>IF(Q212="","",Q225+Q220)</f>
        <v/>
      </c>
      <c r="R238" s="703" t="str">
        <f>IF(R212="","",R225+R220)</f>
        <v/>
      </c>
      <c r="S238" s="703" t="str">
        <f>IF(S212="","",S225+S220)</f>
        <v/>
      </c>
    </row>
    <row r="239" spans="2:19">
      <c r="B239" s="691" t="s">
        <v>503</v>
      </c>
      <c r="C239" s="691"/>
      <c r="D239" s="691"/>
      <c r="E239" s="691"/>
      <c r="F239" s="703">
        <f t="shared" ref="F239:S239" si="132">IF(F212="","",MAX(F206-F238,0))</f>
        <v>0</v>
      </c>
      <c r="G239" s="703">
        <f t="shared" si="132"/>
        <v>0</v>
      </c>
      <c r="H239" s="703" t="str">
        <f t="shared" si="132"/>
        <v/>
      </c>
      <c r="I239" s="703" t="str">
        <f t="shared" si="132"/>
        <v/>
      </c>
      <c r="J239" s="703" t="str">
        <f t="shared" si="132"/>
        <v/>
      </c>
      <c r="K239" s="703" t="str">
        <f t="shared" si="132"/>
        <v/>
      </c>
      <c r="L239" s="703" t="str">
        <f t="shared" si="132"/>
        <v/>
      </c>
      <c r="M239" s="703" t="str">
        <f t="shared" si="132"/>
        <v/>
      </c>
      <c r="N239" s="703" t="str">
        <f t="shared" si="132"/>
        <v/>
      </c>
      <c r="O239" s="703" t="str">
        <f t="shared" si="132"/>
        <v/>
      </c>
      <c r="P239" s="703" t="str">
        <f t="shared" si="132"/>
        <v/>
      </c>
      <c r="Q239" s="703" t="str">
        <f t="shared" si="132"/>
        <v/>
      </c>
      <c r="R239" s="703" t="str">
        <f t="shared" si="132"/>
        <v/>
      </c>
      <c r="S239" s="703" t="str">
        <f t="shared" si="132"/>
        <v/>
      </c>
    </row>
    <row r="240" spans="2:19">
      <c r="B240" s="691"/>
      <c r="C240" s="691"/>
      <c r="D240" s="691"/>
      <c r="E240" s="691"/>
      <c r="F240" s="701"/>
      <c r="G240" s="701"/>
      <c r="H240" s="701"/>
      <c r="I240" s="701"/>
      <c r="J240" s="701"/>
      <c r="K240" s="701"/>
      <c r="L240" s="701"/>
      <c r="M240" s="701"/>
      <c r="N240" s="701"/>
      <c r="O240" s="701"/>
      <c r="P240" s="701"/>
      <c r="Q240" s="701"/>
      <c r="R240" s="701"/>
      <c r="S240" s="701"/>
    </row>
    <row r="241" spans="2:19">
      <c r="B241" s="1045" t="s">
        <v>415</v>
      </c>
      <c r="C241" s="1046"/>
      <c r="D241" s="1046"/>
      <c r="E241" s="1047"/>
      <c r="F241" s="1048" t="s">
        <v>471</v>
      </c>
      <c r="G241" s="1049">
        <f t="shared" ref="G241:S241" si="133">G$20</f>
        <v>1</v>
      </c>
      <c r="H241" s="1049" t="str">
        <f t="shared" si="133"/>
        <v/>
      </c>
      <c r="I241" s="1049" t="str">
        <f t="shared" si="133"/>
        <v/>
      </c>
      <c r="J241" s="1049" t="str">
        <f t="shared" si="133"/>
        <v/>
      </c>
      <c r="K241" s="1049" t="str">
        <f t="shared" si="133"/>
        <v/>
      </c>
      <c r="L241" s="1049" t="str">
        <f t="shared" si="133"/>
        <v/>
      </c>
      <c r="M241" s="1049" t="str">
        <f t="shared" si="133"/>
        <v/>
      </c>
      <c r="N241" s="1049" t="str">
        <f t="shared" si="133"/>
        <v/>
      </c>
      <c r="O241" s="1049" t="str">
        <f t="shared" si="133"/>
        <v/>
      </c>
      <c r="P241" s="1049" t="str">
        <f t="shared" si="133"/>
        <v/>
      </c>
      <c r="Q241" s="1049" t="str">
        <f t="shared" si="133"/>
        <v/>
      </c>
      <c r="R241" s="1049" t="str">
        <f t="shared" si="133"/>
        <v/>
      </c>
      <c r="S241" s="1049" t="str">
        <f t="shared" si="133"/>
        <v/>
      </c>
    </row>
    <row r="242" spans="2:19">
      <c r="B242" s="701" t="s">
        <v>483</v>
      </c>
      <c r="C242" s="786">
        <f>E174</f>
        <v>1.75</v>
      </c>
      <c r="D242" s="691"/>
      <c r="E242" s="691"/>
      <c r="F242" s="701"/>
      <c r="G242" s="708"/>
      <c r="H242" s="708"/>
      <c r="I242" s="708"/>
      <c r="J242" s="708"/>
      <c r="K242" s="708"/>
      <c r="L242" s="708"/>
      <c r="M242" s="708"/>
      <c r="N242" s="708"/>
      <c r="O242" s="708"/>
      <c r="P242" s="708"/>
      <c r="Q242" s="708"/>
      <c r="R242" s="708"/>
      <c r="S242" s="708"/>
    </row>
    <row r="243" spans="2:19">
      <c r="B243" s="691" t="s">
        <v>484</v>
      </c>
      <c r="C243" s="691"/>
      <c r="D243" s="691"/>
      <c r="E243" s="691"/>
      <c r="F243" s="703">
        <f t="shared" ref="F243:P243" si="134">IF(F241="","",E248)</f>
        <v>0</v>
      </c>
      <c r="G243" s="703">
        <f t="shared" si="134"/>
        <v>0</v>
      </c>
      <c r="H243" s="703" t="str">
        <f t="shared" si="134"/>
        <v/>
      </c>
      <c r="I243" s="703" t="str">
        <f t="shared" si="134"/>
        <v/>
      </c>
      <c r="J243" s="703" t="str">
        <f t="shared" si="134"/>
        <v/>
      </c>
      <c r="K243" s="703" t="str">
        <f t="shared" si="134"/>
        <v/>
      </c>
      <c r="L243" s="703" t="str">
        <f t="shared" si="134"/>
        <v/>
      </c>
      <c r="M243" s="703" t="str">
        <f t="shared" si="134"/>
        <v/>
      </c>
      <c r="N243" s="703" t="str">
        <f t="shared" si="134"/>
        <v/>
      </c>
      <c r="O243" s="703" t="str">
        <f t="shared" si="134"/>
        <v/>
      </c>
      <c r="P243" s="703" t="str">
        <f t="shared" si="134"/>
        <v/>
      </c>
      <c r="Q243" s="703" t="str">
        <f>IF(Q241="","",P248)</f>
        <v/>
      </c>
      <c r="R243" s="703" t="str">
        <f>IF(R241="","",Q248)</f>
        <v/>
      </c>
      <c r="S243" s="703" t="str">
        <f>IF(S241="","",R248)</f>
        <v/>
      </c>
    </row>
    <row r="244" spans="2:19">
      <c r="B244" s="691" t="s">
        <v>504</v>
      </c>
      <c r="C244" s="691"/>
      <c r="D244" s="691"/>
      <c r="E244" s="691"/>
      <c r="F244" s="703">
        <f t="shared" ref="F244:P244" si="135">IF(F241="","",IF($D$170="Equity Multiple",E245*$C242-E245,F243*$C242))</f>
        <v>0</v>
      </c>
      <c r="G244" s="703">
        <f t="shared" si="135"/>
        <v>0</v>
      </c>
      <c r="H244" s="703" t="str">
        <f t="shared" si="135"/>
        <v/>
      </c>
      <c r="I244" s="703" t="str">
        <f t="shared" si="135"/>
        <v/>
      </c>
      <c r="J244" s="703" t="str">
        <f t="shared" si="135"/>
        <v/>
      </c>
      <c r="K244" s="703" t="str">
        <f t="shared" si="135"/>
        <v/>
      </c>
      <c r="L244" s="703" t="str">
        <f t="shared" si="135"/>
        <v/>
      </c>
      <c r="M244" s="703" t="str">
        <f t="shared" si="135"/>
        <v/>
      </c>
      <c r="N244" s="703" t="str">
        <f t="shared" si="135"/>
        <v/>
      </c>
      <c r="O244" s="703" t="str">
        <f t="shared" si="135"/>
        <v/>
      </c>
      <c r="P244" s="703" t="str">
        <f t="shared" si="135"/>
        <v/>
      </c>
      <c r="Q244" s="703" t="str">
        <f>IF(Q241="","",IF($D$170="Equity Multiple",P245*$C242-P245,Q243*$C242))</f>
        <v/>
      </c>
      <c r="R244" s="703" t="str">
        <f>IF(R241="","",IF($D$170="Equity Multiple",Q245*$C242-Q245,R243*$C242))</f>
        <v/>
      </c>
      <c r="S244" s="703" t="str">
        <f>IF(S241="","",IF($D$170="Equity Multiple",R245*$C242-R245,S243*$C242))</f>
        <v/>
      </c>
    </row>
    <row r="245" spans="2:19">
      <c r="B245" s="691" t="s">
        <v>487</v>
      </c>
      <c r="C245" s="691"/>
      <c r="D245" s="691"/>
      <c r="E245" s="691"/>
      <c r="F245" s="703">
        <f t="shared" ref="F245:S245" si="136">IF(F241="","",-MIN(0,F$61*$C$11))</f>
        <v>0</v>
      </c>
      <c r="G245" s="703">
        <f t="shared" si="136"/>
        <v>0</v>
      </c>
      <c r="H245" s="703" t="str">
        <f t="shared" si="136"/>
        <v/>
      </c>
      <c r="I245" s="703" t="str">
        <f t="shared" si="136"/>
        <v/>
      </c>
      <c r="J245" s="703" t="str">
        <f t="shared" si="136"/>
        <v/>
      </c>
      <c r="K245" s="703" t="str">
        <f t="shared" si="136"/>
        <v/>
      </c>
      <c r="L245" s="703" t="str">
        <f t="shared" si="136"/>
        <v/>
      </c>
      <c r="M245" s="703" t="str">
        <f t="shared" si="136"/>
        <v/>
      </c>
      <c r="N245" s="703" t="str">
        <f t="shared" si="136"/>
        <v/>
      </c>
      <c r="O245" s="703" t="str">
        <f t="shared" si="136"/>
        <v/>
      </c>
      <c r="P245" s="703" t="str">
        <f t="shared" si="136"/>
        <v/>
      </c>
      <c r="Q245" s="703" t="str">
        <f t="shared" si="136"/>
        <v/>
      </c>
      <c r="R245" s="703" t="str">
        <f t="shared" si="136"/>
        <v/>
      </c>
      <c r="S245" s="703" t="str">
        <f t="shared" si="136"/>
        <v/>
      </c>
    </row>
    <row r="246" spans="2:19">
      <c r="B246" s="691" t="s">
        <v>505</v>
      </c>
      <c r="C246" s="691"/>
      <c r="D246" s="691"/>
      <c r="E246" s="691"/>
      <c r="F246" s="703">
        <f t="shared" ref="F246:S246" si="137">F220</f>
        <v>0</v>
      </c>
      <c r="G246" s="703">
        <f t="shared" si="137"/>
        <v>0</v>
      </c>
      <c r="H246" s="703" t="str">
        <f t="shared" si="137"/>
        <v/>
      </c>
      <c r="I246" s="703" t="str">
        <f t="shared" si="137"/>
        <v/>
      </c>
      <c r="J246" s="703" t="str">
        <f t="shared" si="137"/>
        <v/>
      </c>
      <c r="K246" s="703" t="str">
        <f t="shared" si="137"/>
        <v/>
      </c>
      <c r="L246" s="703" t="str">
        <f t="shared" si="137"/>
        <v/>
      </c>
      <c r="M246" s="703" t="str">
        <f t="shared" si="137"/>
        <v/>
      </c>
      <c r="N246" s="703" t="str">
        <f t="shared" si="137"/>
        <v/>
      </c>
      <c r="O246" s="703" t="str">
        <f t="shared" si="137"/>
        <v/>
      </c>
      <c r="P246" s="703" t="str">
        <f t="shared" si="137"/>
        <v/>
      </c>
      <c r="Q246" s="703" t="str">
        <f t="shared" si="137"/>
        <v/>
      </c>
      <c r="R246" s="703" t="str">
        <f t="shared" si="137"/>
        <v/>
      </c>
      <c r="S246" s="703" t="str">
        <f t="shared" si="137"/>
        <v/>
      </c>
    </row>
    <row r="247" spans="2:19">
      <c r="B247" s="691" t="str">
        <f>"Distributions to LP-B "&amp;B241</f>
        <v>Distributions to LP-B Tier 2</v>
      </c>
      <c r="C247" s="691"/>
      <c r="D247" s="691"/>
      <c r="E247" s="691"/>
      <c r="F247" s="703">
        <f t="shared" ref="F247:S247" si="138">IF(F241="","",MIN(F243+F244-F246,F239*$I$17))</f>
        <v>0</v>
      </c>
      <c r="G247" s="703">
        <f t="shared" si="138"/>
        <v>0</v>
      </c>
      <c r="H247" s="703" t="str">
        <f t="shared" si="138"/>
        <v/>
      </c>
      <c r="I247" s="703" t="str">
        <f t="shared" si="138"/>
        <v/>
      </c>
      <c r="J247" s="703" t="str">
        <f t="shared" si="138"/>
        <v/>
      </c>
      <c r="K247" s="703" t="str">
        <f t="shared" si="138"/>
        <v/>
      </c>
      <c r="L247" s="703" t="str">
        <f t="shared" si="138"/>
        <v/>
      </c>
      <c r="M247" s="703" t="str">
        <f t="shared" si="138"/>
        <v/>
      </c>
      <c r="N247" s="703" t="str">
        <f t="shared" si="138"/>
        <v/>
      </c>
      <c r="O247" s="703" t="str">
        <f t="shared" si="138"/>
        <v/>
      </c>
      <c r="P247" s="703" t="str">
        <f t="shared" si="138"/>
        <v/>
      </c>
      <c r="Q247" s="703" t="str">
        <f t="shared" si="138"/>
        <v/>
      </c>
      <c r="R247" s="703" t="str">
        <f t="shared" si="138"/>
        <v/>
      </c>
      <c r="S247" s="703" t="str">
        <f t="shared" si="138"/>
        <v/>
      </c>
    </row>
    <row r="248" spans="2:19">
      <c r="B248" s="691" t="s">
        <v>489</v>
      </c>
      <c r="C248" s="691"/>
      <c r="D248" s="691"/>
      <c r="E248" s="691"/>
      <c r="F248" s="703">
        <f t="shared" ref="F248:S248" si="139">IF(F241="","",F243+F244+F245-F246-F247)</f>
        <v>0</v>
      </c>
      <c r="G248" s="703">
        <f t="shared" si="139"/>
        <v>0</v>
      </c>
      <c r="H248" s="703" t="str">
        <f t="shared" si="139"/>
        <v/>
      </c>
      <c r="I248" s="703" t="str">
        <f t="shared" si="139"/>
        <v/>
      </c>
      <c r="J248" s="703" t="str">
        <f t="shared" si="139"/>
        <v/>
      </c>
      <c r="K248" s="703" t="str">
        <f t="shared" si="139"/>
        <v/>
      </c>
      <c r="L248" s="703" t="str">
        <f t="shared" si="139"/>
        <v/>
      </c>
      <c r="M248" s="703" t="str">
        <f t="shared" si="139"/>
        <v/>
      </c>
      <c r="N248" s="703" t="str">
        <f t="shared" si="139"/>
        <v/>
      </c>
      <c r="O248" s="703" t="str">
        <f t="shared" si="139"/>
        <v/>
      </c>
      <c r="P248" s="703" t="str">
        <f t="shared" si="139"/>
        <v/>
      </c>
      <c r="Q248" s="703" t="str">
        <f t="shared" si="139"/>
        <v/>
      </c>
      <c r="R248" s="703" t="str">
        <f t="shared" si="139"/>
        <v/>
      </c>
      <c r="S248" s="703" t="str">
        <f t="shared" si="139"/>
        <v/>
      </c>
    </row>
    <row r="249" spans="2:19">
      <c r="B249" s="709">
        <f>C242</f>
        <v>1.75</v>
      </c>
      <c r="C249" s="691"/>
      <c r="D249" s="691"/>
      <c r="E249" s="784" t="e">
        <f>IF($D$170="IRR",IRR(F249:S249),SUMIF(F249:S249,"&gt;0")/-SUMIF(F249:S249,"&lt;0"))</f>
        <v>#DIV/0!</v>
      </c>
      <c r="F249" s="703">
        <f t="shared" ref="F249:S249" si="140">IF(F241="","",-F245+F246+F247)</f>
        <v>0</v>
      </c>
      <c r="G249" s="703">
        <f t="shared" si="140"/>
        <v>0</v>
      </c>
      <c r="H249" s="703" t="str">
        <f t="shared" si="140"/>
        <v/>
      </c>
      <c r="I249" s="703" t="str">
        <f t="shared" si="140"/>
        <v/>
      </c>
      <c r="J249" s="703" t="str">
        <f t="shared" si="140"/>
        <v/>
      </c>
      <c r="K249" s="703" t="str">
        <f t="shared" si="140"/>
        <v/>
      </c>
      <c r="L249" s="703" t="str">
        <f t="shared" si="140"/>
        <v/>
      </c>
      <c r="M249" s="703" t="str">
        <f t="shared" si="140"/>
        <v/>
      </c>
      <c r="N249" s="703" t="str">
        <f t="shared" si="140"/>
        <v/>
      </c>
      <c r="O249" s="703" t="str">
        <f t="shared" si="140"/>
        <v/>
      </c>
      <c r="P249" s="703" t="str">
        <f t="shared" si="140"/>
        <v/>
      </c>
      <c r="Q249" s="703" t="str">
        <f t="shared" si="140"/>
        <v/>
      </c>
      <c r="R249" s="703" t="str">
        <f t="shared" si="140"/>
        <v/>
      </c>
      <c r="S249" s="703" t="str">
        <f t="shared" si="140"/>
        <v/>
      </c>
    </row>
    <row r="250" spans="2:19">
      <c r="B250" s="713"/>
      <c r="C250" s="713"/>
      <c r="D250" s="713"/>
      <c r="E250" s="713"/>
      <c r="F250" s="778"/>
      <c r="G250" s="778"/>
      <c r="H250" s="778"/>
      <c r="I250" s="778"/>
      <c r="J250" s="778"/>
      <c r="K250" s="778"/>
      <c r="L250" s="778"/>
      <c r="M250" s="778"/>
      <c r="N250" s="778"/>
      <c r="O250" s="778"/>
      <c r="P250" s="778"/>
      <c r="Q250" s="778"/>
      <c r="R250" s="778"/>
      <c r="S250" s="778"/>
    </row>
    <row r="251" spans="2:19">
      <c r="B251" s="691" t="s">
        <v>490</v>
      </c>
      <c r="C251" s="691"/>
      <c r="D251" s="691"/>
      <c r="E251" s="691"/>
      <c r="F251" s="703">
        <f t="shared" ref="F251:S251" si="141">IF(F241="","",F247)</f>
        <v>0</v>
      </c>
      <c r="G251" s="703">
        <f t="shared" si="141"/>
        <v>0</v>
      </c>
      <c r="H251" s="703" t="str">
        <f t="shared" si="141"/>
        <v/>
      </c>
      <c r="I251" s="703" t="str">
        <f t="shared" si="141"/>
        <v/>
      </c>
      <c r="J251" s="703" t="str">
        <f t="shared" si="141"/>
        <v/>
      </c>
      <c r="K251" s="703" t="str">
        <f t="shared" si="141"/>
        <v/>
      </c>
      <c r="L251" s="703" t="str">
        <f t="shared" si="141"/>
        <v/>
      </c>
      <c r="M251" s="703" t="str">
        <f t="shared" si="141"/>
        <v/>
      </c>
      <c r="N251" s="703" t="str">
        <f t="shared" si="141"/>
        <v/>
      </c>
      <c r="O251" s="703" t="str">
        <f t="shared" si="141"/>
        <v/>
      </c>
      <c r="P251" s="703" t="str">
        <f t="shared" si="141"/>
        <v/>
      </c>
      <c r="Q251" s="703" t="str">
        <f t="shared" si="141"/>
        <v/>
      </c>
      <c r="R251" s="703" t="str">
        <f t="shared" si="141"/>
        <v/>
      </c>
      <c r="S251" s="703" t="str">
        <f t="shared" si="141"/>
        <v/>
      </c>
    </row>
    <row r="252" spans="2:19">
      <c r="B252" s="691" t="s">
        <v>494</v>
      </c>
      <c r="C252" s="691"/>
      <c r="D252" s="691"/>
      <c r="E252" s="691"/>
      <c r="F252" s="703">
        <f t="shared" ref="F252:S252" si="142">IF(F241="","",F251/$I$17*$H$17)</f>
        <v>0</v>
      </c>
      <c r="G252" s="703">
        <f t="shared" si="142"/>
        <v>0</v>
      </c>
      <c r="H252" s="703" t="str">
        <f t="shared" si="142"/>
        <v/>
      </c>
      <c r="I252" s="703" t="str">
        <f t="shared" si="142"/>
        <v/>
      </c>
      <c r="J252" s="703" t="str">
        <f t="shared" si="142"/>
        <v/>
      </c>
      <c r="K252" s="703" t="str">
        <f t="shared" si="142"/>
        <v/>
      </c>
      <c r="L252" s="703" t="str">
        <f t="shared" si="142"/>
        <v/>
      </c>
      <c r="M252" s="703" t="str">
        <f t="shared" si="142"/>
        <v/>
      </c>
      <c r="N252" s="703" t="str">
        <f t="shared" si="142"/>
        <v/>
      </c>
      <c r="O252" s="703" t="str">
        <f t="shared" si="142"/>
        <v/>
      </c>
      <c r="P252" s="703" t="str">
        <f t="shared" si="142"/>
        <v/>
      </c>
      <c r="Q252" s="703" t="str">
        <f t="shared" si="142"/>
        <v/>
      </c>
      <c r="R252" s="703" t="str">
        <f t="shared" si="142"/>
        <v/>
      </c>
      <c r="S252" s="703" t="str">
        <f t="shared" si="142"/>
        <v/>
      </c>
    </row>
    <row r="253" spans="2:19">
      <c r="B253" s="691" t="str">
        <f>"Total Distributions ("&amp;B241&amp;")"</f>
        <v>Total Distributions (Tier 2)</v>
      </c>
      <c r="C253" s="691"/>
      <c r="D253" s="691"/>
      <c r="E253" s="691"/>
      <c r="F253" s="703">
        <f t="shared" ref="F253:S253" si="143">IF(F241="","",F251+F252)</f>
        <v>0</v>
      </c>
      <c r="G253" s="703">
        <f t="shared" si="143"/>
        <v>0</v>
      </c>
      <c r="H253" s="703" t="str">
        <f t="shared" si="143"/>
        <v/>
      </c>
      <c r="I253" s="703" t="str">
        <f t="shared" si="143"/>
        <v/>
      </c>
      <c r="J253" s="703" t="str">
        <f t="shared" si="143"/>
        <v/>
      </c>
      <c r="K253" s="703" t="str">
        <f t="shared" si="143"/>
        <v/>
      </c>
      <c r="L253" s="703" t="str">
        <f t="shared" si="143"/>
        <v/>
      </c>
      <c r="M253" s="703" t="str">
        <f t="shared" si="143"/>
        <v/>
      </c>
      <c r="N253" s="703" t="str">
        <f t="shared" si="143"/>
        <v/>
      </c>
      <c r="O253" s="703" t="str">
        <f t="shared" si="143"/>
        <v/>
      </c>
      <c r="P253" s="703" t="str">
        <f t="shared" si="143"/>
        <v/>
      </c>
      <c r="Q253" s="703" t="str">
        <f t="shared" si="143"/>
        <v/>
      </c>
      <c r="R253" s="703" t="str">
        <f t="shared" si="143"/>
        <v/>
      </c>
      <c r="S253" s="703" t="str">
        <f t="shared" si="143"/>
        <v/>
      </c>
    </row>
    <row r="254" spans="2:19">
      <c r="B254" s="691" t="s">
        <v>503</v>
      </c>
      <c r="C254" s="691"/>
      <c r="D254" s="691"/>
      <c r="E254" s="691"/>
      <c r="F254" s="703">
        <f t="shared" ref="F254:S254" si="144">IF(F241="","",MAX(F$61-F238-F253,0))</f>
        <v>0</v>
      </c>
      <c r="G254" s="703">
        <f t="shared" si="144"/>
        <v>0</v>
      </c>
      <c r="H254" s="703" t="str">
        <f t="shared" si="144"/>
        <v/>
      </c>
      <c r="I254" s="703" t="str">
        <f t="shared" si="144"/>
        <v/>
      </c>
      <c r="J254" s="703" t="str">
        <f t="shared" si="144"/>
        <v/>
      </c>
      <c r="K254" s="703" t="str">
        <f t="shared" si="144"/>
        <v/>
      </c>
      <c r="L254" s="703" t="str">
        <f t="shared" si="144"/>
        <v/>
      </c>
      <c r="M254" s="703" t="str">
        <f t="shared" si="144"/>
        <v/>
      </c>
      <c r="N254" s="703" t="str">
        <f t="shared" si="144"/>
        <v/>
      </c>
      <c r="O254" s="703" t="str">
        <f t="shared" si="144"/>
        <v/>
      </c>
      <c r="P254" s="703" t="str">
        <f t="shared" si="144"/>
        <v/>
      </c>
      <c r="Q254" s="703" t="str">
        <f t="shared" si="144"/>
        <v/>
      </c>
      <c r="R254" s="703" t="str">
        <f t="shared" si="144"/>
        <v/>
      </c>
      <c r="S254" s="703" t="str">
        <f t="shared" si="144"/>
        <v/>
      </c>
    </row>
    <row r="255" spans="2:19">
      <c r="B255" s="691"/>
      <c r="C255" s="691"/>
      <c r="D255" s="691"/>
      <c r="E255" s="691"/>
      <c r="F255" s="701"/>
      <c r="G255" s="701"/>
      <c r="H255" s="701"/>
      <c r="I255" s="701"/>
      <c r="J255" s="701"/>
      <c r="K255" s="701"/>
      <c r="L255" s="701"/>
      <c r="M255" s="701"/>
      <c r="N255" s="701"/>
      <c r="O255" s="701"/>
      <c r="P255" s="701"/>
      <c r="Q255" s="701"/>
      <c r="R255" s="701"/>
      <c r="S255" s="701"/>
    </row>
    <row r="256" spans="2:19">
      <c r="B256" s="1045" t="s">
        <v>416</v>
      </c>
      <c r="C256" s="1046"/>
      <c r="D256" s="1046"/>
      <c r="E256" s="1047"/>
      <c r="F256" s="1048" t="s">
        <v>471</v>
      </c>
      <c r="G256" s="1049">
        <f t="shared" ref="G256:S256" si="145">G$20</f>
        <v>1</v>
      </c>
      <c r="H256" s="1049" t="str">
        <f t="shared" si="145"/>
        <v/>
      </c>
      <c r="I256" s="1049" t="str">
        <f t="shared" si="145"/>
        <v/>
      </c>
      <c r="J256" s="1049" t="str">
        <f t="shared" si="145"/>
        <v/>
      </c>
      <c r="K256" s="1049" t="str">
        <f t="shared" si="145"/>
        <v/>
      </c>
      <c r="L256" s="1049" t="str">
        <f t="shared" si="145"/>
        <v/>
      </c>
      <c r="M256" s="1049" t="str">
        <f t="shared" si="145"/>
        <v/>
      </c>
      <c r="N256" s="1049" t="str">
        <f t="shared" si="145"/>
        <v/>
      </c>
      <c r="O256" s="1049" t="str">
        <f t="shared" si="145"/>
        <v/>
      </c>
      <c r="P256" s="1049" t="str">
        <f t="shared" si="145"/>
        <v/>
      </c>
      <c r="Q256" s="1049" t="str">
        <f t="shared" si="145"/>
        <v/>
      </c>
      <c r="R256" s="1049" t="str">
        <f t="shared" si="145"/>
        <v/>
      </c>
      <c r="S256" s="1049" t="str">
        <f t="shared" si="145"/>
        <v/>
      </c>
    </row>
    <row r="257" spans="2:19">
      <c r="B257" s="701" t="s">
        <v>506</v>
      </c>
      <c r="C257" s="786">
        <f>E175</f>
        <v>99</v>
      </c>
      <c r="D257" s="691"/>
      <c r="E257" s="691"/>
      <c r="F257" s="701"/>
      <c r="G257" s="708"/>
      <c r="H257" s="708"/>
      <c r="I257" s="708"/>
      <c r="J257" s="708"/>
      <c r="K257" s="708"/>
      <c r="L257" s="708"/>
      <c r="M257" s="708"/>
      <c r="N257" s="708"/>
      <c r="O257" s="708"/>
      <c r="P257" s="708"/>
      <c r="Q257" s="708"/>
      <c r="R257" s="708"/>
      <c r="S257" s="708"/>
    </row>
    <row r="258" spans="2:19">
      <c r="B258" s="691" t="s">
        <v>484</v>
      </c>
      <c r="C258" s="691"/>
      <c r="D258" s="691"/>
      <c r="E258" s="691"/>
      <c r="F258" s="703">
        <f t="shared" ref="F258:P258" si="146">IF(F256="","",E263)</f>
        <v>0</v>
      </c>
      <c r="G258" s="703">
        <f t="shared" si="146"/>
        <v>0</v>
      </c>
      <c r="H258" s="703" t="str">
        <f t="shared" si="146"/>
        <v/>
      </c>
      <c r="I258" s="703" t="str">
        <f t="shared" si="146"/>
        <v/>
      </c>
      <c r="J258" s="703" t="str">
        <f t="shared" si="146"/>
        <v/>
      </c>
      <c r="K258" s="703" t="str">
        <f t="shared" si="146"/>
        <v/>
      </c>
      <c r="L258" s="703" t="str">
        <f t="shared" si="146"/>
        <v/>
      </c>
      <c r="M258" s="703" t="str">
        <f t="shared" si="146"/>
        <v/>
      </c>
      <c r="N258" s="703" t="str">
        <f t="shared" si="146"/>
        <v/>
      </c>
      <c r="O258" s="703" t="str">
        <f t="shared" si="146"/>
        <v/>
      </c>
      <c r="P258" s="703" t="str">
        <f t="shared" si="146"/>
        <v/>
      </c>
      <c r="Q258" s="703" t="str">
        <f>IF(Q256="","",P263)</f>
        <v/>
      </c>
      <c r="R258" s="703" t="str">
        <f>IF(R256="","",Q263)</f>
        <v/>
      </c>
      <c r="S258" s="703" t="str">
        <f>IF(S256="","",R263)</f>
        <v/>
      </c>
    </row>
    <row r="259" spans="2:19">
      <c r="B259" s="691" t="s">
        <v>507</v>
      </c>
      <c r="C259" s="691"/>
      <c r="D259" s="691"/>
      <c r="E259" s="691"/>
      <c r="F259" s="703">
        <f t="shared" ref="F259:P259" si="147">IF(F256="","",IF($D$170="Equity Multiple",E260*$C257-E260,F258*$C257))</f>
        <v>0</v>
      </c>
      <c r="G259" s="703">
        <f t="shared" si="147"/>
        <v>0</v>
      </c>
      <c r="H259" s="703" t="str">
        <f t="shared" si="147"/>
        <v/>
      </c>
      <c r="I259" s="703" t="str">
        <f t="shared" si="147"/>
        <v/>
      </c>
      <c r="J259" s="703" t="str">
        <f t="shared" si="147"/>
        <v/>
      </c>
      <c r="K259" s="703" t="str">
        <f t="shared" si="147"/>
        <v/>
      </c>
      <c r="L259" s="703" t="str">
        <f t="shared" si="147"/>
        <v/>
      </c>
      <c r="M259" s="703" t="str">
        <f t="shared" si="147"/>
        <v/>
      </c>
      <c r="N259" s="703" t="str">
        <f t="shared" si="147"/>
        <v/>
      </c>
      <c r="O259" s="703" t="str">
        <f t="shared" si="147"/>
        <v/>
      </c>
      <c r="P259" s="703" t="str">
        <f t="shared" si="147"/>
        <v/>
      </c>
      <c r="Q259" s="703" t="str">
        <f>IF(Q256="","",IF($D$170="Equity Multiple",P260*$C257-P260,Q258*$C257))</f>
        <v/>
      </c>
      <c r="R259" s="703" t="str">
        <f>IF(R256="","",IF($D$170="Equity Multiple",Q260*$C257-Q260,R258*$C257))</f>
        <v/>
      </c>
      <c r="S259" s="703" t="str">
        <f>IF(S256="","",IF($D$170="Equity Multiple",R260*$C257-R260,S258*$C257))</f>
        <v/>
      </c>
    </row>
    <row r="260" spans="2:19">
      <c r="B260" s="691" t="s">
        <v>487</v>
      </c>
      <c r="C260" s="691"/>
      <c r="D260" s="691"/>
      <c r="E260" s="691"/>
      <c r="F260" s="703">
        <f t="shared" ref="F260:S260" si="148">IF(F256="","",-MIN(0,F$61*$C$11))</f>
        <v>0</v>
      </c>
      <c r="G260" s="703">
        <f t="shared" si="148"/>
        <v>0</v>
      </c>
      <c r="H260" s="703" t="str">
        <f t="shared" si="148"/>
        <v/>
      </c>
      <c r="I260" s="703" t="str">
        <f t="shared" si="148"/>
        <v/>
      </c>
      <c r="J260" s="703" t="str">
        <f t="shared" si="148"/>
        <v/>
      </c>
      <c r="K260" s="703" t="str">
        <f t="shared" si="148"/>
        <v/>
      </c>
      <c r="L260" s="703" t="str">
        <f t="shared" si="148"/>
        <v/>
      </c>
      <c r="M260" s="703" t="str">
        <f t="shared" si="148"/>
        <v/>
      </c>
      <c r="N260" s="703" t="str">
        <f t="shared" si="148"/>
        <v/>
      </c>
      <c r="O260" s="703" t="str">
        <f t="shared" si="148"/>
        <v/>
      </c>
      <c r="P260" s="703" t="str">
        <f t="shared" si="148"/>
        <v/>
      </c>
      <c r="Q260" s="703" t="str">
        <f t="shared" si="148"/>
        <v/>
      </c>
      <c r="R260" s="703" t="str">
        <f t="shared" si="148"/>
        <v/>
      </c>
      <c r="S260" s="703" t="str">
        <f t="shared" si="148"/>
        <v/>
      </c>
    </row>
    <row r="261" spans="2:19">
      <c r="B261" s="691" t="s">
        <v>505</v>
      </c>
      <c r="C261" s="691"/>
      <c r="D261" s="691"/>
      <c r="E261" s="691"/>
      <c r="F261" s="703">
        <f t="shared" ref="F261:S261" si="149">IF(F256="","",F251+F220)</f>
        <v>0</v>
      </c>
      <c r="G261" s="703">
        <f t="shared" si="149"/>
        <v>0</v>
      </c>
      <c r="H261" s="703" t="str">
        <f t="shared" si="149"/>
        <v/>
      </c>
      <c r="I261" s="703" t="str">
        <f t="shared" si="149"/>
        <v/>
      </c>
      <c r="J261" s="703" t="str">
        <f t="shared" si="149"/>
        <v/>
      </c>
      <c r="K261" s="703" t="str">
        <f t="shared" si="149"/>
        <v/>
      </c>
      <c r="L261" s="703" t="str">
        <f t="shared" si="149"/>
        <v/>
      </c>
      <c r="M261" s="703" t="str">
        <f t="shared" si="149"/>
        <v/>
      </c>
      <c r="N261" s="703" t="str">
        <f t="shared" si="149"/>
        <v/>
      </c>
      <c r="O261" s="703" t="str">
        <f t="shared" si="149"/>
        <v/>
      </c>
      <c r="P261" s="703" t="str">
        <f t="shared" si="149"/>
        <v/>
      </c>
      <c r="Q261" s="703" t="str">
        <f t="shared" si="149"/>
        <v/>
      </c>
      <c r="R261" s="703" t="str">
        <f t="shared" si="149"/>
        <v/>
      </c>
      <c r="S261" s="703" t="str">
        <f t="shared" si="149"/>
        <v/>
      </c>
    </row>
    <row r="262" spans="2:19">
      <c r="B262" s="691" t="str">
        <f>"Distributions to LP-B "&amp;B256</f>
        <v>Distributions to LP-B Tier 3</v>
      </c>
      <c r="C262" s="691"/>
      <c r="D262" s="691"/>
      <c r="E262" s="691"/>
      <c r="F262" s="703">
        <f t="shared" ref="F262:S262" si="150">IF(F256="","",MIN(F258+F259-F261,F254*$I$18))</f>
        <v>0</v>
      </c>
      <c r="G262" s="703">
        <f t="shared" si="150"/>
        <v>0</v>
      </c>
      <c r="H262" s="703" t="str">
        <f t="shared" si="150"/>
        <v/>
      </c>
      <c r="I262" s="703" t="str">
        <f t="shared" si="150"/>
        <v/>
      </c>
      <c r="J262" s="703" t="str">
        <f t="shared" si="150"/>
        <v/>
      </c>
      <c r="K262" s="703" t="str">
        <f t="shared" si="150"/>
        <v/>
      </c>
      <c r="L262" s="703" t="str">
        <f t="shared" si="150"/>
        <v/>
      </c>
      <c r="M262" s="703" t="str">
        <f t="shared" si="150"/>
        <v/>
      </c>
      <c r="N262" s="703" t="str">
        <f t="shared" si="150"/>
        <v/>
      </c>
      <c r="O262" s="703" t="str">
        <f t="shared" si="150"/>
        <v/>
      </c>
      <c r="P262" s="703" t="str">
        <f t="shared" si="150"/>
        <v/>
      </c>
      <c r="Q262" s="703" t="str">
        <f t="shared" si="150"/>
        <v/>
      </c>
      <c r="R262" s="703" t="str">
        <f t="shared" si="150"/>
        <v/>
      </c>
      <c r="S262" s="703" t="str">
        <f t="shared" si="150"/>
        <v/>
      </c>
    </row>
    <row r="263" spans="2:19">
      <c r="B263" s="691" t="s">
        <v>489</v>
      </c>
      <c r="C263" s="691"/>
      <c r="D263" s="691"/>
      <c r="E263" s="691"/>
      <c r="F263" s="703">
        <f t="shared" ref="F263:S263" si="151">IF(F256="","",F258+F259+F260-F261-F262)</f>
        <v>0</v>
      </c>
      <c r="G263" s="703">
        <f t="shared" si="151"/>
        <v>0</v>
      </c>
      <c r="H263" s="703" t="str">
        <f t="shared" si="151"/>
        <v/>
      </c>
      <c r="I263" s="703" t="str">
        <f t="shared" si="151"/>
        <v/>
      </c>
      <c r="J263" s="703" t="str">
        <f t="shared" si="151"/>
        <v/>
      </c>
      <c r="K263" s="703" t="str">
        <f t="shared" si="151"/>
        <v/>
      </c>
      <c r="L263" s="703" t="str">
        <f t="shared" si="151"/>
        <v/>
      </c>
      <c r="M263" s="703" t="str">
        <f t="shared" si="151"/>
        <v/>
      </c>
      <c r="N263" s="703" t="str">
        <f t="shared" si="151"/>
        <v/>
      </c>
      <c r="O263" s="703" t="str">
        <f t="shared" si="151"/>
        <v/>
      </c>
      <c r="P263" s="703" t="str">
        <f t="shared" si="151"/>
        <v/>
      </c>
      <c r="Q263" s="703" t="str">
        <f t="shared" si="151"/>
        <v/>
      </c>
      <c r="R263" s="703" t="str">
        <f t="shared" si="151"/>
        <v/>
      </c>
      <c r="S263" s="703" t="str">
        <f t="shared" si="151"/>
        <v/>
      </c>
    </row>
    <row r="264" spans="2:19">
      <c r="B264" s="709">
        <f>C257</f>
        <v>99</v>
      </c>
      <c r="C264" s="691"/>
      <c r="D264" s="691"/>
      <c r="E264" s="784" t="e">
        <f>IF($D$170="IRR",IRR(F264:S264),SUMIF(F264:S264,"&gt;0")/-SUMIF(F264:S264,"&lt;0"))</f>
        <v>#DIV/0!</v>
      </c>
      <c r="F264" s="703">
        <f t="shared" ref="F264:S264" si="152">IF(F256="","",-F260+F261+F262)</f>
        <v>0</v>
      </c>
      <c r="G264" s="703">
        <f t="shared" si="152"/>
        <v>0</v>
      </c>
      <c r="H264" s="703" t="str">
        <f t="shared" si="152"/>
        <v/>
      </c>
      <c r="I264" s="703" t="str">
        <f t="shared" si="152"/>
        <v/>
      </c>
      <c r="J264" s="703" t="str">
        <f t="shared" si="152"/>
        <v/>
      </c>
      <c r="K264" s="703" t="str">
        <f t="shared" si="152"/>
        <v/>
      </c>
      <c r="L264" s="703" t="str">
        <f t="shared" si="152"/>
        <v/>
      </c>
      <c r="M264" s="703" t="str">
        <f t="shared" si="152"/>
        <v/>
      </c>
      <c r="N264" s="703" t="str">
        <f t="shared" si="152"/>
        <v/>
      </c>
      <c r="O264" s="703" t="str">
        <f t="shared" si="152"/>
        <v/>
      </c>
      <c r="P264" s="703" t="str">
        <f t="shared" si="152"/>
        <v/>
      </c>
      <c r="Q264" s="703" t="str">
        <f t="shared" si="152"/>
        <v/>
      </c>
      <c r="R264" s="703" t="str">
        <f t="shared" si="152"/>
        <v/>
      </c>
      <c r="S264" s="703" t="str">
        <f t="shared" si="152"/>
        <v/>
      </c>
    </row>
    <row r="265" spans="2:19">
      <c r="B265" s="713"/>
      <c r="C265" s="713"/>
      <c r="D265" s="713"/>
      <c r="E265" s="713"/>
      <c r="F265" s="778"/>
      <c r="G265" s="778"/>
      <c r="H265" s="778"/>
      <c r="I265" s="778"/>
      <c r="J265" s="778"/>
      <c r="K265" s="778"/>
      <c r="L265" s="778"/>
      <c r="M265" s="778"/>
      <c r="N265" s="778"/>
      <c r="O265" s="778"/>
      <c r="P265" s="778"/>
      <c r="Q265" s="778"/>
      <c r="R265" s="778"/>
      <c r="S265" s="778"/>
    </row>
    <row r="266" spans="2:19">
      <c r="B266" s="691" t="s">
        <v>490</v>
      </c>
      <c r="C266" s="691"/>
      <c r="D266" s="691"/>
      <c r="E266" s="691"/>
      <c r="F266" s="703">
        <f t="shared" ref="F266:S266" si="153">IF(F256="","",F262)</f>
        <v>0</v>
      </c>
      <c r="G266" s="703">
        <f t="shared" si="153"/>
        <v>0</v>
      </c>
      <c r="H266" s="703" t="str">
        <f t="shared" si="153"/>
        <v/>
      </c>
      <c r="I266" s="703" t="str">
        <f t="shared" si="153"/>
        <v/>
      </c>
      <c r="J266" s="703" t="str">
        <f t="shared" si="153"/>
        <v/>
      </c>
      <c r="K266" s="703" t="str">
        <f t="shared" si="153"/>
        <v/>
      </c>
      <c r="L266" s="703" t="str">
        <f t="shared" si="153"/>
        <v/>
      </c>
      <c r="M266" s="703" t="str">
        <f t="shared" si="153"/>
        <v/>
      </c>
      <c r="N266" s="703" t="str">
        <f t="shared" si="153"/>
        <v/>
      </c>
      <c r="O266" s="703" t="str">
        <f t="shared" si="153"/>
        <v/>
      </c>
      <c r="P266" s="703" t="str">
        <f t="shared" si="153"/>
        <v/>
      </c>
      <c r="Q266" s="703" t="str">
        <f t="shared" si="153"/>
        <v/>
      </c>
      <c r="R266" s="703" t="str">
        <f t="shared" si="153"/>
        <v/>
      </c>
      <c r="S266" s="703" t="str">
        <f t="shared" si="153"/>
        <v/>
      </c>
    </row>
    <row r="267" spans="2:19">
      <c r="B267" s="691" t="s">
        <v>494</v>
      </c>
      <c r="C267" s="691"/>
      <c r="D267" s="691"/>
      <c r="E267" s="691"/>
      <c r="F267" s="703">
        <f t="shared" ref="F267:S267" si="154">IF(F256="","",F266/$I$18*$H$18)</f>
        <v>0</v>
      </c>
      <c r="G267" s="703">
        <f t="shared" si="154"/>
        <v>0</v>
      </c>
      <c r="H267" s="703" t="str">
        <f t="shared" si="154"/>
        <v/>
      </c>
      <c r="I267" s="703" t="str">
        <f t="shared" si="154"/>
        <v/>
      </c>
      <c r="J267" s="703" t="str">
        <f t="shared" si="154"/>
        <v/>
      </c>
      <c r="K267" s="703" t="str">
        <f t="shared" si="154"/>
        <v/>
      </c>
      <c r="L267" s="703" t="str">
        <f t="shared" si="154"/>
        <v/>
      </c>
      <c r="M267" s="703" t="str">
        <f t="shared" si="154"/>
        <v/>
      </c>
      <c r="N267" s="703" t="str">
        <f t="shared" si="154"/>
        <v/>
      </c>
      <c r="O267" s="703" t="str">
        <f t="shared" si="154"/>
        <v/>
      </c>
      <c r="P267" s="703" t="str">
        <f t="shared" si="154"/>
        <v/>
      </c>
      <c r="Q267" s="703" t="str">
        <f t="shared" si="154"/>
        <v/>
      </c>
      <c r="R267" s="703" t="str">
        <f t="shared" si="154"/>
        <v/>
      </c>
      <c r="S267" s="703" t="str">
        <f t="shared" si="154"/>
        <v/>
      </c>
    </row>
    <row r="268" spans="2:19">
      <c r="B268" s="691" t="str">
        <f>"Total Distributions ("&amp;B256&amp;")"</f>
        <v>Total Distributions (Tier 3)</v>
      </c>
      <c r="C268" s="691"/>
      <c r="D268" s="691"/>
      <c r="E268" s="691"/>
      <c r="F268" s="703">
        <f t="shared" ref="F268:S268" si="155">IF(F256="","",F266+F267)</f>
        <v>0</v>
      </c>
      <c r="G268" s="703">
        <f t="shared" si="155"/>
        <v>0</v>
      </c>
      <c r="H268" s="703" t="str">
        <f t="shared" si="155"/>
        <v/>
      </c>
      <c r="I268" s="703" t="str">
        <f t="shared" si="155"/>
        <v/>
      </c>
      <c r="J268" s="703" t="str">
        <f t="shared" si="155"/>
        <v/>
      </c>
      <c r="K268" s="703" t="str">
        <f t="shared" si="155"/>
        <v/>
      </c>
      <c r="L268" s="703" t="str">
        <f t="shared" si="155"/>
        <v/>
      </c>
      <c r="M268" s="703" t="str">
        <f t="shared" si="155"/>
        <v/>
      </c>
      <c r="N268" s="703" t="str">
        <f t="shared" si="155"/>
        <v/>
      </c>
      <c r="O268" s="703" t="str">
        <f t="shared" si="155"/>
        <v/>
      </c>
      <c r="P268" s="703" t="str">
        <f t="shared" si="155"/>
        <v/>
      </c>
      <c r="Q268" s="703" t="str">
        <f t="shared" si="155"/>
        <v/>
      </c>
      <c r="R268" s="703" t="str">
        <f t="shared" si="155"/>
        <v/>
      </c>
      <c r="S268" s="703" t="str">
        <f t="shared" si="155"/>
        <v/>
      </c>
    </row>
    <row r="269" spans="2:19">
      <c r="B269" s="691" t="s">
        <v>503</v>
      </c>
      <c r="C269" s="691"/>
      <c r="D269" s="691"/>
      <c r="E269" s="691"/>
      <c r="F269" s="703">
        <f t="shared" ref="F269:S269" si="156">IF(F256="","",MAX(F$61-F238-F253-F268,0))</f>
        <v>0</v>
      </c>
      <c r="G269" s="703">
        <f t="shared" si="156"/>
        <v>0</v>
      </c>
      <c r="H269" s="703" t="str">
        <f t="shared" si="156"/>
        <v/>
      </c>
      <c r="I269" s="703" t="str">
        <f t="shared" si="156"/>
        <v/>
      </c>
      <c r="J269" s="703" t="str">
        <f t="shared" si="156"/>
        <v/>
      </c>
      <c r="K269" s="703" t="str">
        <f t="shared" si="156"/>
        <v/>
      </c>
      <c r="L269" s="703" t="str">
        <f t="shared" si="156"/>
        <v/>
      </c>
      <c r="M269" s="703" t="str">
        <f t="shared" si="156"/>
        <v/>
      </c>
      <c r="N269" s="703" t="str">
        <f t="shared" si="156"/>
        <v/>
      </c>
      <c r="O269" s="703" t="str">
        <f t="shared" si="156"/>
        <v/>
      </c>
      <c r="P269" s="703" t="str">
        <f t="shared" si="156"/>
        <v/>
      </c>
      <c r="Q269" s="703" t="str">
        <f t="shared" si="156"/>
        <v/>
      </c>
      <c r="R269" s="703" t="str">
        <f t="shared" si="156"/>
        <v/>
      </c>
      <c r="S269" s="703" t="str">
        <f t="shared" si="156"/>
        <v/>
      </c>
    </row>
    <row r="270" spans="2:19">
      <c r="F270" s="688"/>
      <c r="G270" s="688"/>
      <c r="H270" s="688"/>
      <c r="I270" s="688"/>
      <c r="J270" s="688"/>
      <c r="K270" s="688"/>
      <c r="L270" s="688"/>
      <c r="M270" s="688"/>
      <c r="N270" s="688"/>
      <c r="O270" s="688"/>
      <c r="P270" s="688"/>
    </row>
    <row r="271" spans="2:19">
      <c r="F271" s="688"/>
      <c r="G271" s="688"/>
      <c r="H271" s="688"/>
      <c r="I271" s="688"/>
      <c r="J271" s="688"/>
      <c r="K271" s="688"/>
      <c r="L271" s="688"/>
      <c r="M271" s="688"/>
      <c r="N271" s="688"/>
      <c r="O271" s="688"/>
      <c r="P271" s="688"/>
    </row>
    <row r="272" spans="2:19">
      <c r="B272" s="710" t="s">
        <v>509</v>
      </c>
      <c r="C272" s="711"/>
      <c r="F272" s="688"/>
      <c r="G272" s="688"/>
      <c r="H272" s="688"/>
      <c r="I272" s="688"/>
      <c r="J272" s="688"/>
      <c r="K272" s="688"/>
      <c r="L272" s="688"/>
      <c r="M272" s="688"/>
      <c r="N272" s="688"/>
      <c r="O272" s="688"/>
      <c r="P272" s="688"/>
    </row>
    <row r="273" spans="2:16">
      <c r="B273" s="710" t="s">
        <v>426</v>
      </c>
      <c r="C273" s="711"/>
      <c r="F273" s="688"/>
      <c r="G273" s="688"/>
      <c r="H273" s="688"/>
      <c r="I273" s="688"/>
      <c r="J273" s="688"/>
      <c r="K273" s="688"/>
      <c r="L273" s="688"/>
      <c r="M273" s="688"/>
      <c r="N273" s="688"/>
      <c r="O273" s="688"/>
      <c r="P273" s="688"/>
    </row>
    <row r="274" spans="2:16">
      <c r="B274" s="690">
        <v>3</v>
      </c>
      <c r="F274" s="688"/>
      <c r="G274" s="688"/>
      <c r="H274" s="688"/>
      <c r="I274" s="688"/>
      <c r="J274" s="688"/>
      <c r="K274" s="688"/>
      <c r="L274" s="688"/>
      <c r="M274" s="688"/>
      <c r="N274" s="688"/>
      <c r="O274" s="688"/>
      <c r="P274" s="688"/>
    </row>
    <row r="275" spans="2:16">
      <c r="B275" s="690"/>
    </row>
  </sheetData>
  <mergeCells count="12">
    <mergeCell ref="F171:G172"/>
    <mergeCell ref="F14:G15"/>
    <mergeCell ref="H14:J14"/>
    <mergeCell ref="I8:J8"/>
    <mergeCell ref="I9:J12"/>
    <mergeCell ref="F68:G69"/>
    <mergeCell ref="J173:N173"/>
    <mergeCell ref="J174:N174"/>
    <mergeCell ref="J175:N175"/>
    <mergeCell ref="J70:N70"/>
    <mergeCell ref="J71:N71"/>
    <mergeCell ref="J72:N72"/>
  </mergeCells>
  <conditionalFormatting sqref="C16:C18">
    <cfRule type="expression" dxfId="5" priority="3">
      <formula>$D$4="IRR"</formula>
    </cfRule>
  </conditionalFormatting>
  <conditionalFormatting sqref="D16:D18">
    <cfRule type="expression" dxfId="4" priority="5">
      <formula>$D$4="Equity Multiple"</formula>
    </cfRule>
  </conditionalFormatting>
  <conditionalFormatting sqref="E4:E6">
    <cfRule type="expression" dxfId="3" priority="1">
      <formula>$H$16&gt;=$C$9</formula>
    </cfRule>
  </conditionalFormatting>
  <conditionalFormatting sqref="E16:E18 J16:N18">
    <cfRule type="expression" dxfId="2" priority="2">
      <formula>$D$4="IRR + Emx"</formula>
    </cfRule>
  </conditionalFormatting>
  <conditionalFormatting sqref="E16:E18">
    <cfRule type="expression" dxfId="1" priority="4">
      <formula>$D$4="Equity Multiple"</formula>
    </cfRule>
  </conditionalFormatting>
  <conditionalFormatting sqref="M9:M10">
    <cfRule type="expression" dxfId="0" priority="6">
      <formula>$M$9="OK"</formula>
    </cfRule>
  </conditionalFormatting>
  <dataValidations disablePrompts="1" count="5">
    <dataValidation type="list" allowBlank="1" showInputMessage="1" showErrorMessage="1" sqref="D5" xr:uid="{98BB9D56-CCD9-3946-A9D1-9D7634F6C82B}">
      <formula1>$B$272:$B$273</formula1>
    </dataValidation>
    <dataValidation type="list" allowBlank="1" showInputMessage="1" showErrorMessage="1" sqref="D4" xr:uid="{0CF108DB-1FD6-634F-B9A5-6EA790606B47}">
      <formula1>"IRR, Equity Multiple, IRR + EMx"</formula1>
    </dataValidation>
    <dataValidation type="list" allowBlank="1" showInputMessage="1" showErrorMessage="1" sqref="D67" xr:uid="{D1B60D84-9E61-594C-8D78-8F7A3D47745F}">
      <formula1>"IRR"</formula1>
    </dataValidation>
    <dataValidation type="list" allowBlank="1" showInputMessage="1" showErrorMessage="1" sqref="E6" xr:uid="{3354058C-7BF0-A949-8738-2293592C3F53}">
      <formula1>"Yes, No"</formula1>
    </dataValidation>
    <dataValidation type="list" allowBlank="1" showInputMessage="1" showErrorMessage="1" sqref="D170" xr:uid="{A28E2562-514E-DD4A-939D-4A93EF30CC68}">
      <formula1>"Equity Multiple"</formula1>
    </dataValidation>
  </dataValidations>
  <pageMargins left="0.25" right="0.25" top="0.25" bottom="0.25" header="0" footer="0"/>
  <pageSetup scale="13" orientation="landscape"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526E-42DD-234C-AD3A-B736FFE9443B}">
  <sheetPr>
    <tabColor theme="6" tint="0.79998168889431442"/>
    <pageSetUpPr fitToPage="1"/>
  </sheetPr>
  <dimension ref="B2:AO380"/>
  <sheetViews>
    <sheetView showGridLines="0" topLeftCell="W1" workbookViewId="0">
      <selection activeCell="AO38" sqref="AO38"/>
    </sheetView>
  </sheetViews>
  <sheetFormatPr baseColWidth="10" defaultRowHeight="16"/>
  <cols>
    <col min="1" max="1" width="2.1640625" customWidth="1"/>
    <col min="7" max="7" width="14" customWidth="1"/>
    <col min="9" max="9" width="11.5" bestFit="1" customWidth="1"/>
    <col min="11" max="11" width="15" customWidth="1"/>
    <col min="12" max="12" width="17" customWidth="1"/>
    <col min="13" max="13" width="13.6640625" customWidth="1"/>
    <col min="17" max="17" width="25.1640625" bestFit="1" customWidth="1"/>
    <col min="19" max="19" width="11" bestFit="1" customWidth="1"/>
    <col min="20" max="20" width="8.6640625" bestFit="1" customWidth="1"/>
    <col min="21" max="21" width="9.33203125" bestFit="1" customWidth="1"/>
    <col min="22" max="22" width="11.6640625" bestFit="1" customWidth="1"/>
    <col min="23" max="23" width="11" bestFit="1" customWidth="1"/>
    <col min="24" max="24" width="11.83203125" bestFit="1" customWidth="1"/>
    <col min="25" max="25" width="8" bestFit="1" customWidth="1"/>
    <col min="26" max="26" width="21.6640625" bestFit="1" customWidth="1"/>
    <col min="27" max="27" width="11.6640625" bestFit="1" customWidth="1"/>
    <col min="28" max="28" width="12.33203125" bestFit="1" customWidth="1"/>
    <col min="33" max="33" width="12.6640625" customWidth="1"/>
    <col min="34" max="34" width="13.83203125" customWidth="1"/>
  </cols>
  <sheetData>
    <row r="2" spans="2:38" s="415" customFormat="1" ht="28" customHeight="1" thickBot="1">
      <c r="B2" s="415" t="s">
        <v>395</v>
      </c>
      <c r="AD2" s="938" t="s">
        <v>650</v>
      </c>
    </row>
    <row r="5" spans="2:38" ht="17" thickBot="1">
      <c r="B5" s="1" t="s">
        <v>111</v>
      </c>
      <c r="C5" s="1"/>
      <c r="D5" s="1"/>
      <c r="E5" s="1"/>
      <c r="F5" s="1"/>
      <c r="G5" s="1"/>
      <c r="H5" s="1"/>
      <c r="I5" s="1"/>
      <c r="J5" s="30"/>
      <c r="K5" s="1" t="s">
        <v>112</v>
      </c>
      <c r="L5" s="1"/>
      <c r="M5" s="1"/>
      <c r="Q5" s="1" t="s">
        <v>146</v>
      </c>
      <c r="R5" s="61"/>
      <c r="S5" s="35"/>
      <c r="T5" s="35"/>
      <c r="U5" s="35"/>
      <c r="V5" s="35"/>
      <c r="W5" s="35"/>
      <c r="X5" s="35"/>
      <c r="Y5" s="35"/>
      <c r="Z5" s="35"/>
      <c r="AA5" s="35"/>
      <c r="AB5" s="35"/>
      <c r="AD5" s="1" t="s">
        <v>111</v>
      </c>
      <c r="AE5" s="1"/>
      <c r="AF5" s="1"/>
      <c r="AG5" s="1"/>
      <c r="AH5" s="1"/>
      <c r="AJ5" s="1" t="s">
        <v>112</v>
      </c>
      <c r="AK5" s="1"/>
      <c r="AL5" s="1"/>
    </row>
    <row r="6" spans="2:38" ht="20" thickBot="1">
      <c r="B6" s="31" t="s">
        <v>522</v>
      </c>
      <c r="C6" s="32"/>
      <c r="D6" s="32"/>
      <c r="E6" s="32"/>
      <c r="H6" s="33"/>
      <c r="I6" s="34">
        <f>INPUTS!C12</f>
        <v>0</v>
      </c>
      <c r="J6" s="35"/>
      <c r="K6" s="36" t="s">
        <v>114</v>
      </c>
      <c r="L6" s="30"/>
      <c r="M6" s="34" t="e">
        <f>PV(I11/12,I12-I13+I14,-I15)</f>
        <v>#NUM!</v>
      </c>
      <c r="Q6" s="1" t="s">
        <v>111</v>
      </c>
      <c r="R6" s="1"/>
      <c r="S6" s="1"/>
      <c r="T6" s="1"/>
      <c r="U6" s="1"/>
      <c r="V6" s="1"/>
      <c r="W6" s="1"/>
      <c r="X6" s="1"/>
      <c r="Y6" s="30"/>
      <c r="Z6" s="1" t="s">
        <v>112</v>
      </c>
      <c r="AA6" s="1"/>
      <c r="AB6" s="1"/>
      <c r="AD6" t="s">
        <v>651</v>
      </c>
      <c r="AH6" s="43">
        <f>INPUTS!F20</f>
        <v>0</v>
      </c>
      <c r="AJ6" t="s">
        <v>114</v>
      </c>
      <c r="AL6" s="43" t="e" cm="1" vm="1">
        <f t="array" aca="1" ref="AL6" ca="1">IFERROR(INDEX(AL34:AL153,AH14),0)</f>
        <v>#VALUE!</v>
      </c>
    </row>
    <row r="7" spans="2:38" ht="19">
      <c r="B7" s="31" t="s">
        <v>115</v>
      </c>
      <c r="C7" s="32"/>
      <c r="D7" s="32"/>
      <c r="E7" s="32"/>
      <c r="H7" s="33"/>
      <c r="I7" s="37">
        <f>INPUTS!C16</f>
        <v>0</v>
      </c>
      <c r="J7" s="35"/>
      <c r="K7" s="36" t="s">
        <v>116</v>
      </c>
      <c r="L7" s="30"/>
      <c r="M7" s="34">
        <f>SUM(I19:I379,I10)</f>
        <v>0</v>
      </c>
      <c r="Q7" s="31" t="s">
        <v>147</v>
      </c>
      <c r="R7" s="32"/>
      <c r="S7" s="32"/>
      <c r="T7" s="32"/>
      <c r="W7" s="33"/>
      <c r="X7" s="34" t="str">
        <f>IF(INPUTS!C33="","",INDEX('PRO FORMA'!E17:W17,MATCH(INPUTS!C33,'PRO FORMA'!E5:W5,0))*INPUTS!C34)</f>
        <v/>
      </c>
      <c r="Y7" s="35"/>
      <c r="Z7" s="36" t="s">
        <v>114</v>
      </c>
      <c r="AA7" s="30"/>
      <c r="AB7" s="34" t="str">
        <f>IF(X16="","",PV(X12/12,X13-X14+X15,-X16))</f>
        <v/>
      </c>
      <c r="AD7" t="s">
        <v>652</v>
      </c>
      <c r="AH7" s="43">
        <f>INPUTS!F22*INPUTS!C7</f>
        <v>0</v>
      </c>
      <c r="AJ7" t="s">
        <v>116</v>
      </c>
      <c r="AL7" s="43">
        <f>IFERROR(SUM(AJ34:AJ153)+AH11,0)</f>
        <v>0</v>
      </c>
    </row>
    <row r="8" spans="2:38" ht="19">
      <c r="B8" s="31" t="s">
        <v>117</v>
      </c>
      <c r="C8" s="32"/>
      <c r="D8" s="32"/>
      <c r="E8" s="32"/>
      <c r="H8" s="33"/>
      <c r="I8" s="34">
        <f>(1-I7)*I6</f>
        <v>0</v>
      </c>
      <c r="J8" s="35"/>
      <c r="K8" s="36" t="s">
        <v>118</v>
      </c>
      <c r="L8" s="30"/>
      <c r="M8" s="38" t="e">
        <f>IRR(M19:M379)*12</f>
        <v>#NUM!</v>
      </c>
      <c r="Q8" s="31" t="s">
        <v>115</v>
      </c>
      <c r="R8" s="32"/>
      <c r="S8" s="32"/>
      <c r="T8" s="32"/>
      <c r="W8" s="33"/>
      <c r="X8" s="199">
        <f>INPUTS!C35</f>
        <v>0</v>
      </c>
      <c r="Y8" s="35"/>
      <c r="Z8" s="36" t="s">
        <v>116</v>
      </c>
      <c r="AA8" s="30"/>
      <c r="AB8" s="34">
        <f>IFERROR(SUM(X20:X380,X11),0)</f>
        <v>0</v>
      </c>
      <c r="AD8" t="s">
        <v>653</v>
      </c>
      <c r="AH8" s="43">
        <f>AH6-AH7</f>
        <v>0</v>
      </c>
      <c r="AJ8" t="s">
        <v>655</v>
      </c>
      <c r="AL8" s="43" cm="1">
        <f t="array" ref="AL8">IFERROR(SUMPRODUCT((AD34:AD153=AG15+1)*AI34:AI153),0)</f>
        <v>0</v>
      </c>
    </row>
    <row r="9" spans="2:38" ht="19">
      <c r="B9" s="39" t="s">
        <v>119</v>
      </c>
      <c r="C9" s="40"/>
      <c r="D9" s="41"/>
      <c r="E9" s="41"/>
      <c r="F9" s="30"/>
      <c r="G9" s="35"/>
      <c r="H9" s="42"/>
      <c r="I9" s="34">
        <f>I6*I7</f>
        <v>0</v>
      </c>
      <c r="J9" s="30"/>
      <c r="K9" s="36" t="s">
        <v>120</v>
      </c>
      <c r="L9" s="35"/>
      <c r="M9" s="34">
        <f>SUM(M32:M43)</f>
        <v>0</v>
      </c>
      <c r="Q9" s="31" t="s">
        <v>148</v>
      </c>
      <c r="R9" s="32"/>
      <c r="S9" s="32"/>
      <c r="T9" s="32"/>
      <c r="W9" s="33"/>
      <c r="X9" s="34" t="str">
        <f>IF(X7="","",X7*(1-X8))</f>
        <v/>
      </c>
      <c r="Y9" s="35"/>
      <c r="Z9" s="36" t="s">
        <v>118</v>
      </c>
      <c r="AA9" s="30"/>
      <c r="AB9" s="38">
        <f>IFERROR(IRR(AB20:AB380)*12,0)</f>
        <v>0</v>
      </c>
      <c r="AD9" t="s">
        <v>649</v>
      </c>
      <c r="AH9" s="215">
        <f>INPUTS!C25</f>
        <v>0</v>
      </c>
      <c r="AJ9" t="s">
        <v>656</v>
      </c>
      <c r="AL9" s="43">
        <f>IFERROR(AL8/12,0)</f>
        <v>0</v>
      </c>
    </row>
    <row r="10" spans="2:38" ht="19">
      <c r="B10" s="39" t="s">
        <v>121</v>
      </c>
      <c r="C10" s="40"/>
      <c r="D10" s="41"/>
      <c r="E10" s="41"/>
      <c r="F10" s="30"/>
      <c r="G10" s="35"/>
      <c r="H10" s="38">
        <f>INPUTS!C21</f>
        <v>0</v>
      </c>
      <c r="I10" s="34">
        <f>I9*H10</f>
        <v>0</v>
      </c>
      <c r="J10" s="43"/>
      <c r="K10" s="36" t="s">
        <v>122</v>
      </c>
      <c r="L10" s="35"/>
      <c r="M10" s="44" t="str">
        <f>H20</f>
        <v/>
      </c>
      <c r="Q10" s="39" t="s">
        <v>119</v>
      </c>
      <c r="R10" s="40"/>
      <c r="S10" s="41"/>
      <c r="T10" s="41"/>
      <c r="U10" s="30"/>
      <c r="V10" s="35"/>
      <c r="W10" s="42"/>
      <c r="X10" s="34" t="str">
        <f>IF(X7="","",X7*X8)</f>
        <v/>
      </c>
      <c r="Y10" s="30"/>
      <c r="Z10" s="36" t="s">
        <v>120</v>
      </c>
      <c r="AA10" s="35"/>
      <c r="AB10" s="34">
        <f>SUM(AB33:AB44)</f>
        <v>0</v>
      </c>
      <c r="AD10" t="s">
        <v>654</v>
      </c>
      <c r="AH10" s="43">
        <f>AH8*AH9</f>
        <v>0</v>
      </c>
    </row>
    <row r="11" spans="2:38" ht="19">
      <c r="B11" s="39" t="s">
        <v>123</v>
      </c>
      <c r="C11" s="40"/>
      <c r="D11" s="41"/>
      <c r="E11" s="41"/>
      <c r="F11" s="30"/>
      <c r="G11" s="35"/>
      <c r="H11" s="42"/>
      <c r="I11" s="38">
        <f>INPUTS!C18</f>
        <v>0</v>
      </c>
      <c r="J11" s="30"/>
      <c r="K11" s="36" t="s">
        <v>124</v>
      </c>
      <c r="L11" s="35"/>
      <c r="M11" s="45">
        <f>IFERROR('PRO FORMA'!E55/M9,0)</f>
        <v>0</v>
      </c>
      <c r="Q11" s="39" t="s">
        <v>121</v>
      </c>
      <c r="R11" s="40"/>
      <c r="S11" s="41"/>
      <c r="T11" s="41"/>
      <c r="U11" s="30"/>
      <c r="V11" s="35"/>
      <c r="W11" s="38">
        <f>INPUTS!C41</f>
        <v>0</v>
      </c>
      <c r="X11" s="34">
        <f>IFERROR(W11*X10,0)</f>
        <v>0</v>
      </c>
      <c r="Y11" s="43"/>
      <c r="Z11" s="36" t="s">
        <v>122</v>
      </c>
      <c r="AA11" s="35"/>
      <c r="AB11" s="44" t="str">
        <f>W21</f>
        <v/>
      </c>
      <c r="AD11" t="s">
        <v>121</v>
      </c>
      <c r="AG11" s="954">
        <f>INPUTS!C30</f>
        <v>0</v>
      </c>
      <c r="AH11" s="43">
        <f>AH10*AG11</f>
        <v>0</v>
      </c>
    </row>
    <row r="12" spans="2:38" ht="19">
      <c r="B12" s="39" t="s">
        <v>125</v>
      </c>
      <c r="C12" s="40"/>
      <c r="D12" s="41"/>
      <c r="E12" s="41"/>
      <c r="F12" s="30"/>
      <c r="G12" s="35"/>
      <c r="H12" s="46">
        <f>INPUTS!C19</f>
        <v>0</v>
      </c>
      <c r="I12" s="47">
        <f>H12*12</f>
        <v>0</v>
      </c>
      <c r="J12" s="30"/>
      <c r="K12" s="48"/>
      <c r="L12" s="30"/>
      <c r="M12" s="42"/>
      <c r="Q12" s="39" t="s">
        <v>123</v>
      </c>
      <c r="R12" s="40"/>
      <c r="S12" s="41"/>
      <c r="T12" s="41"/>
      <c r="U12" s="30"/>
      <c r="V12" s="35"/>
      <c r="W12" s="42"/>
      <c r="X12" s="38">
        <f>INPUTS!C37</f>
        <v>0</v>
      </c>
      <c r="Y12" s="30"/>
      <c r="Z12" s="36" t="s">
        <v>124</v>
      </c>
      <c r="AA12" s="35"/>
      <c r="AB12" s="45">
        <f>IFERROR(INDEX('PRO FORMA'!E55:W55,MATCH(INPUTS!C33,'PRO FORMA'!E5:W5,0))/AB10,0)</f>
        <v>0</v>
      </c>
      <c r="AD12" t="s">
        <v>123</v>
      </c>
      <c r="AH12" s="261">
        <f>INPUTS!C27</f>
        <v>0</v>
      </c>
    </row>
    <row r="13" spans="2:38" ht="20" thickBot="1">
      <c r="B13" s="39" t="s">
        <v>126</v>
      </c>
      <c r="C13" s="40"/>
      <c r="D13" s="41"/>
      <c r="E13" s="41"/>
      <c r="F13" s="30"/>
      <c r="G13" s="35"/>
      <c r="H13" s="46">
        <f>INPUTS!C17</f>
        <v>0</v>
      </c>
      <c r="I13" s="47">
        <f>H13*12</f>
        <v>0</v>
      </c>
      <c r="J13" s="30"/>
      <c r="K13" s="1" t="s">
        <v>127</v>
      </c>
      <c r="L13" s="1"/>
      <c r="M13" s="1"/>
      <c r="Q13" s="39" t="s">
        <v>125</v>
      </c>
      <c r="R13" s="40"/>
      <c r="S13" s="41"/>
      <c r="T13" s="41"/>
      <c r="U13" s="30"/>
      <c r="V13" s="35"/>
      <c r="W13" s="46">
        <f>INPUTS!C38</f>
        <v>0</v>
      </c>
      <c r="X13" s="47">
        <f>W13*12</f>
        <v>0</v>
      </c>
      <c r="Y13" s="30"/>
      <c r="Z13" s="48"/>
      <c r="AA13" s="30"/>
      <c r="AB13" s="42"/>
      <c r="AD13" t="s">
        <v>125</v>
      </c>
      <c r="AG13" s="46">
        <f>INPUTS!C28</f>
        <v>0</v>
      </c>
      <c r="AH13" s="47">
        <f>AG13*12</f>
        <v>0</v>
      </c>
    </row>
    <row r="14" spans="2:38" ht="20" thickBot="1">
      <c r="B14" s="39" t="s">
        <v>128</v>
      </c>
      <c r="C14" s="40"/>
      <c r="D14" s="41"/>
      <c r="E14" s="41"/>
      <c r="F14" s="30"/>
      <c r="G14" s="35"/>
      <c r="H14" s="46">
        <f>INPUTS!C20</f>
        <v>0</v>
      </c>
      <c r="I14" s="47">
        <f>H14*12</f>
        <v>0</v>
      </c>
      <c r="J14" s="30"/>
      <c r="K14" s="36" t="s">
        <v>129</v>
      </c>
      <c r="L14" s="30"/>
      <c r="M14" s="49" t="s">
        <v>130</v>
      </c>
      <c r="Q14" s="39" t="s">
        <v>126</v>
      </c>
      <c r="R14" s="40"/>
      <c r="S14" s="41"/>
      <c r="T14" s="41"/>
      <c r="U14" s="30"/>
      <c r="V14" s="35"/>
      <c r="W14" s="46">
        <f>INPUTS!C36</f>
        <v>0</v>
      </c>
      <c r="X14" s="47">
        <f>W14*12</f>
        <v>0</v>
      </c>
      <c r="Y14" s="30"/>
      <c r="Z14" s="1" t="s">
        <v>127</v>
      </c>
      <c r="AA14" s="1"/>
      <c r="AB14" s="1"/>
      <c r="AD14" t="s">
        <v>126</v>
      </c>
      <c r="AG14" s="46">
        <f>INPUTS!C26</f>
        <v>0</v>
      </c>
      <c r="AH14" s="47">
        <f>AG14*12</f>
        <v>0</v>
      </c>
    </row>
    <row r="15" spans="2:38" ht="19">
      <c r="B15" s="39" t="s">
        <v>131</v>
      </c>
      <c r="C15" s="40"/>
      <c r="D15" s="41"/>
      <c r="E15" s="41"/>
      <c r="F15" s="30"/>
      <c r="G15" s="35"/>
      <c r="H15" s="42"/>
      <c r="I15" s="34" t="e">
        <f>PMT(I11/12,I12,-I9)</f>
        <v>#NUM!</v>
      </c>
      <c r="J15" s="30"/>
      <c r="K15" s="50" t="s">
        <v>132</v>
      </c>
      <c r="L15" s="51"/>
      <c r="M15" s="52" t="str">
        <f>RIGHT(M14,3)</f>
        <v>360</v>
      </c>
      <c r="Q15" s="39" t="s">
        <v>128</v>
      </c>
      <c r="R15" s="40"/>
      <c r="S15" s="41"/>
      <c r="T15" s="41"/>
      <c r="U15" s="30"/>
      <c r="V15" s="35"/>
      <c r="W15" s="46">
        <f>INPUTS!C39</f>
        <v>0</v>
      </c>
      <c r="X15" s="47">
        <f>W15*12</f>
        <v>0</v>
      </c>
      <c r="Y15" s="30"/>
      <c r="Z15" s="36" t="s">
        <v>129</v>
      </c>
      <c r="AA15" s="30"/>
      <c r="AB15" s="49" t="s">
        <v>130</v>
      </c>
      <c r="AD15" t="s">
        <v>128</v>
      </c>
      <c r="AG15" s="46">
        <f>INPUTS!C29</f>
        <v>0</v>
      </c>
      <c r="AH15" s="47">
        <f>AG15*12</f>
        <v>0</v>
      </c>
    </row>
    <row r="16" spans="2:38" ht="19">
      <c r="B16" s="39" t="s">
        <v>133</v>
      </c>
      <c r="C16" s="40"/>
      <c r="D16" s="41"/>
      <c r="E16" s="41"/>
      <c r="F16" s="30"/>
      <c r="G16" s="35"/>
      <c r="H16" s="42"/>
      <c r="I16" s="34">
        <f>I9*I11/12</f>
        <v>0</v>
      </c>
      <c r="J16" s="30"/>
      <c r="K16" s="50" t="s">
        <v>134</v>
      </c>
      <c r="L16" s="53"/>
      <c r="M16" s="52" t="str">
        <f>LEFT(M14,FIND("/",M14)-1)</f>
        <v>30</v>
      </c>
      <c r="Q16" s="39" t="s">
        <v>131</v>
      </c>
      <c r="R16" s="40"/>
      <c r="S16" s="41"/>
      <c r="T16" s="41"/>
      <c r="U16" s="30"/>
      <c r="V16" s="35"/>
      <c r="W16" s="42"/>
      <c r="X16" s="34" t="str">
        <f>IF(X10="","",PMT(X12/12,X13,-X10))</f>
        <v/>
      </c>
      <c r="Y16" s="30"/>
      <c r="Z16" s="50" t="s">
        <v>132</v>
      </c>
      <c r="AA16" s="51"/>
      <c r="AB16" s="52" t="str">
        <f>RIGHT(AB15,3)</f>
        <v>360</v>
      </c>
      <c r="AD16" t="s">
        <v>131</v>
      </c>
      <c r="AH16" s="34">
        <f>IFERROR(PMT(AH12/12,AH13,-AH10),0)</f>
        <v>0</v>
      </c>
    </row>
    <row r="17" spans="2:41" ht="19">
      <c r="B17" s="54"/>
      <c r="C17" s="54"/>
      <c r="D17" s="30"/>
      <c r="E17" s="30"/>
      <c r="F17" s="30"/>
      <c r="G17" s="35"/>
      <c r="H17" s="55"/>
      <c r="I17" s="55"/>
      <c r="J17" s="30"/>
      <c r="K17" s="30"/>
      <c r="L17" s="30"/>
      <c r="M17" s="30"/>
      <c r="Q17" s="39" t="s">
        <v>133</v>
      </c>
      <c r="R17" s="40"/>
      <c r="S17" s="41"/>
      <c r="T17" s="41"/>
      <c r="U17" s="30"/>
      <c r="V17" s="35"/>
      <c r="W17" s="42"/>
      <c r="X17" s="34" t="str">
        <f>IF(X10="","",X10*X12/12)</f>
        <v/>
      </c>
      <c r="Y17" s="30"/>
      <c r="Z17" s="50" t="s">
        <v>134</v>
      </c>
      <c r="AA17" s="53"/>
      <c r="AB17" s="52" t="str">
        <f>LEFT(AB15,FIND("/",AB15)-1)</f>
        <v>30</v>
      </c>
      <c r="AD17" t="s">
        <v>133</v>
      </c>
      <c r="AH17" s="34">
        <f>IFERROR(AH10*AH12/12,0)</f>
        <v>0</v>
      </c>
    </row>
    <row r="18" spans="2:41" ht="17" thickBot="1">
      <c r="B18" s="56" t="s">
        <v>67</v>
      </c>
      <c r="C18" s="56" t="s">
        <v>135</v>
      </c>
      <c r="D18" s="56" t="s">
        <v>136</v>
      </c>
      <c r="E18" s="56" t="s">
        <v>137</v>
      </c>
      <c r="F18" s="56" t="s">
        <v>138</v>
      </c>
      <c r="G18" s="56" t="s">
        <v>139</v>
      </c>
      <c r="H18" s="56" t="s">
        <v>140</v>
      </c>
      <c r="I18" s="56" t="s">
        <v>110</v>
      </c>
      <c r="J18" s="56" t="s">
        <v>141</v>
      </c>
      <c r="K18" s="56" t="s">
        <v>142</v>
      </c>
      <c r="L18" s="56" t="s">
        <v>143</v>
      </c>
      <c r="M18" s="56" t="s">
        <v>144</v>
      </c>
      <c r="Q18" s="54"/>
      <c r="R18" s="54"/>
      <c r="S18" s="30"/>
      <c r="T18" s="30"/>
      <c r="U18" s="30"/>
      <c r="V18" s="35"/>
      <c r="W18" s="55"/>
      <c r="X18" s="55"/>
      <c r="Y18" s="30"/>
      <c r="Z18" s="30"/>
      <c r="AA18" s="30"/>
      <c r="AB18" s="30"/>
    </row>
    <row r="19" spans="2:41" ht="17" thickBot="1">
      <c r="B19" s="57">
        <f t="shared" ref="B19:B82" si="0">IF(C19="","",ROUNDUP(C19/12,0))</f>
        <v>0</v>
      </c>
      <c r="C19" s="58">
        <v>0</v>
      </c>
      <c r="D19" s="59">
        <v>43861</v>
      </c>
      <c r="E19" s="59"/>
      <c r="F19" s="59"/>
      <c r="G19" s="27">
        <v>0</v>
      </c>
      <c r="H19" s="60"/>
      <c r="I19" s="60"/>
      <c r="J19" s="60"/>
      <c r="K19" s="60"/>
      <c r="L19" s="60">
        <f>I9</f>
        <v>0</v>
      </c>
      <c r="M19" s="60">
        <f>-I9+I10</f>
        <v>0</v>
      </c>
      <c r="Q19" s="56" t="s">
        <v>67</v>
      </c>
      <c r="R19" s="56" t="s">
        <v>135</v>
      </c>
      <c r="S19" s="56" t="s">
        <v>136</v>
      </c>
      <c r="T19" s="56" t="s">
        <v>137</v>
      </c>
      <c r="U19" s="56" t="s">
        <v>138</v>
      </c>
      <c r="V19" s="56" t="s">
        <v>139</v>
      </c>
      <c r="W19" s="56" t="s">
        <v>140</v>
      </c>
      <c r="X19" s="56" t="s">
        <v>110</v>
      </c>
      <c r="Y19" s="56" t="s">
        <v>141</v>
      </c>
      <c r="Z19" s="56" t="s">
        <v>142</v>
      </c>
      <c r="AA19" s="56" t="s">
        <v>143</v>
      </c>
      <c r="AB19" s="56" t="s">
        <v>144</v>
      </c>
      <c r="AD19" s="1" t="s">
        <v>657</v>
      </c>
      <c r="AE19" s="1"/>
      <c r="AF19" s="1"/>
      <c r="AG19" s="1"/>
      <c r="AH19" s="1"/>
      <c r="AI19" s="1"/>
    </row>
    <row r="20" spans="2:41" ht="17" thickBot="1">
      <c r="B20" s="57" t="str">
        <f t="shared" si="0"/>
        <v/>
      </c>
      <c r="C20" s="58" t="str">
        <f t="shared" ref="C20:C83" si="1">IF(OR(C19="",C19&gt;=$I$13),"",C19+1)</f>
        <v/>
      </c>
      <c r="D20" s="28" t="str">
        <f t="shared" ref="D20:D83" si="2">IF(B20="","",EOMONTH(D19,1))</f>
        <v/>
      </c>
      <c r="E20" s="28" t="str">
        <f t="shared" ref="E20:E83" si="3">IF(B20="","",$M$15)</f>
        <v/>
      </c>
      <c r="F20" s="29" t="str">
        <f t="shared" ref="F20:F83" si="4">IF(B20="","",IF($M$16="Actual",D20-D19,30))</f>
        <v/>
      </c>
      <c r="G20" s="60" t="str">
        <f t="shared" ref="G20:G83" si="5">IF(B20="","",L19)</f>
        <v/>
      </c>
      <c r="H20" s="60" t="str">
        <f t="shared" ref="H20:H83" si="6">IF(B20="","",(C20&lt;=$I$14)*I20+(C20&gt;$I$14)*PMT($I$11/(E20/F20),$I$12+$I$14-C19,-G20))</f>
        <v/>
      </c>
      <c r="I20" s="60" t="str">
        <f t="shared" ref="I20:I83" si="7">IF(B20="","",G20*$I$11/E20*F20)</f>
        <v/>
      </c>
      <c r="J20" s="60" t="str">
        <f t="shared" ref="J20:J83" si="8">IF(B20="","",H20-I20)</f>
        <v/>
      </c>
      <c r="K20" s="60" t="str">
        <f t="shared" ref="K20:K83" si="9">IF(B20="","",(C20=$I$13)*(G20-J20))</f>
        <v/>
      </c>
      <c r="L20" s="60" t="str">
        <f t="shared" ref="L20:L83" si="10">IF(B20="","",G20-J20-K20)</f>
        <v/>
      </c>
      <c r="M20" s="60" t="str">
        <f t="shared" ref="M20:M83" si="11">IF(B20="","",I20+J20+K20)</f>
        <v/>
      </c>
      <c r="Q20" s="57">
        <f t="shared" ref="Q20:Q83" si="12">IF(R20="","",ROUNDUP(R20/12,0))</f>
        <v>0</v>
      </c>
      <c r="R20" s="58">
        <v>0</v>
      </c>
      <c r="S20" s="59">
        <v>43861</v>
      </c>
      <c r="T20" s="59"/>
      <c r="U20" s="59"/>
      <c r="V20" s="27">
        <v>0</v>
      </c>
      <c r="W20" s="60"/>
      <c r="X20" s="60"/>
      <c r="Y20" s="60"/>
      <c r="Z20" s="60"/>
      <c r="AA20" s="60">
        <f>IF(X10="",0,X10)</f>
        <v>0</v>
      </c>
      <c r="AB20" s="60">
        <f>IFERROR(IF(X10="",0,-X10+X11),0)</f>
        <v>0</v>
      </c>
      <c r="AD20" s="1" t="s">
        <v>67</v>
      </c>
      <c r="AE20" s="1" t="s">
        <v>658</v>
      </c>
      <c r="AF20" s="1" t="s">
        <v>659</v>
      </c>
      <c r="AG20" s="1" t="s">
        <v>660</v>
      </c>
      <c r="AH20" s="1" t="s">
        <v>661</v>
      </c>
      <c r="AI20" s="1" t="s">
        <v>662</v>
      </c>
      <c r="AJ20" s="1"/>
      <c r="AK20" s="1"/>
      <c r="AL20" s="1"/>
      <c r="AM20" s="1" t="s">
        <v>666</v>
      </c>
      <c r="AN20" s="1" t="s">
        <v>667</v>
      </c>
      <c r="AO20" s="1" t="s">
        <v>142</v>
      </c>
    </row>
    <row r="21" spans="2:41">
      <c r="B21" s="57" t="str">
        <f t="shared" si="0"/>
        <v/>
      </c>
      <c r="C21" s="58" t="str">
        <f t="shared" si="1"/>
        <v/>
      </c>
      <c r="D21" s="28" t="str">
        <f t="shared" si="2"/>
        <v/>
      </c>
      <c r="E21" s="28" t="str">
        <f t="shared" si="3"/>
        <v/>
      </c>
      <c r="F21" s="29" t="str">
        <f t="shared" si="4"/>
        <v/>
      </c>
      <c r="G21" s="60" t="str">
        <f t="shared" si="5"/>
        <v/>
      </c>
      <c r="H21" s="60" t="str">
        <f t="shared" si="6"/>
        <v/>
      </c>
      <c r="I21" s="60" t="str">
        <f t="shared" si="7"/>
        <v/>
      </c>
      <c r="J21" s="60" t="str">
        <f t="shared" si="8"/>
        <v/>
      </c>
      <c r="K21" s="60" t="str">
        <f t="shared" si="9"/>
        <v/>
      </c>
      <c r="L21" s="60" t="str">
        <f t="shared" si="10"/>
        <v/>
      </c>
      <c r="M21" s="60" t="str">
        <f t="shared" si="11"/>
        <v/>
      </c>
      <c r="Q21" s="57" t="str">
        <f t="shared" si="12"/>
        <v/>
      </c>
      <c r="R21" s="58" t="str">
        <f t="shared" ref="R21:R84" si="13">IF(OR(R20="",R20&gt;=$I$13),"",R20+1)</f>
        <v/>
      </c>
      <c r="S21" s="28" t="str">
        <f t="shared" ref="S21:S84" si="14">IF(Q21="","",EOMONTH(S20,1))</f>
        <v/>
      </c>
      <c r="T21" s="28" t="str">
        <f t="shared" ref="T21:T84" si="15">IF(Q21="","",$M$15)</f>
        <v/>
      </c>
      <c r="U21" s="29" t="str">
        <f t="shared" ref="U21:U84" si="16">IF(Q21="","",IF($M$16="Actual",S21-S20,30))</f>
        <v/>
      </c>
      <c r="V21" s="60" t="str">
        <f t="shared" ref="V21:V84" si="17">IF(Q21="","",AA20)</f>
        <v/>
      </c>
      <c r="W21" s="60" t="str">
        <f t="shared" ref="W21:W84" si="18">IF(Q21="","",(R21&lt;=$I$14)*X21+(R21&gt;$I$14)*PMT($I$11/(T21/U21),$I$12+$I$14-R20,-V21))</f>
        <v/>
      </c>
      <c r="X21" s="60" t="str">
        <f t="shared" ref="X21:X84" si="19">IF(Q21="","",V21*$I$11/T21*U21)</f>
        <v/>
      </c>
      <c r="Y21" s="60" t="str">
        <f t="shared" ref="Y21:Y84" si="20">IF(Q21="","",W21-X21)</f>
        <v/>
      </c>
      <c r="Z21" s="60" t="str">
        <f t="shared" ref="Z21:Z84" si="21">IF(Q21="","",(R21=$I$13)*(V21-Y21))</f>
        <v/>
      </c>
      <c r="AA21" s="60" t="str">
        <f t="shared" ref="AA21:AA84" si="22">IF(Q21="","",V21-Y21-Z21)</f>
        <v/>
      </c>
      <c r="AB21" s="60" t="str">
        <f t="shared" ref="AB21:AB84" si="23">IF(Q21="","",X21+Y21+Z21)</f>
        <v/>
      </c>
      <c r="AD21">
        <v>1</v>
      </c>
      <c r="AE21" s="43">
        <f>PIP!R5</f>
        <v>0</v>
      </c>
      <c r="AF21" s="43">
        <f>PIP!S5</f>
        <v>0</v>
      </c>
      <c r="AG21" s="43">
        <f>PIP!T5</f>
        <v>0</v>
      </c>
      <c r="AH21" s="43">
        <f>PIP!U5</f>
        <v>0</v>
      </c>
      <c r="AI21" s="43">
        <f>PIP!V5</f>
        <v>0</v>
      </c>
      <c r="AM21" s="43">
        <f>PIP!W5</f>
        <v>0</v>
      </c>
      <c r="AN21" s="43">
        <f>PIP!X5</f>
        <v>0</v>
      </c>
      <c r="AO21" s="43">
        <f>PIP!Y5</f>
        <v>0</v>
      </c>
    </row>
    <row r="22" spans="2:41">
      <c r="B22" s="57" t="str">
        <f t="shared" si="0"/>
        <v/>
      </c>
      <c r="C22" s="58" t="str">
        <f t="shared" si="1"/>
        <v/>
      </c>
      <c r="D22" s="28" t="str">
        <f t="shared" si="2"/>
        <v/>
      </c>
      <c r="E22" s="28" t="str">
        <f t="shared" si="3"/>
        <v/>
      </c>
      <c r="F22" s="29" t="str">
        <f t="shared" si="4"/>
        <v/>
      </c>
      <c r="G22" s="60" t="str">
        <f t="shared" si="5"/>
        <v/>
      </c>
      <c r="H22" s="60" t="str">
        <f t="shared" si="6"/>
        <v/>
      </c>
      <c r="I22" s="60" t="str">
        <f t="shared" si="7"/>
        <v/>
      </c>
      <c r="J22" s="60" t="str">
        <f t="shared" si="8"/>
        <v/>
      </c>
      <c r="K22" s="60" t="str">
        <f t="shared" si="9"/>
        <v/>
      </c>
      <c r="L22" s="60" t="str">
        <f t="shared" si="10"/>
        <v/>
      </c>
      <c r="M22" s="60" t="str">
        <f t="shared" si="11"/>
        <v/>
      </c>
      <c r="Q22" s="57" t="str">
        <f t="shared" si="12"/>
        <v/>
      </c>
      <c r="R22" s="58" t="str">
        <f t="shared" si="13"/>
        <v/>
      </c>
      <c r="S22" s="28" t="str">
        <f t="shared" si="14"/>
        <v/>
      </c>
      <c r="T22" s="28" t="str">
        <f t="shared" si="15"/>
        <v/>
      </c>
      <c r="U22" s="29" t="str">
        <f t="shared" si="16"/>
        <v/>
      </c>
      <c r="V22" s="60" t="str">
        <f t="shared" si="17"/>
        <v/>
      </c>
      <c r="W22" s="60" t="str">
        <f t="shared" si="18"/>
        <v/>
      </c>
      <c r="X22" s="60" t="str">
        <f t="shared" si="19"/>
        <v/>
      </c>
      <c r="Y22" s="60" t="str">
        <f t="shared" si="20"/>
        <v/>
      </c>
      <c r="Z22" s="60" t="str">
        <f t="shared" si="21"/>
        <v/>
      </c>
      <c r="AA22" s="60" t="str">
        <f t="shared" si="22"/>
        <v/>
      </c>
      <c r="AB22" s="60" t="str">
        <f t="shared" si="23"/>
        <v/>
      </c>
      <c r="AD22">
        <v>2</v>
      </c>
      <c r="AE22" s="43">
        <f>PIP!R6</f>
        <v>0</v>
      </c>
      <c r="AF22" s="43">
        <f>PIP!S6</f>
        <v>0</v>
      </c>
      <c r="AG22" s="43">
        <f>PIP!T6</f>
        <v>0</v>
      </c>
      <c r="AH22" s="43">
        <f>PIP!U6</f>
        <v>0</v>
      </c>
      <c r="AI22" s="43">
        <f>PIP!V6</f>
        <v>0</v>
      </c>
      <c r="AM22" s="43">
        <f>PIP!W6</f>
        <v>0</v>
      </c>
      <c r="AN22" s="43">
        <f>PIP!X6</f>
        <v>0</v>
      </c>
      <c r="AO22" s="43">
        <f>PIP!Y6</f>
        <v>0</v>
      </c>
    </row>
    <row r="23" spans="2:41">
      <c r="B23" s="57" t="str">
        <f t="shared" si="0"/>
        <v/>
      </c>
      <c r="C23" s="58" t="str">
        <f t="shared" si="1"/>
        <v/>
      </c>
      <c r="D23" s="28" t="str">
        <f t="shared" si="2"/>
        <v/>
      </c>
      <c r="E23" s="28" t="str">
        <f t="shared" si="3"/>
        <v/>
      </c>
      <c r="F23" s="29" t="str">
        <f t="shared" si="4"/>
        <v/>
      </c>
      <c r="G23" s="60" t="str">
        <f t="shared" si="5"/>
        <v/>
      </c>
      <c r="H23" s="60" t="str">
        <f t="shared" si="6"/>
        <v/>
      </c>
      <c r="I23" s="60" t="str">
        <f t="shared" si="7"/>
        <v/>
      </c>
      <c r="J23" s="60" t="str">
        <f t="shared" si="8"/>
        <v/>
      </c>
      <c r="K23" s="60" t="str">
        <f t="shared" si="9"/>
        <v/>
      </c>
      <c r="L23" s="60" t="str">
        <f t="shared" si="10"/>
        <v/>
      </c>
      <c r="M23" s="60" t="str">
        <f t="shared" si="11"/>
        <v/>
      </c>
      <c r="Q23" s="57" t="str">
        <f t="shared" si="12"/>
        <v/>
      </c>
      <c r="R23" s="58" t="str">
        <f t="shared" si="13"/>
        <v/>
      </c>
      <c r="S23" s="28" t="str">
        <f t="shared" si="14"/>
        <v/>
      </c>
      <c r="T23" s="28" t="str">
        <f t="shared" si="15"/>
        <v/>
      </c>
      <c r="U23" s="29" t="str">
        <f t="shared" si="16"/>
        <v/>
      </c>
      <c r="V23" s="60" t="str">
        <f t="shared" si="17"/>
        <v/>
      </c>
      <c r="W23" s="60" t="str">
        <f t="shared" si="18"/>
        <v/>
      </c>
      <c r="X23" s="60" t="str">
        <f t="shared" si="19"/>
        <v/>
      </c>
      <c r="Y23" s="60" t="str">
        <f t="shared" si="20"/>
        <v/>
      </c>
      <c r="Z23" s="60" t="str">
        <f t="shared" si="21"/>
        <v/>
      </c>
      <c r="AA23" s="60" t="str">
        <f t="shared" si="22"/>
        <v/>
      </c>
      <c r="AB23" s="60" t="str">
        <f t="shared" si="23"/>
        <v/>
      </c>
      <c r="AD23">
        <v>3</v>
      </c>
      <c r="AE23" s="43">
        <f>PIP!R7</f>
        <v>0</v>
      </c>
      <c r="AF23" s="43">
        <f>PIP!S7</f>
        <v>0</v>
      </c>
      <c r="AG23" s="43">
        <f>PIP!T7</f>
        <v>0</v>
      </c>
      <c r="AH23" s="43">
        <f>PIP!U7</f>
        <v>0</v>
      </c>
      <c r="AI23" s="43">
        <f>PIP!V7</f>
        <v>0</v>
      </c>
      <c r="AM23" s="43">
        <f>PIP!W7</f>
        <v>0</v>
      </c>
      <c r="AN23" s="43">
        <f>PIP!X7</f>
        <v>0</v>
      </c>
      <c r="AO23" s="43">
        <f>PIP!Y7</f>
        <v>0</v>
      </c>
    </row>
    <row r="24" spans="2:41">
      <c r="B24" s="57" t="str">
        <f t="shared" si="0"/>
        <v/>
      </c>
      <c r="C24" s="58" t="str">
        <f t="shared" si="1"/>
        <v/>
      </c>
      <c r="D24" s="28" t="str">
        <f t="shared" si="2"/>
        <v/>
      </c>
      <c r="E24" s="28" t="str">
        <f t="shared" si="3"/>
        <v/>
      </c>
      <c r="F24" s="29" t="str">
        <f t="shared" si="4"/>
        <v/>
      </c>
      <c r="G24" s="60" t="str">
        <f t="shared" si="5"/>
        <v/>
      </c>
      <c r="H24" s="60" t="str">
        <f t="shared" si="6"/>
        <v/>
      </c>
      <c r="I24" s="60" t="str">
        <f t="shared" si="7"/>
        <v/>
      </c>
      <c r="J24" s="60" t="str">
        <f t="shared" si="8"/>
        <v/>
      </c>
      <c r="K24" s="60" t="str">
        <f t="shared" si="9"/>
        <v/>
      </c>
      <c r="L24" s="60" t="str">
        <f t="shared" si="10"/>
        <v/>
      </c>
      <c r="M24" s="60" t="str">
        <f t="shared" si="11"/>
        <v/>
      </c>
      <c r="Q24" s="57" t="str">
        <f t="shared" si="12"/>
        <v/>
      </c>
      <c r="R24" s="58" t="str">
        <f t="shared" si="13"/>
        <v/>
      </c>
      <c r="S24" s="28" t="str">
        <f t="shared" si="14"/>
        <v/>
      </c>
      <c r="T24" s="28" t="str">
        <f t="shared" si="15"/>
        <v/>
      </c>
      <c r="U24" s="29" t="str">
        <f t="shared" si="16"/>
        <v/>
      </c>
      <c r="V24" s="60" t="str">
        <f t="shared" si="17"/>
        <v/>
      </c>
      <c r="W24" s="60" t="str">
        <f t="shared" si="18"/>
        <v/>
      </c>
      <c r="X24" s="60" t="str">
        <f t="shared" si="19"/>
        <v/>
      </c>
      <c r="Y24" s="60" t="str">
        <f t="shared" si="20"/>
        <v/>
      </c>
      <c r="Z24" s="60" t="str">
        <f t="shared" si="21"/>
        <v/>
      </c>
      <c r="AA24" s="60" t="str">
        <f t="shared" si="22"/>
        <v/>
      </c>
      <c r="AB24" s="60" t="str">
        <f t="shared" si="23"/>
        <v/>
      </c>
      <c r="AD24">
        <v>4</v>
      </c>
      <c r="AE24" s="43">
        <f>PIP!R8</f>
        <v>0</v>
      </c>
      <c r="AF24" s="43">
        <f>PIP!S8</f>
        <v>0</v>
      </c>
      <c r="AG24" s="43">
        <f>PIP!T8</f>
        <v>0</v>
      </c>
      <c r="AH24" s="43">
        <f>PIP!U8</f>
        <v>0</v>
      </c>
      <c r="AI24" s="43">
        <f>PIP!V8</f>
        <v>0</v>
      </c>
      <c r="AM24" s="43">
        <f>PIP!W8</f>
        <v>0</v>
      </c>
      <c r="AN24" s="43">
        <f>PIP!X8</f>
        <v>0</v>
      </c>
      <c r="AO24" s="43">
        <f>PIP!Y8</f>
        <v>0</v>
      </c>
    </row>
    <row r="25" spans="2:41">
      <c r="B25" s="57" t="str">
        <f t="shared" si="0"/>
        <v/>
      </c>
      <c r="C25" s="58" t="str">
        <f t="shared" si="1"/>
        <v/>
      </c>
      <c r="D25" s="28" t="str">
        <f t="shared" si="2"/>
        <v/>
      </c>
      <c r="E25" s="28" t="str">
        <f t="shared" si="3"/>
        <v/>
      </c>
      <c r="F25" s="29" t="str">
        <f t="shared" si="4"/>
        <v/>
      </c>
      <c r="G25" s="60" t="str">
        <f t="shared" si="5"/>
        <v/>
      </c>
      <c r="H25" s="60" t="str">
        <f t="shared" si="6"/>
        <v/>
      </c>
      <c r="I25" s="60" t="str">
        <f t="shared" si="7"/>
        <v/>
      </c>
      <c r="J25" s="60" t="str">
        <f t="shared" si="8"/>
        <v/>
      </c>
      <c r="K25" s="60" t="str">
        <f t="shared" si="9"/>
        <v/>
      </c>
      <c r="L25" s="60" t="str">
        <f t="shared" si="10"/>
        <v/>
      </c>
      <c r="M25" s="60" t="str">
        <f t="shared" si="11"/>
        <v/>
      </c>
      <c r="Q25" s="57" t="str">
        <f t="shared" si="12"/>
        <v/>
      </c>
      <c r="R25" s="58" t="str">
        <f t="shared" si="13"/>
        <v/>
      </c>
      <c r="S25" s="28" t="str">
        <f t="shared" si="14"/>
        <v/>
      </c>
      <c r="T25" s="28" t="str">
        <f t="shared" si="15"/>
        <v/>
      </c>
      <c r="U25" s="29" t="str">
        <f t="shared" si="16"/>
        <v/>
      </c>
      <c r="V25" s="60" t="str">
        <f t="shared" si="17"/>
        <v/>
      </c>
      <c r="W25" s="60" t="str">
        <f t="shared" si="18"/>
        <v/>
      </c>
      <c r="X25" s="60" t="str">
        <f t="shared" si="19"/>
        <v/>
      </c>
      <c r="Y25" s="60" t="str">
        <f t="shared" si="20"/>
        <v/>
      </c>
      <c r="Z25" s="60" t="str">
        <f t="shared" si="21"/>
        <v/>
      </c>
      <c r="AA25" s="60" t="str">
        <f t="shared" si="22"/>
        <v/>
      </c>
      <c r="AB25" s="60" t="str">
        <f t="shared" si="23"/>
        <v/>
      </c>
      <c r="AD25">
        <v>5</v>
      </c>
      <c r="AE25" s="43">
        <f>PIP!R9</f>
        <v>0</v>
      </c>
      <c r="AF25" s="43">
        <f>PIP!S9</f>
        <v>0</v>
      </c>
      <c r="AG25" s="43">
        <f>PIP!T9</f>
        <v>0</v>
      </c>
      <c r="AH25" s="43">
        <f>PIP!U9</f>
        <v>0</v>
      </c>
      <c r="AI25" s="43">
        <f>PIP!V9</f>
        <v>0</v>
      </c>
      <c r="AM25" s="43">
        <f>PIP!W9</f>
        <v>0</v>
      </c>
      <c r="AN25" s="43">
        <f>PIP!X9</f>
        <v>0</v>
      </c>
      <c r="AO25" s="43">
        <f>PIP!Y9</f>
        <v>0</v>
      </c>
    </row>
    <row r="26" spans="2:41">
      <c r="B26" s="57" t="str">
        <f t="shared" si="0"/>
        <v/>
      </c>
      <c r="C26" s="58" t="str">
        <f t="shared" si="1"/>
        <v/>
      </c>
      <c r="D26" s="28" t="str">
        <f t="shared" si="2"/>
        <v/>
      </c>
      <c r="E26" s="28" t="str">
        <f t="shared" si="3"/>
        <v/>
      </c>
      <c r="F26" s="29" t="str">
        <f t="shared" si="4"/>
        <v/>
      </c>
      <c r="G26" s="60" t="str">
        <f t="shared" si="5"/>
        <v/>
      </c>
      <c r="H26" s="60" t="str">
        <f t="shared" si="6"/>
        <v/>
      </c>
      <c r="I26" s="60" t="str">
        <f t="shared" si="7"/>
        <v/>
      </c>
      <c r="J26" s="60" t="str">
        <f t="shared" si="8"/>
        <v/>
      </c>
      <c r="K26" s="60" t="str">
        <f t="shared" si="9"/>
        <v/>
      </c>
      <c r="L26" s="60" t="str">
        <f t="shared" si="10"/>
        <v/>
      </c>
      <c r="M26" s="60" t="str">
        <f t="shared" si="11"/>
        <v/>
      </c>
      <c r="Q26" s="57" t="str">
        <f t="shared" si="12"/>
        <v/>
      </c>
      <c r="R26" s="58" t="str">
        <f t="shared" si="13"/>
        <v/>
      </c>
      <c r="S26" s="28" t="str">
        <f t="shared" si="14"/>
        <v/>
      </c>
      <c r="T26" s="28" t="str">
        <f t="shared" si="15"/>
        <v/>
      </c>
      <c r="U26" s="29" t="str">
        <f t="shared" si="16"/>
        <v/>
      </c>
      <c r="V26" s="60" t="str">
        <f t="shared" si="17"/>
        <v/>
      </c>
      <c r="W26" s="60" t="str">
        <f t="shared" si="18"/>
        <v/>
      </c>
      <c r="X26" s="60" t="str">
        <f t="shared" si="19"/>
        <v/>
      </c>
      <c r="Y26" s="60" t="str">
        <f t="shared" si="20"/>
        <v/>
      </c>
      <c r="Z26" s="60" t="str">
        <f t="shared" si="21"/>
        <v/>
      </c>
      <c r="AA26" s="60" t="str">
        <f t="shared" si="22"/>
        <v/>
      </c>
      <c r="AB26" s="60" t="str">
        <f t="shared" si="23"/>
        <v/>
      </c>
      <c r="AD26">
        <v>6</v>
      </c>
      <c r="AE26" s="43">
        <f>PIP!R10</f>
        <v>0</v>
      </c>
      <c r="AF26" s="43">
        <f>PIP!S10</f>
        <v>0</v>
      </c>
      <c r="AG26" s="43">
        <f>PIP!T10</f>
        <v>0</v>
      </c>
      <c r="AH26" s="43">
        <f>PIP!U10</f>
        <v>0</v>
      </c>
      <c r="AI26" s="43">
        <f>PIP!V10</f>
        <v>0</v>
      </c>
      <c r="AM26" s="43">
        <f>PIP!W10</f>
        <v>0</v>
      </c>
      <c r="AN26" s="43">
        <f>PIP!X10</f>
        <v>0</v>
      </c>
      <c r="AO26" s="43">
        <f>PIP!Y10</f>
        <v>0</v>
      </c>
    </row>
    <row r="27" spans="2:41">
      <c r="B27" s="57" t="str">
        <f t="shared" si="0"/>
        <v/>
      </c>
      <c r="C27" s="58" t="str">
        <f t="shared" si="1"/>
        <v/>
      </c>
      <c r="D27" s="28" t="str">
        <f t="shared" si="2"/>
        <v/>
      </c>
      <c r="E27" s="28" t="str">
        <f t="shared" si="3"/>
        <v/>
      </c>
      <c r="F27" s="29" t="str">
        <f t="shared" si="4"/>
        <v/>
      </c>
      <c r="G27" s="60" t="str">
        <f t="shared" si="5"/>
        <v/>
      </c>
      <c r="H27" s="60" t="str">
        <f t="shared" si="6"/>
        <v/>
      </c>
      <c r="I27" s="60" t="str">
        <f t="shared" si="7"/>
        <v/>
      </c>
      <c r="J27" s="60" t="str">
        <f t="shared" si="8"/>
        <v/>
      </c>
      <c r="K27" s="60" t="str">
        <f t="shared" si="9"/>
        <v/>
      </c>
      <c r="L27" s="60" t="str">
        <f t="shared" si="10"/>
        <v/>
      </c>
      <c r="M27" s="60" t="str">
        <f t="shared" si="11"/>
        <v/>
      </c>
      <c r="Q27" s="57" t="str">
        <f t="shared" si="12"/>
        <v/>
      </c>
      <c r="R27" s="58" t="str">
        <f t="shared" si="13"/>
        <v/>
      </c>
      <c r="S27" s="28" t="str">
        <f t="shared" si="14"/>
        <v/>
      </c>
      <c r="T27" s="28" t="str">
        <f t="shared" si="15"/>
        <v/>
      </c>
      <c r="U27" s="29" t="str">
        <f t="shared" si="16"/>
        <v/>
      </c>
      <c r="V27" s="60" t="str">
        <f t="shared" si="17"/>
        <v/>
      </c>
      <c r="W27" s="60" t="str">
        <f t="shared" si="18"/>
        <v/>
      </c>
      <c r="X27" s="60" t="str">
        <f t="shared" si="19"/>
        <v/>
      </c>
      <c r="Y27" s="60" t="str">
        <f t="shared" si="20"/>
        <v/>
      </c>
      <c r="Z27" s="60" t="str">
        <f t="shared" si="21"/>
        <v/>
      </c>
      <c r="AA27" s="60" t="str">
        <f t="shared" si="22"/>
        <v/>
      </c>
      <c r="AB27" s="60" t="str">
        <f t="shared" si="23"/>
        <v/>
      </c>
      <c r="AD27">
        <v>7</v>
      </c>
      <c r="AE27" s="43">
        <f>PIP!R11</f>
        <v>0</v>
      </c>
      <c r="AF27" s="43">
        <f>PIP!S11</f>
        <v>0</v>
      </c>
      <c r="AG27" s="43">
        <f>PIP!T11</f>
        <v>0</v>
      </c>
      <c r="AH27" s="43">
        <f>PIP!U11</f>
        <v>0</v>
      </c>
      <c r="AI27" s="43">
        <f>PIP!V11</f>
        <v>0</v>
      </c>
      <c r="AM27" s="43">
        <f>PIP!W11</f>
        <v>0</v>
      </c>
      <c r="AN27" s="43">
        <f>PIP!X11</f>
        <v>0</v>
      </c>
      <c r="AO27" s="43">
        <f>PIP!Y11</f>
        <v>0</v>
      </c>
    </row>
    <row r="28" spans="2:41">
      <c r="B28" s="57" t="str">
        <f t="shared" si="0"/>
        <v/>
      </c>
      <c r="C28" s="58" t="str">
        <f t="shared" si="1"/>
        <v/>
      </c>
      <c r="D28" s="28" t="str">
        <f t="shared" si="2"/>
        <v/>
      </c>
      <c r="E28" s="28" t="str">
        <f t="shared" si="3"/>
        <v/>
      </c>
      <c r="F28" s="29" t="str">
        <f t="shared" si="4"/>
        <v/>
      </c>
      <c r="G28" s="60" t="str">
        <f t="shared" si="5"/>
        <v/>
      </c>
      <c r="H28" s="60" t="str">
        <f t="shared" si="6"/>
        <v/>
      </c>
      <c r="I28" s="60" t="str">
        <f t="shared" si="7"/>
        <v/>
      </c>
      <c r="J28" s="60" t="str">
        <f t="shared" si="8"/>
        <v/>
      </c>
      <c r="K28" s="60" t="str">
        <f t="shared" si="9"/>
        <v/>
      </c>
      <c r="L28" s="60" t="str">
        <f t="shared" si="10"/>
        <v/>
      </c>
      <c r="M28" s="60" t="str">
        <f t="shared" si="11"/>
        <v/>
      </c>
      <c r="Q28" s="57" t="str">
        <f t="shared" si="12"/>
        <v/>
      </c>
      <c r="R28" s="58" t="str">
        <f t="shared" si="13"/>
        <v/>
      </c>
      <c r="S28" s="28" t="str">
        <f t="shared" si="14"/>
        <v/>
      </c>
      <c r="T28" s="28" t="str">
        <f t="shared" si="15"/>
        <v/>
      </c>
      <c r="U28" s="29" t="str">
        <f t="shared" si="16"/>
        <v/>
      </c>
      <c r="V28" s="60" t="str">
        <f t="shared" si="17"/>
        <v/>
      </c>
      <c r="W28" s="60" t="str">
        <f t="shared" si="18"/>
        <v/>
      </c>
      <c r="X28" s="60" t="str">
        <f t="shared" si="19"/>
        <v/>
      </c>
      <c r="Y28" s="60" t="str">
        <f t="shared" si="20"/>
        <v/>
      </c>
      <c r="Z28" s="60" t="str">
        <f t="shared" si="21"/>
        <v/>
      </c>
      <c r="AA28" s="60" t="str">
        <f t="shared" si="22"/>
        <v/>
      </c>
      <c r="AB28" s="60" t="str">
        <f t="shared" si="23"/>
        <v/>
      </c>
      <c r="AD28">
        <v>8</v>
      </c>
      <c r="AE28" s="43">
        <f>PIP!R12</f>
        <v>0</v>
      </c>
      <c r="AF28" s="43">
        <f>PIP!S12</f>
        <v>0</v>
      </c>
      <c r="AG28" s="43">
        <f>PIP!T12</f>
        <v>0</v>
      </c>
      <c r="AH28" s="43">
        <f>PIP!U12</f>
        <v>0</v>
      </c>
      <c r="AI28" s="43">
        <f>PIP!V12</f>
        <v>0</v>
      </c>
      <c r="AM28" s="43">
        <f>PIP!W12</f>
        <v>0</v>
      </c>
      <c r="AN28" s="43">
        <f>PIP!X12</f>
        <v>0</v>
      </c>
      <c r="AO28" s="43">
        <f>PIP!Y12</f>
        <v>0</v>
      </c>
    </row>
    <row r="29" spans="2:41">
      <c r="B29" s="57" t="str">
        <f t="shared" si="0"/>
        <v/>
      </c>
      <c r="C29" s="58" t="str">
        <f t="shared" si="1"/>
        <v/>
      </c>
      <c r="D29" s="28" t="str">
        <f t="shared" si="2"/>
        <v/>
      </c>
      <c r="E29" s="28" t="str">
        <f t="shared" si="3"/>
        <v/>
      </c>
      <c r="F29" s="29" t="str">
        <f t="shared" si="4"/>
        <v/>
      </c>
      <c r="G29" s="60" t="str">
        <f t="shared" si="5"/>
        <v/>
      </c>
      <c r="H29" s="60" t="str">
        <f t="shared" si="6"/>
        <v/>
      </c>
      <c r="I29" s="60" t="str">
        <f t="shared" si="7"/>
        <v/>
      </c>
      <c r="J29" s="60" t="str">
        <f t="shared" si="8"/>
        <v/>
      </c>
      <c r="K29" s="60" t="str">
        <f t="shared" si="9"/>
        <v/>
      </c>
      <c r="L29" s="60" t="str">
        <f t="shared" si="10"/>
        <v/>
      </c>
      <c r="M29" s="60" t="str">
        <f t="shared" si="11"/>
        <v/>
      </c>
      <c r="Q29" s="57" t="str">
        <f t="shared" si="12"/>
        <v/>
      </c>
      <c r="R29" s="58" t="str">
        <f t="shared" si="13"/>
        <v/>
      </c>
      <c r="S29" s="28" t="str">
        <f t="shared" si="14"/>
        <v/>
      </c>
      <c r="T29" s="28" t="str">
        <f t="shared" si="15"/>
        <v/>
      </c>
      <c r="U29" s="29" t="str">
        <f t="shared" si="16"/>
        <v/>
      </c>
      <c r="V29" s="60" t="str">
        <f t="shared" si="17"/>
        <v/>
      </c>
      <c r="W29" s="60" t="str">
        <f t="shared" si="18"/>
        <v/>
      </c>
      <c r="X29" s="60" t="str">
        <f t="shared" si="19"/>
        <v/>
      </c>
      <c r="Y29" s="60" t="str">
        <f t="shared" si="20"/>
        <v/>
      </c>
      <c r="Z29" s="60" t="str">
        <f t="shared" si="21"/>
        <v/>
      </c>
      <c r="AA29" s="60" t="str">
        <f t="shared" si="22"/>
        <v/>
      </c>
      <c r="AB29" s="60" t="str">
        <f t="shared" si="23"/>
        <v/>
      </c>
      <c r="AD29">
        <v>9</v>
      </c>
      <c r="AE29" s="43">
        <f>PIP!R13</f>
        <v>0</v>
      </c>
      <c r="AF29" s="43">
        <f>PIP!S13</f>
        <v>0</v>
      </c>
      <c r="AG29" s="43">
        <f>PIP!T13</f>
        <v>0</v>
      </c>
      <c r="AH29" s="43">
        <f>PIP!U13</f>
        <v>0</v>
      </c>
      <c r="AI29" s="43">
        <f>PIP!V13</f>
        <v>0</v>
      </c>
      <c r="AM29" s="43">
        <f>PIP!W13</f>
        <v>0</v>
      </c>
      <c r="AN29" s="43">
        <f>PIP!X13</f>
        <v>0</v>
      </c>
      <c r="AO29" s="43">
        <f>PIP!Y13</f>
        <v>0</v>
      </c>
    </row>
    <row r="30" spans="2:41">
      <c r="B30" s="57" t="str">
        <f t="shared" si="0"/>
        <v/>
      </c>
      <c r="C30" s="58" t="str">
        <f t="shared" si="1"/>
        <v/>
      </c>
      <c r="D30" s="28" t="str">
        <f t="shared" si="2"/>
        <v/>
      </c>
      <c r="E30" s="28" t="str">
        <f t="shared" si="3"/>
        <v/>
      </c>
      <c r="F30" s="29" t="str">
        <f t="shared" si="4"/>
        <v/>
      </c>
      <c r="G30" s="60" t="str">
        <f t="shared" si="5"/>
        <v/>
      </c>
      <c r="H30" s="60" t="str">
        <f t="shared" si="6"/>
        <v/>
      </c>
      <c r="I30" s="60" t="str">
        <f t="shared" si="7"/>
        <v/>
      </c>
      <c r="J30" s="60" t="str">
        <f t="shared" si="8"/>
        <v/>
      </c>
      <c r="K30" s="60" t="str">
        <f t="shared" si="9"/>
        <v/>
      </c>
      <c r="L30" s="60" t="str">
        <f t="shared" si="10"/>
        <v/>
      </c>
      <c r="M30" s="60" t="str">
        <f t="shared" si="11"/>
        <v/>
      </c>
      <c r="Q30" s="57" t="str">
        <f t="shared" si="12"/>
        <v/>
      </c>
      <c r="R30" s="58" t="str">
        <f t="shared" si="13"/>
        <v/>
      </c>
      <c r="S30" s="28" t="str">
        <f t="shared" si="14"/>
        <v/>
      </c>
      <c r="T30" s="28" t="str">
        <f t="shared" si="15"/>
        <v/>
      </c>
      <c r="U30" s="29" t="str">
        <f t="shared" si="16"/>
        <v/>
      </c>
      <c r="V30" s="60" t="str">
        <f t="shared" si="17"/>
        <v/>
      </c>
      <c r="W30" s="60" t="str">
        <f t="shared" si="18"/>
        <v/>
      </c>
      <c r="X30" s="60" t="str">
        <f t="shared" si="19"/>
        <v/>
      </c>
      <c r="Y30" s="60" t="str">
        <f t="shared" si="20"/>
        <v/>
      </c>
      <c r="Z30" s="60" t="str">
        <f t="shared" si="21"/>
        <v/>
      </c>
      <c r="AA30" s="60" t="str">
        <f t="shared" si="22"/>
        <v/>
      </c>
      <c r="AB30" s="60" t="str">
        <f t="shared" si="23"/>
        <v/>
      </c>
      <c r="AD30">
        <v>10</v>
      </c>
      <c r="AE30" s="43">
        <f>PIP!R14</f>
        <v>0</v>
      </c>
      <c r="AF30" s="43">
        <f>PIP!S14</f>
        <v>0</v>
      </c>
      <c r="AG30" s="43">
        <f>PIP!T14</f>
        <v>0</v>
      </c>
      <c r="AH30" s="43">
        <f>PIP!U14</f>
        <v>0</v>
      </c>
      <c r="AI30" s="43">
        <f>PIP!V14</f>
        <v>0</v>
      </c>
      <c r="AM30" s="43">
        <f>PIP!W14</f>
        <v>0</v>
      </c>
      <c r="AN30" s="43">
        <f>PIP!X14</f>
        <v>0</v>
      </c>
      <c r="AO30" s="43">
        <f>PIP!Y14</f>
        <v>0</v>
      </c>
    </row>
    <row r="31" spans="2:41">
      <c r="B31" s="57" t="str">
        <f t="shared" si="0"/>
        <v/>
      </c>
      <c r="C31" s="58" t="str">
        <f t="shared" si="1"/>
        <v/>
      </c>
      <c r="D31" s="28" t="str">
        <f t="shared" si="2"/>
        <v/>
      </c>
      <c r="E31" s="28" t="str">
        <f t="shared" si="3"/>
        <v/>
      </c>
      <c r="F31" s="29" t="str">
        <f t="shared" si="4"/>
        <v/>
      </c>
      <c r="G31" s="60" t="str">
        <f t="shared" si="5"/>
        <v/>
      </c>
      <c r="H31" s="60" t="str">
        <f t="shared" si="6"/>
        <v/>
      </c>
      <c r="I31" s="60" t="str">
        <f t="shared" si="7"/>
        <v/>
      </c>
      <c r="J31" s="60" t="str">
        <f t="shared" si="8"/>
        <v/>
      </c>
      <c r="K31" s="60" t="str">
        <f t="shared" si="9"/>
        <v/>
      </c>
      <c r="L31" s="60" t="str">
        <f t="shared" si="10"/>
        <v/>
      </c>
      <c r="M31" s="60" t="str">
        <f t="shared" si="11"/>
        <v/>
      </c>
      <c r="Q31" s="57" t="str">
        <f t="shared" si="12"/>
        <v/>
      </c>
      <c r="R31" s="58" t="str">
        <f t="shared" si="13"/>
        <v/>
      </c>
      <c r="S31" s="28" t="str">
        <f t="shared" si="14"/>
        <v/>
      </c>
      <c r="T31" s="28" t="str">
        <f t="shared" si="15"/>
        <v/>
      </c>
      <c r="U31" s="29" t="str">
        <f t="shared" si="16"/>
        <v/>
      </c>
      <c r="V31" s="60" t="str">
        <f t="shared" si="17"/>
        <v/>
      </c>
      <c r="W31" s="60" t="str">
        <f t="shared" si="18"/>
        <v/>
      </c>
      <c r="X31" s="60" t="str">
        <f t="shared" si="19"/>
        <v/>
      </c>
      <c r="Y31" s="60" t="str">
        <f t="shared" si="20"/>
        <v/>
      </c>
      <c r="Z31" s="60" t="str">
        <f t="shared" si="21"/>
        <v/>
      </c>
      <c r="AA31" s="60" t="str">
        <f t="shared" si="22"/>
        <v/>
      </c>
      <c r="AB31" s="60" t="str">
        <f t="shared" si="23"/>
        <v/>
      </c>
    </row>
    <row r="32" spans="2:41" ht="17" thickBot="1">
      <c r="B32" s="57" t="str">
        <f t="shared" si="0"/>
        <v/>
      </c>
      <c r="C32" s="58" t="str">
        <f t="shared" si="1"/>
        <v/>
      </c>
      <c r="D32" s="28" t="str">
        <f t="shared" si="2"/>
        <v/>
      </c>
      <c r="E32" s="28" t="str">
        <f t="shared" si="3"/>
        <v/>
      </c>
      <c r="F32" s="29" t="str">
        <f t="shared" si="4"/>
        <v/>
      </c>
      <c r="G32" s="60" t="str">
        <f t="shared" si="5"/>
        <v/>
      </c>
      <c r="H32" s="60" t="str">
        <f t="shared" si="6"/>
        <v/>
      </c>
      <c r="I32" s="60" t="str">
        <f t="shared" si="7"/>
        <v/>
      </c>
      <c r="J32" s="60" t="str">
        <f t="shared" si="8"/>
        <v/>
      </c>
      <c r="K32" s="60" t="str">
        <f t="shared" si="9"/>
        <v/>
      </c>
      <c r="L32" s="60" t="str">
        <f t="shared" si="10"/>
        <v/>
      </c>
      <c r="M32" s="60" t="str">
        <f t="shared" si="11"/>
        <v/>
      </c>
      <c r="Q32" s="57" t="str">
        <f t="shared" si="12"/>
        <v/>
      </c>
      <c r="R32" s="58" t="str">
        <f t="shared" si="13"/>
        <v/>
      </c>
      <c r="S32" s="28" t="str">
        <f t="shared" si="14"/>
        <v/>
      </c>
      <c r="T32" s="28" t="str">
        <f t="shared" si="15"/>
        <v/>
      </c>
      <c r="U32" s="29" t="str">
        <f t="shared" si="16"/>
        <v/>
      </c>
      <c r="V32" s="60" t="str">
        <f t="shared" si="17"/>
        <v/>
      </c>
      <c r="W32" s="60" t="str">
        <f t="shared" si="18"/>
        <v/>
      </c>
      <c r="X32" s="60" t="str">
        <f t="shared" si="19"/>
        <v/>
      </c>
      <c r="Y32" s="60" t="str">
        <f t="shared" si="20"/>
        <v/>
      </c>
      <c r="Z32" s="60" t="str">
        <f t="shared" si="21"/>
        <v/>
      </c>
      <c r="AA32" s="60" t="str">
        <f t="shared" si="22"/>
        <v/>
      </c>
      <c r="AB32" s="60" t="str">
        <f t="shared" si="23"/>
        <v/>
      </c>
      <c r="AD32" s="1" t="s">
        <v>663</v>
      </c>
      <c r="AE32" s="1"/>
      <c r="AF32" s="1"/>
      <c r="AG32" s="1"/>
      <c r="AH32" s="1"/>
      <c r="AI32" s="1"/>
      <c r="AJ32" s="1"/>
      <c r="AK32" s="1"/>
      <c r="AL32" s="1"/>
    </row>
    <row r="33" spans="2:38">
      <c r="B33" s="57" t="str">
        <f t="shared" si="0"/>
        <v/>
      </c>
      <c r="C33" s="58" t="str">
        <f t="shared" si="1"/>
        <v/>
      </c>
      <c r="D33" s="28" t="str">
        <f t="shared" si="2"/>
        <v/>
      </c>
      <c r="E33" s="28" t="str">
        <f t="shared" si="3"/>
        <v/>
      </c>
      <c r="F33" s="29" t="str">
        <f t="shared" si="4"/>
        <v/>
      </c>
      <c r="G33" s="60" t="str">
        <f t="shared" si="5"/>
        <v/>
      </c>
      <c r="H33" s="60" t="str">
        <f t="shared" si="6"/>
        <v/>
      </c>
      <c r="I33" s="60" t="str">
        <f t="shared" si="7"/>
        <v/>
      </c>
      <c r="J33" s="60" t="str">
        <f t="shared" si="8"/>
        <v/>
      </c>
      <c r="K33" s="60" t="str">
        <f t="shared" si="9"/>
        <v/>
      </c>
      <c r="L33" s="60" t="str">
        <f t="shared" si="10"/>
        <v/>
      </c>
      <c r="M33" s="60" t="str">
        <f t="shared" si="11"/>
        <v/>
      </c>
      <c r="Q33" s="57" t="str">
        <f t="shared" si="12"/>
        <v/>
      </c>
      <c r="R33" s="58" t="str">
        <f t="shared" si="13"/>
        <v/>
      </c>
      <c r="S33" s="28" t="str">
        <f t="shared" si="14"/>
        <v/>
      </c>
      <c r="T33" s="28" t="str">
        <f t="shared" si="15"/>
        <v/>
      </c>
      <c r="U33" s="29" t="str">
        <f t="shared" si="16"/>
        <v/>
      </c>
      <c r="V33" s="60" t="str">
        <f t="shared" si="17"/>
        <v/>
      </c>
      <c r="W33" s="60" t="str">
        <f t="shared" si="18"/>
        <v/>
      </c>
      <c r="X33" s="60" t="str">
        <f t="shared" si="19"/>
        <v/>
      </c>
      <c r="Y33" s="60" t="str">
        <f t="shared" si="20"/>
        <v/>
      </c>
      <c r="Z33" s="60" t="str">
        <f t="shared" si="21"/>
        <v/>
      </c>
      <c r="AA33" s="60" t="str">
        <f t="shared" si="22"/>
        <v/>
      </c>
      <c r="AB33" s="60" t="str">
        <f t="shared" si="23"/>
        <v/>
      </c>
      <c r="AD33" s="132" t="s">
        <v>67</v>
      </c>
      <c r="AE33" s="132" t="s">
        <v>135</v>
      </c>
      <c r="AF33" s="132" t="s">
        <v>139</v>
      </c>
      <c r="AG33" s="132" t="s">
        <v>664</v>
      </c>
      <c r="AH33" s="132" t="s">
        <v>665</v>
      </c>
      <c r="AI33" s="132" t="s">
        <v>140</v>
      </c>
      <c r="AJ33" s="132" t="s">
        <v>110</v>
      </c>
      <c r="AK33" s="132" t="s">
        <v>141</v>
      </c>
      <c r="AL33" s="132" t="s">
        <v>143</v>
      </c>
    </row>
    <row r="34" spans="2:38">
      <c r="B34" s="57" t="str">
        <f t="shared" si="0"/>
        <v/>
      </c>
      <c r="C34" s="58" t="str">
        <f t="shared" si="1"/>
        <v/>
      </c>
      <c r="D34" s="28" t="str">
        <f t="shared" si="2"/>
        <v/>
      </c>
      <c r="E34" s="28" t="str">
        <f t="shared" si="3"/>
        <v/>
      </c>
      <c r="F34" s="29" t="str">
        <f t="shared" si="4"/>
        <v/>
      </c>
      <c r="G34" s="60" t="str">
        <f t="shared" si="5"/>
        <v/>
      </c>
      <c r="H34" s="60" t="str">
        <f t="shared" si="6"/>
        <v/>
      </c>
      <c r="I34" s="60" t="str">
        <f t="shared" si="7"/>
        <v/>
      </c>
      <c r="J34" s="60" t="str">
        <f t="shared" si="8"/>
        <v/>
      </c>
      <c r="K34" s="60" t="str">
        <f t="shared" si="9"/>
        <v/>
      </c>
      <c r="L34" s="60" t="str">
        <f t="shared" si="10"/>
        <v/>
      </c>
      <c r="M34" s="60" t="str">
        <f t="shared" si="11"/>
        <v/>
      </c>
      <c r="Q34" s="57" t="str">
        <f t="shared" si="12"/>
        <v/>
      </c>
      <c r="R34" s="58" t="str">
        <f t="shared" si="13"/>
        <v/>
      </c>
      <c r="S34" s="28" t="str">
        <f t="shared" si="14"/>
        <v/>
      </c>
      <c r="T34" s="28" t="str">
        <f t="shared" si="15"/>
        <v/>
      </c>
      <c r="U34" s="29" t="str">
        <f t="shared" si="16"/>
        <v/>
      </c>
      <c r="V34" s="60" t="str">
        <f t="shared" si="17"/>
        <v/>
      </c>
      <c r="W34" s="60" t="str">
        <f t="shared" si="18"/>
        <v/>
      </c>
      <c r="X34" s="60" t="str">
        <f t="shared" si="19"/>
        <v/>
      </c>
      <c r="Y34" s="60" t="str">
        <f t="shared" si="20"/>
        <v/>
      </c>
      <c r="Z34" s="60" t="str">
        <f t="shared" si="21"/>
        <v/>
      </c>
      <c r="AA34" s="60" t="str">
        <f t="shared" si="22"/>
        <v/>
      </c>
      <c r="AB34" s="60" t="str">
        <f t="shared" si="23"/>
        <v/>
      </c>
      <c r="AD34">
        <f>PIP!O19</f>
        <v>1</v>
      </c>
      <c r="AE34">
        <f>PIP!N19</f>
        <v>1</v>
      </c>
      <c r="AF34" s="843">
        <f>PIP!U19</f>
        <v>0</v>
      </c>
      <c r="AG34" s="843">
        <f>PIP!T19</f>
        <v>0</v>
      </c>
      <c r="AH34" s="843">
        <f>PIP!V19</f>
        <v>0</v>
      </c>
      <c r="AI34" s="843">
        <f>PIP!W19</f>
        <v>0</v>
      </c>
      <c r="AJ34" s="843">
        <f>PIP!X19</f>
        <v>0</v>
      </c>
      <c r="AK34" s="843">
        <f>PIP!Y19</f>
        <v>0</v>
      </c>
      <c r="AL34" s="843">
        <f>PIP!Z19</f>
        <v>0</v>
      </c>
    </row>
    <row r="35" spans="2:38">
      <c r="B35" s="57" t="str">
        <f t="shared" si="0"/>
        <v/>
      </c>
      <c r="C35" s="58" t="str">
        <f t="shared" si="1"/>
        <v/>
      </c>
      <c r="D35" s="28" t="str">
        <f t="shared" si="2"/>
        <v/>
      </c>
      <c r="E35" s="28" t="str">
        <f t="shared" si="3"/>
        <v/>
      </c>
      <c r="F35" s="29" t="str">
        <f t="shared" si="4"/>
        <v/>
      </c>
      <c r="G35" s="60" t="str">
        <f t="shared" si="5"/>
        <v/>
      </c>
      <c r="H35" s="60" t="str">
        <f t="shared" si="6"/>
        <v/>
      </c>
      <c r="I35" s="60" t="str">
        <f t="shared" si="7"/>
        <v/>
      </c>
      <c r="J35" s="60" t="str">
        <f t="shared" si="8"/>
        <v/>
      </c>
      <c r="K35" s="60" t="str">
        <f t="shared" si="9"/>
        <v/>
      </c>
      <c r="L35" s="60" t="str">
        <f t="shared" si="10"/>
        <v/>
      </c>
      <c r="M35" s="60" t="str">
        <f t="shared" si="11"/>
        <v/>
      </c>
      <c r="Q35" s="57" t="str">
        <f t="shared" si="12"/>
        <v/>
      </c>
      <c r="R35" s="58" t="str">
        <f t="shared" si="13"/>
        <v/>
      </c>
      <c r="S35" s="28" t="str">
        <f t="shared" si="14"/>
        <v/>
      </c>
      <c r="T35" s="28" t="str">
        <f t="shared" si="15"/>
        <v/>
      </c>
      <c r="U35" s="29" t="str">
        <f t="shared" si="16"/>
        <v/>
      </c>
      <c r="V35" s="60" t="str">
        <f t="shared" si="17"/>
        <v/>
      </c>
      <c r="W35" s="60" t="str">
        <f t="shared" si="18"/>
        <v/>
      </c>
      <c r="X35" s="60" t="str">
        <f t="shared" si="19"/>
        <v/>
      </c>
      <c r="Y35" s="60" t="str">
        <f t="shared" si="20"/>
        <v/>
      </c>
      <c r="Z35" s="60" t="str">
        <f t="shared" si="21"/>
        <v/>
      </c>
      <c r="AA35" s="60" t="str">
        <f t="shared" si="22"/>
        <v/>
      </c>
      <c r="AB35" s="60" t="str">
        <f t="shared" si="23"/>
        <v/>
      </c>
      <c r="AD35">
        <f>PIP!O20</f>
        <v>1</v>
      </c>
      <c r="AE35">
        <f>PIP!N20</f>
        <v>2</v>
      </c>
      <c r="AF35" s="843">
        <f>PIP!U20</f>
        <v>0</v>
      </c>
      <c r="AG35" s="843">
        <f>PIP!T20</f>
        <v>0</v>
      </c>
      <c r="AH35" s="843">
        <f>PIP!V20</f>
        <v>0</v>
      </c>
      <c r="AI35" s="843">
        <f>PIP!W20</f>
        <v>0</v>
      </c>
      <c r="AJ35" s="843">
        <f>PIP!X20</f>
        <v>0</v>
      </c>
      <c r="AK35" s="843">
        <f>PIP!Y20</f>
        <v>0</v>
      </c>
      <c r="AL35" s="843">
        <f>PIP!Z20</f>
        <v>0</v>
      </c>
    </row>
    <row r="36" spans="2:38">
      <c r="B36" s="57" t="str">
        <f t="shared" si="0"/>
        <v/>
      </c>
      <c r="C36" s="58" t="str">
        <f t="shared" si="1"/>
        <v/>
      </c>
      <c r="D36" s="28" t="str">
        <f t="shared" si="2"/>
        <v/>
      </c>
      <c r="E36" s="28" t="str">
        <f t="shared" si="3"/>
        <v/>
      </c>
      <c r="F36" s="29" t="str">
        <f t="shared" si="4"/>
        <v/>
      </c>
      <c r="G36" s="60" t="str">
        <f t="shared" si="5"/>
        <v/>
      </c>
      <c r="H36" s="60" t="str">
        <f t="shared" si="6"/>
        <v/>
      </c>
      <c r="I36" s="60" t="str">
        <f t="shared" si="7"/>
        <v/>
      </c>
      <c r="J36" s="60" t="str">
        <f t="shared" si="8"/>
        <v/>
      </c>
      <c r="K36" s="60" t="str">
        <f t="shared" si="9"/>
        <v/>
      </c>
      <c r="L36" s="60" t="str">
        <f t="shared" si="10"/>
        <v/>
      </c>
      <c r="M36" s="60" t="str">
        <f t="shared" si="11"/>
        <v/>
      </c>
      <c r="Q36" s="57" t="str">
        <f t="shared" si="12"/>
        <v/>
      </c>
      <c r="R36" s="58" t="str">
        <f t="shared" si="13"/>
        <v/>
      </c>
      <c r="S36" s="28" t="str">
        <f t="shared" si="14"/>
        <v/>
      </c>
      <c r="T36" s="28" t="str">
        <f t="shared" si="15"/>
        <v/>
      </c>
      <c r="U36" s="29" t="str">
        <f t="shared" si="16"/>
        <v/>
      </c>
      <c r="V36" s="60" t="str">
        <f t="shared" si="17"/>
        <v/>
      </c>
      <c r="W36" s="60" t="str">
        <f t="shared" si="18"/>
        <v/>
      </c>
      <c r="X36" s="60" t="str">
        <f t="shared" si="19"/>
        <v/>
      </c>
      <c r="Y36" s="60" t="str">
        <f t="shared" si="20"/>
        <v/>
      </c>
      <c r="Z36" s="60" t="str">
        <f t="shared" si="21"/>
        <v/>
      </c>
      <c r="AA36" s="60" t="str">
        <f t="shared" si="22"/>
        <v/>
      </c>
      <c r="AB36" s="60" t="str">
        <f t="shared" si="23"/>
        <v/>
      </c>
      <c r="AD36">
        <f>PIP!O21</f>
        <v>1</v>
      </c>
      <c r="AE36">
        <f>PIP!N21</f>
        <v>3</v>
      </c>
      <c r="AF36" s="843">
        <f>PIP!U21</f>
        <v>0</v>
      </c>
      <c r="AG36" s="843">
        <f>PIP!T21</f>
        <v>0</v>
      </c>
      <c r="AH36" s="843">
        <f>PIP!V21</f>
        <v>0</v>
      </c>
      <c r="AI36" s="843">
        <f>PIP!W21</f>
        <v>0</v>
      </c>
      <c r="AJ36" s="843">
        <f>PIP!X21</f>
        <v>0</v>
      </c>
      <c r="AK36" s="843">
        <f>PIP!Y21</f>
        <v>0</v>
      </c>
      <c r="AL36" s="843">
        <f>PIP!Z21</f>
        <v>0</v>
      </c>
    </row>
    <row r="37" spans="2:38">
      <c r="B37" s="57" t="str">
        <f t="shared" si="0"/>
        <v/>
      </c>
      <c r="C37" s="58" t="str">
        <f t="shared" si="1"/>
        <v/>
      </c>
      <c r="D37" s="28" t="str">
        <f t="shared" si="2"/>
        <v/>
      </c>
      <c r="E37" s="28" t="str">
        <f t="shared" si="3"/>
        <v/>
      </c>
      <c r="F37" s="29" t="str">
        <f t="shared" si="4"/>
        <v/>
      </c>
      <c r="G37" s="60" t="str">
        <f t="shared" si="5"/>
        <v/>
      </c>
      <c r="H37" s="60" t="str">
        <f t="shared" si="6"/>
        <v/>
      </c>
      <c r="I37" s="60" t="str">
        <f t="shared" si="7"/>
        <v/>
      </c>
      <c r="J37" s="60" t="str">
        <f t="shared" si="8"/>
        <v/>
      </c>
      <c r="K37" s="60" t="str">
        <f t="shared" si="9"/>
        <v/>
      </c>
      <c r="L37" s="60" t="str">
        <f t="shared" si="10"/>
        <v/>
      </c>
      <c r="M37" s="60" t="str">
        <f t="shared" si="11"/>
        <v/>
      </c>
      <c r="Q37" s="57" t="str">
        <f t="shared" si="12"/>
        <v/>
      </c>
      <c r="R37" s="58" t="str">
        <f t="shared" si="13"/>
        <v/>
      </c>
      <c r="S37" s="28" t="str">
        <f t="shared" si="14"/>
        <v/>
      </c>
      <c r="T37" s="28" t="str">
        <f t="shared" si="15"/>
        <v/>
      </c>
      <c r="U37" s="29" t="str">
        <f t="shared" si="16"/>
        <v/>
      </c>
      <c r="V37" s="60" t="str">
        <f t="shared" si="17"/>
        <v/>
      </c>
      <c r="W37" s="60" t="str">
        <f t="shared" si="18"/>
        <v/>
      </c>
      <c r="X37" s="60" t="str">
        <f t="shared" si="19"/>
        <v/>
      </c>
      <c r="Y37" s="60" t="str">
        <f t="shared" si="20"/>
        <v/>
      </c>
      <c r="Z37" s="60" t="str">
        <f t="shared" si="21"/>
        <v/>
      </c>
      <c r="AA37" s="60" t="str">
        <f t="shared" si="22"/>
        <v/>
      </c>
      <c r="AB37" s="60" t="str">
        <f t="shared" si="23"/>
        <v/>
      </c>
      <c r="AD37">
        <f>PIP!O22</f>
        <v>1</v>
      </c>
      <c r="AE37">
        <f>PIP!N22</f>
        <v>4</v>
      </c>
      <c r="AF37" s="843">
        <f>PIP!U22</f>
        <v>0</v>
      </c>
      <c r="AG37" s="843">
        <f>PIP!T22</f>
        <v>0</v>
      </c>
      <c r="AH37" s="843">
        <f>PIP!V22</f>
        <v>0</v>
      </c>
      <c r="AI37" s="843">
        <f>PIP!W22</f>
        <v>0</v>
      </c>
      <c r="AJ37" s="843">
        <f>PIP!X22</f>
        <v>0</v>
      </c>
      <c r="AK37" s="843">
        <f>PIP!Y22</f>
        <v>0</v>
      </c>
      <c r="AL37" s="843">
        <f>PIP!Z22</f>
        <v>0</v>
      </c>
    </row>
    <row r="38" spans="2:38">
      <c r="B38" s="57" t="str">
        <f t="shared" si="0"/>
        <v/>
      </c>
      <c r="C38" s="58" t="str">
        <f t="shared" si="1"/>
        <v/>
      </c>
      <c r="D38" s="28" t="str">
        <f t="shared" si="2"/>
        <v/>
      </c>
      <c r="E38" s="28" t="str">
        <f t="shared" si="3"/>
        <v/>
      </c>
      <c r="F38" s="29" t="str">
        <f t="shared" si="4"/>
        <v/>
      </c>
      <c r="G38" s="60" t="str">
        <f t="shared" si="5"/>
        <v/>
      </c>
      <c r="H38" s="60" t="str">
        <f t="shared" si="6"/>
        <v/>
      </c>
      <c r="I38" s="60" t="str">
        <f t="shared" si="7"/>
        <v/>
      </c>
      <c r="J38" s="60" t="str">
        <f t="shared" si="8"/>
        <v/>
      </c>
      <c r="K38" s="60" t="str">
        <f t="shared" si="9"/>
        <v/>
      </c>
      <c r="L38" s="60" t="str">
        <f t="shared" si="10"/>
        <v/>
      </c>
      <c r="M38" s="60" t="str">
        <f t="shared" si="11"/>
        <v/>
      </c>
      <c r="Q38" s="57" t="str">
        <f t="shared" si="12"/>
        <v/>
      </c>
      <c r="R38" s="58" t="str">
        <f t="shared" si="13"/>
        <v/>
      </c>
      <c r="S38" s="28" t="str">
        <f t="shared" si="14"/>
        <v/>
      </c>
      <c r="T38" s="28" t="str">
        <f t="shared" si="15"/>
        <v/>
      </c>
      <c r="U38" s="29" t="str">
        <f t="shared" si="16"/>
        <v/>
      </c>
      <c r="V38" s="60" t="str">
        <f t="shared" si="17"/>
        <v/>
      </c>
      <c r="W38" s="60" t="str">
        <f t="shared" si="18"/>
        <v/>
      </c>
      <c r="X38" s="60" t="str">
        <f t="shared" si="19"/>
        <v/>
      </c>
      <c r="Y38" s="60" t="str">
        <f t="shared" si="20"/>
        <v/>
      </c>
      <c r="Z38" s="60" t="str">
        <f t="shared" si="21"/>
        <v/>
      </c>
      <c r="AA38" s="60" t="str">
        <f t="shared" si="22"/>
        <v/>
      </c>
      <c r="AB38" s="60" t="str">
        <f t="shared" si="23"/>
        <v/>
      </c>
      <c r="AD38">
        <f>PIP!O23</f>
        <v>1</v>
      </c>
      <c r="AE38">
        <f>PIP!N23</f>
        <v>5</v>
      </c>
      <c r="AF38" s="843">
        <f>PIP!U23</f>
        <v>0</v>
      </c>
      <c r="AG38" s="843">
        <f>PIP!T23</f>
        <v>0</v>
      </c>
      <c r="AH38" s="843">
        <f>PIP!V23</f>
        <v>0</v>
      </c>
      <c r="AI38" s="843">
        <f>PIP!W23</f>
        <v>0</v>
      </c>
      <c r="AJ38" s="843">
        <f>PIP!X23</f>
        <v>0</v>
      </c>
      <c r="AK38" s="843">
        <f>PIP!Y23</f>
        <v>0</v>
      </c>
      <c r="AL38" s="843">
        <f>PIP!Z23</f>
        <v>0</v>
      </c>
    </row>
    <row r="39" spans="2:38">
      <c r="B39" s="57" t="str">
        <f t="shared" si="0"/>
        <v/>
      </c>
      <c r="C39" s="58" t="str">
        <f t="shared" si="1"/>
        <v/>
      </c>
      <c r="D39" s="28" t="str">
        <f t="shared" si="2"/>
        <v/>
      </c>
      <c r="E39" s="28" t="str">
        <f t="shared" si="3"/>
        <v/>
      </c>
      <c r="F39" s="29" t="str">
        <f t="shared" si="4"/>
        <v/>
      </c>
      <c r="G39" s="60" t="str">
        <f t="shared" si="5"/>
        <v/>
      </c>
      <c r="H39" s="60" t="str">
        <f t="shared" si="6"/>
        <v/>
      </c>
      <c r="I39" s="60" t="str">
        <f t="shared" si="7"/>
        <v/>
      </c>
      <c r="J39" s="60" t="str">
        <f t="shared" si="8"/>
        <v/>
      </c>
      <c r="K39" s="60" t="str">
        <f t="shared" si="9"/>
        <v/>
      </c>
      <c r="L39" s="60" t="str">
        <f t="shared" si="10"/>
        <v/>
      </c>
      <c r="M39" s="60" t="str">
        <f t="shared" si="11"/>
        <v/>
      </c>
      <c r="Q39" s="57" t="str">
        <f t="shared" si="12"/>
        <v/>
      </c>
      <c r="R39" s="58" t="str">
        <f t="shared" si="13"/>
        <v/>
      </c>
      <c r="S39" s="28" t="str">
        <f t="shared" si="14"/>
        <v/>
      </c>
      <c r="T39" s="28" t="str">
        <f t="shared" si="15"/>
        <v/>
      </c>
      <c r="U39" s="29" t="str">
        <f t="shared" si="16"/>
        <v/>
      </c>
      <c r="V39" s="60" t="str">
        <f t="shared" si="17"/>
        <v/>
      </c>
      <c r="W39" s="60" t="str">
        <f t="shared" si="18"/>
        <v/>
      </c>
      <c r="X39" s="60" t="str">
        <f t="shared" si="19"/>
        <v/>
      </c>
      <c r="Y39" s="60" t="str">
        <f t="shared" si="20"/>
        <v/>
      </c>
      <c r="Z39" s="60" t="str">
        <f t="shared" si="21"/>
        <v/>
      </c>
      <c r="AA39" s="60" t="str">
        <f t="shared" si="22"/>
        <v/>
      </c>
      <c r="AB39" s="60" t="str">
        <f t="shared" si="23"/>
        <v/>
      </c>
      <c r="AD39">
        <f>PIP!O24</f>
        <v>1</v>
      </c>
      <c r="AE39">
        <f>PIP!N24</f>
        <v>6</v>
      </c>
      <c r="AF39" s="843">
        <f>PIP!U24</f>
        <v>0</v>
      </c>
      <c r="AG39" s="843">
        <f>PIP!T24</f>
        <v>0</v>
      </c>
      <c r="AH39" s="843">
        <f>PIP!V24</f>
        <v>0</v>
      </c>
      <c r="AI39" s="843">
        <f>PIP!W24</f>
        <v>0</v>
      </c>
      <c r="AJ39" s="843">
        <f>PIP!X24</f>
        <v>0</v>
      </c>
      <c r="AK39" s="843">
        <f>PIP!Y24</f>
        <v>0</v>
      </c>
      <c r="AL39" s="843">
        <f>PIP!Z24</f>
        <v>0</v>
      </c>
    </row>
    <row r="40" spans="2:38">
      <c r="B40" s="57" t="str">
        <f t="shared" si="0"/>
        <v/>
      </c>
      <c r="C40" s="58" t="str">
        <f t="shared" si="1"/>
        <v/>
      </c>
      <c r="D40" s="28" t="str">
        <f t="shared" si="2"/>
        <v/>
      </c>
      <c r="E40" s="28" t="str">
        <f t="shared" si="3"/>
        <v/>
      </c>
      <c r="F40" s="29" t="str">
        <f t="shared" si="4"/>
        <v/>
      </c>
      <c r="G40" s="60" t="str">
        <f t="shared" si="5"/>
        <v/>
      </c>
      <c r="H40" s="60" t="str">
        <f t="shared" si="6"/>
        <v/>
      </c>
      <c r="I40" s="60" t="str">
        <f t="shared" si="7"/>
        <v/>
      </c>
      <c r="J40" s="60" t="str">
        <f t="shared" si="8"/>
        <v/>
      </c>
      <c r="K40" s="60" t="str">
        <f t="shared" si="9"/>
        <v/>
      </c>
      <c r="L40" s="60" t="str">
        <f t="shared" si="10"/>
        <v/>
      </c>
      <c r="M40" s="60" t="str">
        <f t="shared" si="11"/>
        <v/>
      </c>
      <c r="Q40" s="57" t="str">
        <f t="shared" si="12"/>
        <v/>
      </c>
      <c r="R40" s="58" t="str">
        <f t="shared" si="13"/>
        <v/>
      </c>
      <c r="S40" s="28" t="str">
        <f t="shared" si="14"/>
        <v/>
      </c>
      <c r="T40" s="28" t="str">
        <f t="shared" si="15"/>
        <v/>
      </c>
      <c r="U40" s="29" t="str">
        <f t="shared" si="16"/>
        <v/>
      </c>
      <c r="V40" s="60" t="str">
        <f t="shared" si="17"/>
        <v/>
      </c>
      <c r="W40" s="60" t="str">
        <f t="shared" si="18"/>
        <v/>
      </c>
      <c r="X40" s="60" t="str">
        <f t="shared" si="19"/>
        <v/>
      </c>
      <c r="Y40" s="60" t="str">
        <f t="shared" si="20"/>
        <v/>
      </c>
      <c r="Z40" s="60" t="str">
        <f t="shared" si="21"/>
        <v/>
      </c>
      <c r="AA40" s="60" t="str">
        <f t="shared" si="22"/>
        <v/>
      </c>
      <c r="AB40" s="60" t="str">
        <f t="shared" si="23"/>
        <v/>
      </c>
      <c r="AD40">
        <f>PIP!O25</f>
        <v>1</v>
      </c>
      <c r="AE40">
        <f>PIP!N25</f>
        <v>7</v>
      </c>
      <c r="AF40" s="843">
        <f>PIP!U25</f>
        <v>0</v>
      </c>
      <c r="AG40" s="843">
        <f>PIP!T25</f>
        <v>0</v>
      </c>
      <c r="AH40" s="843">
        <f>PIP!V25</f>
        <v>0</v>
      </c>
      <c r="AI40" s="843">
        <f>PIP!W25</f>
        <v>0</v>
      </c>
      <c r="AJ40" s="843">
        <f>PIP!X25</f>
        <v>0</v>
      </c>
      <c r="AK40" s="843">
        <f>PIP!Y25</f>
        <v>0</v>
      </c>
      <c r="AL40" s="843">
        <f>PIP!Z25</f>
        <v>0</v>
      </c>
    </row>
    <row r="41" spans="2:38">
      <c r="B41" s="57" t="str">
        <f t="shared" si="0"/>
        <v/>
      </c>
      <c r="C41" s="58" t="str">
        <f t="shared" si="1"/>
        <v/>
      </c>
      <c r="D41" s="28" t="str">
        <f t="shared" si="2"/>
        <v/>
      </c>
      <c r="E41" s="28" t="str">
        <f t="shared" si="3"/>
        <v/>
      </c>
      <c r="F41" s="29" t="str">
        <f t="shared" si="4"/>
        <v/>
      </c>
      <c r="G41" s="60" t="str">
        <f t="shared" si="5"/>
        <v/>
      </c>
      <c r="H41" s="60" t="str">
        <f t="shared" si="6"/>
        <v/>
      </c>
      <c r="I41" s="60" t="str">
        <f t="shared" si="7"/>
        <v/>
      </c>
      <c r="J41" s="60" t="str">
        <f t="shared" si="8"/>
        <v/>
      </c>
      <c r="K41" s="60" t="str">
        <f t="shared" si="9"/>
        <v/>
      </c>
      <c r="L41" s="60" t="str">
        <f t="shared" si="10"/>
        <v/>
      </c>
      <c r="M41" s="60" t="str">
        <f t="shared" si="11"/>
        <v/>
      </c>
      <c r="Q41" s="57" t="str">
        <f t="shared" si="12"/>
        <v/>
      </c>
      <c r="R41" s="58" t="str">
        <f t="shared" si="13"/>
        <v/>
      </c>
      <c r="S41" s="28" t="str">
        <f t="shared" si="14"/>
        <v/>
      </c>
      <c r="T41" s="28" t="str">
        <f t="shared" si="15"/>
        <v/>
      </c>
      <c r="U41" s="29" t="str">
        <f t="shared" si="16"/>
        <v/>
      </c>
      <c r="V41" s="60" t="str">
        <f t="shared" si="17"/>
        <v/>
      </c>
      <c r="W41" s="60" t="str">
        <f t="shared" si="18"/>
        <v/>
      </c>
      <c r="X41" s="60" t="str">
        <f t="shared" si="19"/>
        <v/>
      </c>
      <c r="Y41" s="60" t="str">
        <f t="shared" si="20"/>
        <v/>
      </c>
      <c r="Z41" s="60" t="str">
        <f t="shared" si="21"/>
        <v/>
      </c>
      <c r="AA41" s="60" t="str">
        <f t="shared" si="22"/>
        <v/>
      </c>
      <c r="AB41" s="60" t="str">
        <f t="shared" si="23"/>
        <v/>
      </c>
      <c r="AD41">
        <f>PIP!O26</f>
        <v>1</v>
      </c>
      <c r="AE41">
        <f>PIP!N26</f>
        <v>8</v>
      </c>
      <c r="AF41" s="843">
        <f>PIP!U26</f>
        <v>0</v>
      </c>
      <c r="AG41" s="843">
        <f>PIP!T26</f>
        <v>0</v>
      </c>
      <c r="AH41" s="843">
        <f>PIP!V26</f>
        <v>0</v>
      </c>
      <c r="AI41" s="843">
        <f>PIP!W26</f>
        <v>0</v>
      </c>
      <c r="AJ41" s="843">
        <f>PIP!X26</f>
        <v>0</v>
      </c>
      <c r="AK41" s="843">
        <f>PIP!Y26</f>
        <v>0</v>
      </c>
      <c r="AL41" s="843">
        <f>PIP!Z26</f>
        <v>0</v>
      </c>
    </row>
    <row r="42" spans="2:38">
      <c r="B42" s="57" t="str">
        <f t="shared" si="0"/>
        <v/>
      </c>
      <c r="C42" s="58" t="str">
        <f t="shared" si="1"/>
        <v/>
      </c>
      <c r="D42" s="28" t="str">
        <f t="shared" si="2"/>
        <v/>
      </c>
      <c r="E42" s="28" t="str">
        <f t="shared" si="3"/>
        <v/>
      </c>
      <c r="F42" s="29" t="str">
        <f t="shared" si="4"/>
        <v/>
      </c>
      <c r="G42" s="60" t="str">
        <f t="shared" si="5"/>
        <v/>
      </c>
      <c r="H42" s="60" t="str">
        <f t="shared" si="6"/>
        <v/>
      </c>
      <c r="I42" s="60" t="str">
        <f t="shared" si="7"/>
        <v/>
      </c>
      <c r="J42" s="60" t="str">
        <f t="shared" si="8"/>
        <v/>
      </c>
      <c r="K42" s="60" t="str">
        <f t="shared" si="9"/>
        <v/>
      </c>
      <c r="L42" s="60" t="str">
        <f t="shared" si="10"/>
        <v/>
      </c>
      <c r="M42" s="60" t="str">
        <f t="shared" si="11"/>
        <v/>
      </c>
      <c r="Q42" s="57" t="str">
        <f t="shared" si="12"/>
        <v/>
      </c>
      <c r="R42" s="58" t="str">
        <f t="shared" si="13"/>
        <v/>
      </c>
      <c r="S42" s="28" t="str">
        <f t="shared" si="14"/>
        <v/>
      </c>
      <c r="T42" s="28" t="str">
        <f t="shared" si="15"/>
        <v/>
      </c>
      <c r="U42" s="29" t="str">
        <f t="shared" si="16"/>
        <v/>
      </c>
      <c r="V42" s="60" t="str">
        <f t="shared" si="17"/>
        <v/>
      </c>
      <c r="W42" s="60" t="str">
        <f t="shared" si="18"/>
        <v/>
      </c>
      <c r="X42" s="60" t="str">
        <f t="shared" si="19"/>
        <v/>
      </c>
      <c r="Y42" s="60" t="str">
        <f t="shared" si="20"/>
        <v/>
      </c>
      <c r="Z42" s="60" t="str">
        <f t="shared" si="21"/>
        <v/>
      </c>
      <c r="AA42" s="60" t="str">
        <f t="shared" si="22"/>
        <v/>
      </c>
      <c r="AB42" s="60" t="str">
        <f t="shared" si="23"/>
        <v/>
      </c>
      <c r="AD42">
        <f>PIP!O27</f>
        <v>1</v>
      </c>
      <c r="AE42">
        <f>PIP!N27</f>
        <v>9</v>
      </c>
      <c r="AF42" s="843">
        <f>PIP!U27</f>
        <v>0</v>
      </c>
      <c r="AG42" s="843">
        <f>PIP!T27</f>
        <v>0</v>
      </c>
      <c r="AH42" s="843">
        <f>PIP!V27</f>
        <v>0</v>
      </c>
      <c r="AI42" s="843">
        <f>PIP!W27</f>
        <v>0</v>
      </c>
      <c r="AJ42" s="843">
        <f>PIP!X27</f>
        <v>0</v>
      </c>
      <c r="AK42" s="843">
        <f>PIP!Y27</f>
        <v>0</v>
      </c>
      <c r="AL42" s="843">
        <f>PIP!Z27</f>
        <v>0</v>
      </c>
    </row>
    <row r="43" spans="2:38">
      <c r="B43" s="57" t="str">
        <f t="shared" si="0"/>
        <v/>
      </c>
      <c r="C43" s="58" t="str">
        <f t="shared" si="1"/>
        <v/>
      </c>
      <c r="D43" s="28" t="str">
        <f t="shared" si="2"/>
        <v/>
      </c>
      <c r="E43" s="28" t="str">
        <f t="shared" si="3"/>
        <v/>
      </c>
      <c r="F43" s="29" t="str">
        <f t="shared" si="4"/>
        <v/>
      </c>
      <c r="G43" s="60" t="str">
        <f t="shared" si="5"/>
        <v/>
      </c>
      <c r="H43" s="60" t="str">
        <f t="shared" si="6"/>
        <v/>
      </c>
      <c r="I43" s="60" t="str">
        <f t="shared" si="7"/>
        <v/>
      </c>
      <c r="J43" s="60" t="str">
        <f t="shared" si="8"/>
        <v/>
      </c>
      <c r="K43" s="60" t="str">
        <f t="shared" si="9"/>
        <v/>
      </c>
      <c r="L43" s="60" t="str">
        <f t="shared" si="10"/>
        <v/>
      </c>
      <c r="M43" s="60" t="str">
        <f t="shared" si="11"/>
        <v/>
      </c>
      <c r="Q43" s="57" t="str">
        <f t="shared" si="12"/>
        <v/>
      </c>
      <c r="R43" s="58" t="str">
        <f t="shared" si="13"/>
        <v/>
      </c>
      <c r="S43" s="28" t="str">
        <f t="shared" si="14"/>
        <v/>
      </c>
      <c r="T43" s="28" t="str">
        <f t="shared" si="15"/>
        <v/>
      </c>
      <c r="U43" s="29" t="str">
        <f t="shared" si="16"/>
        <v/>
      </c>
      <c r="V43" s="60" t="str">
        <f t="shared" si="17"/>
        <v/>
      </c>
      <c r="W43" s="60" t="str">
        <f t="shared" si="18"/>
        <v/>
      </c>
      <c r="X43" s="60" t="str">
        <f t="shared" si="19"/>
        <v/>
      </c>
      <c r="Y43" s="60" t="str">
        <f t="shared" si="20"/>
        <v/>
      </c>
      <c r="Z43" s="60" t="str">
        <f t="shared" si="21"/>
        <v/>
      </c>
      <c r="AA43" s="60" t="str">
        <f t="shared" si="22"/>
        <v/>
      </c>
      <c r="AB43" s="60" t="str">
        <f t="shared" si="23"/>
        <v/>
      </c>
      <c r="AD43">
        <f>PIP!O28</f>
        <v>1</v>
      </c>
      <c r="AE43">
        <f>PIP!N28</f>
        <v>10</v>
      </c>
      <c r="AF43" s="843">
        <f>PIP!U28</f>
        <v>0</v>
      </c>
      <c r="AG43" s="843">
        <f>PIP!T28</f>
        <v>0</v>
      </c>
      <c r="AH43" s="843">
        <f>PIP!V28</f>
        <v>0</v>
      </c>
      <c r="AI43" s="843">
        <f>PIP!W28</f>
        <v>0</v>
      </c>
      <c r="AJ43" s="843">
        <f>PIP!X28</f>
        <v>0</v>
      </c>
      <c r="AK43" s="843">
        <f>PIP!Y28</f>
        <v>0</v>
      </c>
      <c r="AL43" s="843">
        <f>PIP!Z28</f>
        <v>0</v>
      </c>
    </row>
    <row r="44" spans="2:38">
      <c r="B44" s="57" t="str">
        <f t="shared" si="0"/>
        <v/>
      </c>
      <c r="C44" s="58" t="str">
        <f t="shared" si="1"/>
        <v/>
      </c>
      <c r="D44" s="28" t="str">
        <f t="shared" si="2"/>
        <v/>
      </c>
      <c r="E44" s="28" t="str">
        <f t="shared" si="3"/>
        <v/>
      </c>
      <c r="F44" s="29" t="str">
        <f t="shared" si="4"/>
        <v/>
      </c>
      <c r="G44" s="60" t="str">
        <f t="shared" si="5"/>
        <v/>
      </c>
      <c r="H44" s="60" t="str">
        <f t="shared" si="6"/>
        <v/>
      </c>
      <c r="I44" s="60" t="str">
        <f t="shared" si="7"/>
        <v/>
      </c>
      <c r="J44" s="60" t="str">
        <f t="shared" si="8"/>
        <v/>
      </c>
      <c r="K44" s="60" t="str">
        <f t="shared" si="9"/>
        <v/>
      </c>
      <c r="L44" s="60" t="str">
        <f t="shared" si="10"/>
        <v/>
      </c>
      <c r="M44" s="60" t="str">
        <f t="shared" si="11"/>
        <v/>
      </c>
      <c r="Q44" s="57" t="str">
        <f t="shared" si="12"/>
        <v/>
      </c>
      <c r="R44" s="58" t="str">
        <f t="shared" si="13"/>
        <v/>
      </c>
      <c r="S44" s="28" t="str">
        <f t="shared" si="14"/>
        <v/>
      </c>
      <c r="T44" s="28" t="str">
        <f t="shared" si="15"/>
        <v/>
      </c>
      <c r="U44" s="29" t="str">
        <f t="shared" si="16"/>
        <v/>
      </c>
      <c r="V44" s="60" t="str">
        <f t="shared" si="17"/>
        <v/>
      </c>
      <c r="W44" s="60" t="str">
        <f t="shared" si="18"/>
        <v/>
      </c>
      <c r="X44" s="60" t="str">
        <f t="shared" si="19"/>
        <v/>
      </c>
      <c r="Y44" s="60" t="str">
        <f t="shared" si="20"/>
        <v/>
      </c>
      <c r="Z44" s="60" t="str">
        <f t="shared" si="21"/>
        <v/>
      </c>
      <c r="AA44" s="60" t="str">
        <f t="shared" si="22"/>
        <v/>
      </c>
      <c r="AB44" s="60" t="str">
        <f t="shared" si="23"/>
        <v/>
      </c>
      <c r="AD44">
        <f>PIP!O29</f>
        <v>1</v>
      </c>
      <c r="AE44">
        <f>PIP!N29</f>
        <v>11</v>
      </c>
      <c r="AF44" s="843">
        <f>PIP!U29</f>
        <v>0</v>
      </c>
      <c r="AG44" s="843">
        <f>PIP!T29</f>
        <v>0</v>
      </c>
      <c r="AH44" s="843">
        <f>PIP!V29</f>
        <v>0</v>
      </c>
      <c r="AI44" s="843">
        <f>PIP!W29</f>
        <v>0</v>
      </c>
      <c r="AJ44" s="843">
        <f>PIP!X29</f>
        <v>0</v>
      </c>
      <c r="AK44" s="843">
        <f>PIP!Y29</f>
        <v>0</v>
      </c>
      <c r="AL44" s="843">
        <f>PIP!Z29</f>
        <v>0</v>
      </c>
    </row>
    <row r="45" spans="2:38">
      <c r="B45" s="57" t="str">
        <f t="shared" si="0"/>
        <v/>
      </c>
      <c r="C45" s="58" t="str">
        <f t="shared" si="1"/>
        <v/>
      </c>
      <c r="D45" s="28" t="str">
        <f t="shared" si="2"/>
        <v/>
      </c>
      <c r="E45" s="28" t="str">
        <f t="shared" si="3"/>
        <v/>
      </c>
      <c r="F45" s="29" t="str">
        <f t="shared" si="4"/>
        <v/>
      </c>
      <c r="G45" s="60" t="str">
        <f t="shared" si="5"/>
        <v/>
      </c>
      <c r="H45" s="60" t="str">
        <f t="shared" si="6"/>
        <v/>
      </c>
      <c r="I45" s="60" t="str">
        <f t="shared" si="7"/>
        <v/>
      </c>
      <c r="J45" s="60" t="str">
        <f t="shared" si="8"/>
        <v/>
      </c>
      <c r="K45" s="60" t="str">
        <f t="shared" si="9"/>
        <v/>
      </c>
      <c r="L45" s="60" t="str">
        <f t="shared" si="10"/>
        <v/>
      </c>
      <c r="M45" s="60" t="str">
        <f t="shared" si="11"/>
        <v/>
      </c>
      <c r="Q45" s="57" t="str">
        <f t="shared" si="12"/>
        <v/>
      </c>
      <c r="R45" s="58" t="str">
        <f t="shared" si="13"/>
        <v/>
      </c>
      <c r="S45" s="28" t="str">
        <f t="shared" si="14"/>
        <v/>
      </c>
      <c r="T45" s="28" t="str">
        <f t="shared" si="15"/>
        <v/>
      </c>
      <c r="U45" s="29" t="str">
        <f t="shared" si="16"/>
        <v/>
      </c>
      <c r="V45" s="60" t="str">
        <f t="shared" si="17"/>
        <v/>
      </c>
      <c r="W45" s="60" t="str">
        <f t="shared" si="18"/>
        <v/>
      </c>
      <c r="X45" s="60" t="str">
        <f t="shared" si="19"/>
        <v/>
      </c>
      <c r="Y45" s="60" t="str">
        <f t="shared" si="20"/>
        <v/>
      </c>
      <c r="Z45" s="60" t="str">
        <f t="shared" si="21"/>
        <v/>
      </c>
      <c r="AA45" s="60" t="str">
        <f t="shared" si="22"/>
        <v/>
      </c>
      <c r="AB45" s="60" t="str">
        <f t="shared" si="23"/>
        <v/>
      </c>
      <c r="AD45">
        <f>PIP!O30</f>
        <v>1</v>
      </c>
      <c r="AE45">
        <f>PIP!N30</f>
        <v>12</v>
      </c>
      <c r="AF45" s="843">
        <f>PIP!U30</f>
        <v>0</v>
      </c>
      <c r="AG45" s="843">
        <f>PIP!T30</f>
        <v>0</v>
      </c>
      <c r="AH45" s="843">
        <f>PIP!V30</f>
        <v>0</v>
      </c>
      <c r="AI45" s="843">
        <f>PIP!W30</f>
        <v>0</v>
      </c>
      <c r="AJ45" s="843">
        <f>PIP!X30</f>
        <v>0</v>
      </c>
      <c r="AK45" s="843">
        <f>PIP!Y30</f>
        <v>0</v>
      </c>
      <c r="AL45" s="843">
        <f>PIP!Z30</f>
        <v>0</v>
      </c>
    </row>
    <row r="46" spans="2:38">
      <c r="B46" s="57" t="str">
        <f t="shared" si="0"/>
        <v/>
      </c>
      <c r="C46" s="58" t="str">
        <f t="shared" si="1"/>
        <v/>
      </c>
      <c r="D46" s="28" t="str">
        <f t="shared" si="2"/>
        <v/>
      </c>
      <c r="E46" s="28" t="str">
        <f t="shared" si="3"/>
        <v/>
      </c>
      <c r="F46" s="29" t="str">
        <f t="shared" si="4"/>
        <v/>
      </c>
      <c r="G46" s="60" t="str">
        <f t="shared" si="5"/>
        <v/>
      </c>
      <c r="H46" s="60" t="str">
        <f t="shared" si="6"/>
        <v/>
      </c>
      <c r="I46" s="60" t="str">
        <f t="shared" si="7"/>
        <v/>
      </c>
      <c r="J46" s="60" t="str">
        <f t="shared" si="8"/>
        <v/>
      </c>
      <c r="K46" s="60" t="str">
        <f t="shared" si="9"/>
        <v/>
      </c>
      <c r="L46" s="60" t="str">
        <f t="shared" si="10"/>
        <v/>
      </c>
      <c r="M46" s="60" t="str">
        <f t="shared" si="11"/>
        <v/>
      </c>
      <c r="Q46" s="57" t="str">
        <f t="shared" si="12"/>
        <v/>
      </c>
      <c r="R46" s="58" t="str">
        <f t="shared" si="13"/>
        <v/>
      </c>
      <c r="S46" s="28" t="str">
        <f t="shared" si="14"/>
        <v/>
      </c>
      <c r="T46" s="28" t="str">
        <f t="shared" si="15"/>
        <v/>
      </c>
      <c r="U46" s="29" t="str">
        <f t="shared" si="16"/>
        <v/>
      </c>
      <c r="V46" s="60" t="str">
        <f t="shared" si="17"/>
        <v/>
      </c>
      <c r="W46" s="60" t="str">
        <f t="shared" si="18"/>
        <v/>
      </c>
      <c r="X46" s="60" t="str">
        <f t="shared" si="19"/>
        <v/>
      </c>
      <c r="Y46" s="60" t="str">
        <f t="shared" si="20"/>
        <v/>
      </c>
      <c r="Z46" s="60" t="str">
        <f t="shared" si="21"/>
        <v/>
      </c>
      <c r="AA46" s="60" t="str">
        <f t="shared" si="22"/>
        <v/>
      </c>
      <c r="AB46" s="60" t="str">
        <f t="shared" si="23"/>
        <v/>
      </c>
      <c r="AD46">
        <f>PIP!O31</f>
        <v>2</v>
      </c>
      <c r="AE46">
        <f>PIP!N31</f>
        <v>13</v>
      </c>
      <c r="AF46" s="843">
        <f>PIP!U31</f>
        <v>0</v>
      </c>
      <c r="AG46" s="843">
        <f>PIP!T31</f>
        <v>0</v>
      </c>
      <c r="AH46" s="843">
        <f>PIP!V31</f>
        <v>0</v>
      </c>
      <c r="AI46" s="843">
        <f>PIP!W31</f>
        <v>0</v>
      </c>
      <c r="AJ46" s="843">
        <f>PIP!X31</f>
        <v>0</v>
      </c>
      <c r="AK46" s="843">
        <f>PIP!Y31</f>
        <v>0</v>
      </c>
      <c r="AL46" s="843">
        <f>PIP!Z31</f>
        <v>0</v>
      </c>
    </row>
    <row r="47" spans="2:38">
      <c r="B47" s="57" t="str">
        <f t="shared" si="0"/>
        <v/>
      </c>
      <c r="C47" s="58" t="str">
        <f t="shared" si="1"/>
        <v/>
      </c>
      <c r="D47" s="28" t="str">
        <f t="shared" si="2"/>
        <v/>
      </c>
      <c r="E47" s="28" t="str">
        <f t="shared" si="3"/>
        <v/>
      </c>
      <c r="F47" s="29" t="str">
        <f t="shared" si="4"/>
        <v/>
      </c>
      <c r="G47" s="60" t="str">
        <f t="shared" si="5"/>
        <v/>
      </c>
      <c r="H47" s="60" t="str">
        <f t="shared" si="6"/>
        <v/>
      </c>
      <c r="I47" s="60" t="str">
        <f t="shared" si="7"/>
        <v/>
      </c>
      <c r="J47" s="60" t="str">
        <f t="shared" si="8"/>
        <v/>
      </c>
      <c r="K47" s="60" t="str">
        <f t="shared" si="9"/>
        <v/>
      </c>
      <c r="L47" s="60" t="str">
        <f t="shared" si="10"/>
        <v/>
      </c>
      <c r="M47" s="60" t="str">
        <f t="shared" si="11"/>
        <v/>
      </c>
      <c r="Q47" s="57" t="str">
        <f t="shared" si="12"/>
        <v/>
      </c>
      <c r="R47" s="58" t="str">
        <f t="shared" si="13"/>
        <v/>
      </c>
      <c r="S47" s="28" t="str">
        <f t="shared" si="14"/>
        <v/>
      </c>
      <c r="T47" s="28" t="str">
        <f t="shared" si="15"/>
        <v/>
      </c>
      <c r="U47" s="29" t="str">
        <f t="shared" si="16"/>
        <v/>
      </c>
      <c r="V47" s="60" t="str">
        <f t="shared" si="17"/>
        <v/>
      </c>
      <c r="W47" s="60" t="str">
        <f t="shared" si="18"/>
        <v/>
      </c>
      <c r="X47" s="60" t="str">
        <f t="shared" si="19"/>
        <v/>
      </c>
      <c r="Y47" s="60" t="str">
        <f t="shared" si="20"/>
        <v/>
      </c>
      <c r="Z47" s="60" t="str">
        <f t="shared" si="21"/>
        <v/>
      </c>
      <c r="AA47" s="60" t="str">
        <f t="shared" si="22"/>
        <v/>
      </c>
      <c r="AB47" s="60" t="str">
        <f t="shared" si="23"/>
        <v/>
      </c>
      <c r="AD47">
        <f>PIP!O32</f>
        <v>2</v>
      </c>
      <c r="AE47">
        <f>PIP!N32</f>
        <v>14</v>
      </c>
      <c r="AF47" s="843">
        <f>PIP!U32</f>
        <v>0</v>
      </c>
      <c r="AG47" s="843">
        <f>PIP!T32</f>
        <v>0</v>
      </c>
      <c r="AH47" s="843">
        <f>PIP!V32</f>
        <v>0</v>
      </c>
      <c r="AI47" s="843">
        <f>PIP!W32</f>
        <v>0</v>
      </c>
      <c r="AJ47" s="843">
        <f>PIP!X32</f>
        <v>0</v>
      </c>
      <c r="AK47" s="843">
        <f>PIP!Y32</f>
        <v>0</v>
      </c>
      <c r="AL47" s="843">
        <f>PIP!Z32</f>
        <v>0</v>
      </c>
    </row>
    <row r="48" spans="2:38">
      <c r="B48" s="57" t="str">
        <f t="shared" si="0"/>
        <v/>
      </c>
      <c r="C48" s="58" t="str">
        <f t="shared" si="1"/>
        <v/>
      </c>
      <c r="D48" s="28" t="str">
        <f t="shared" si="2"/>
        <v/>
      </c>
      <c r="E48" s="28" t="str">
        <f t="shared" si="3"/>
        <v/>
      </c>
      <c r="F48" s="29" t="str">
        <f t="shared" si="4"/>
        <v/>
      </c>
      <c r="G48" s="60" t="str">
        <f t="shared" si="5"/>
        <v/>
      </c>
      <c r="H48" s="60" t="str">
        <f t="shared" si="6"/>
        <v/>
      </c>
      <c r="I48" s="60" t="str">
        <f t="shared" si="7"/>
        <v/>
      </c>
      <c r="J48" s="60" t="str">
        <f t="shared" si="8"/>
        <v/>
      </c>
      <c r="K48" s="60" t="str">
        <f t="shared" si="9"/>
        <v/>
      </c>
      <c r="L48" s="60" t="str">
        <f t="shared" si="10"/>
        <v/>
      </c>
      <c r="M48" s="60" t="str">
        <f t="shared" si="11"/>
        <v/>
      </c>
      <c r="Q48" s="57" t="str">
        <f t="shared" si="12"/>
        <v/>
      </c>
      <c r="R48" s="58" t="str">
        <f t="shared" si="13"/>
        <v/>
      </c>
      <c r="S48" s="28" t="str">
        <f t="shared" si="14"/>
        <v/>
      </c>
      <c r="T48" s="28" t="str">
        <f t="shared" si="15"/>
        <v/>
      </c>
      <c r="U48" s="29" t="str">
        <f t="shared" si="16"/>
        <v/>
      </c>
      <c r="V48" s="60" t="str">
        <f t="shared" si="17"/>
        <v/>
      </c>
      <c r="W48" s="60" t="str">
        <f t="shared" si="18"/>
        <v/>
      </c>
      <c r="X48" s="60" t="str">
        <f t="shared" si="19"/>
        <v/>
      </c>
      <c r="Y48" s="60" t="str">
        <f t="shared" si="20"/>
        <v/>
      </c>
      <c r="Z48" s="60" t="str">
        <f t="shared" si="21"/>
        <v/>
      </c>
      <c r="AA48" s="60" t="str">
        <f t="shared" si="22"/>
        <v/>
      </c>
      <c r="AB48" s="60" t="str">
        <f t="shared" si="23"/>
        <v/>
      </c>
      <c r="AD48">
        <f>PIP!O33</f>
        <v>2</v>
      </c>
      <c r="AE48">
        <f>PIP!N33</f>
        <v>15</v>
      </c>
      <c r="AF48" s="843">
        <f>PIP!U33</f>
        <v>0</v>
      </c>
      <c r="AG48" s="843">
        <f>PIP!T33</f>
        <v>0</v>
      </c>
      <c r="AH48" s="843">
        <f>PIP!V33</f>
        <v>0</v>
      </c>
      <c r="AI48" s="843">
        <f>PIP!W33</f>
        <v>0</v>
      </c>
      <c r="AJ48" s="843">
        <f>PIP!X33</f>
        <v>0</v>
      </c>
      <c r="AK48" s="843">
        <f>PIP!Y33</f>
        <v>0</v>
      </c>
      <c r="AL48" s="843">
        <f>PIP!Z33</f>
        <v>0</v>
      </c>
    </row>
    <row r="49" spans="2:38">
      <c r="B49" s="57" t="str">
        <f t="shared" si="0"/>
        <v/>
      </c>
      <c r="C49" s="58" t="str">
        <f t="shared" si="1"/>
        <v/>
      </c>
      <c r="D49" s="28" t="str">
        <f t="shared" si="2"/>
        <v/>
      </c>
      <c r="E49" s="28" t="str">
        <f t="shared" si="3"/>
        <v/>
      </c>
      <c r="F49" s="29" t="str">
        <f t="shared" si="4"/>
        <v/>
      </c>
      <c r="G49" s="60" t="str">
        <f t="shared" si="5"/>
        <v/>
      </c>
      <c r="H49" s="60" t="str">
        <f t="shared" si="6"/>
        <v/>
      </c>
      <c r="I49" s="60" t="str">
        <f t="shared" si="7"/>
        <v/>
      </c>
      <c r="J49" s="60" t="str">
        <f t="shared" si="8"/>
        <v/>
      </c>
      <c r="K49" s="60" t="str">
        <f t="shared" si="9"/>
        <v/>
      </c>
      <c r="L49" s="60" t="str">
        <f t="shared" si="10"/>
        <v/>
      </c>
      <c r="M49" s="60" t="str">
        <f t="shared" si="11"/>
        <v/>
      </c>
      <c r="Q49" s="57" t="str">
        <f t="shared" si="12"/>
        <v/>
      </c>
      <c r="R49" s="58" t="str">
        <f t="shared" si="13"/>
        <v/>
      </c>
      <c r="S49" s="28" t="str">
        <f t="shared" si="14"/>
        <v/>
      </c>
      <c r="T49" s="28" t="str">
        <f t="shared" si="15"/>
        <v/>
      </c>
      <c r="U49" s="29" t="str">
        <f t="shared" si="16"/>
        <v/>
      </c>
      <c r="V49" s="60" t="str">
        <f t="shared" si="17"/>
        <v/>
      </c>
      <c r="W49" s="60" t="str">
        <f t="shared" si="18"/>
        <v/>
      </c>
      <c r="X49" s="60" t="str">
        <f t="shared" si="19"/>
        <v/>
      </c>
      <c r="Y49" s="60" t="str">
        <f t="shared" si="20"/>
        <v/>
      </c>
      <c r="Z49" s="60" t="str">
        <f t="shared" si="21"/>
        <v/>
      </c>
      <c r="AA49" s="60" t="str">
        <f t="shared" si="22"/>
        <v/>
      </c>
      <c r="AB49" s="60" t="str">
        <f t="shared" si="23"/>
        <v/>
      </c>
      <c r="AD49">
        <f>PIP!O34</f>
        <v>2</v>
      </c>
      <c r="AE49">
        <f>PIP!N34</f>
        <v>16</v>
      </c>
      <c r="AF49" s="843">
        <f>PIP!U34</f>
        <v>0</v>
      </c>
      <c r="AG49" s="843">
        <f>PIP!T34</f>
        <v>0</v>
      </c>
      <c r="AH49" s="843">
        <f>PIP!V34</f>
        <v>0</v>
      </c>
      <c r="AI49" s="843">
        <f>PIP!W34</f>
        <v>0</v>
      </c>
      <c r="AJ49" s="843">
        <f>PIP!X34</f>
        <v>0</v>
      </c>
      <c r="AK49" s="843">
        <f>PIP!Y34</f>
        <v>0</v>
      </c>
      <c r="AL49" s="843">
        <f>PIP!Z34</f>
        <v>0</v>
      </c>
    </row>
    <row r="50" spans="2:38">
      <c r="B50" s="57" t="str">
        <f t="shared" si="0"/>
        <v/>
      </c>
      <c r="C50" s="58" t="str">
        <f t="shared" si="1"/>
        <v/>
      </c>
      <c r="D50" s="28" t="str">
        <f t="shared" si="2"/>
        <v/>
      </c>
      <c r="E50" s="28" t="str">
        <f t="shared" si="3"/>
        <v/>
      </c>
      <c r="F50" s="29" t="str">
        <f t="shared" si="4"/>
        <v/>
      </c>
      <c r="G50" s="60" t="str">
        <f t="shared" si="5"/>
        <v/>
      </c>
      <c r="H50" s="60" t="str">
        <f t="shared" si="6"/>
        <v/>
      </c>
      <c r="I50" s="60" t="str">
        <f t="shared" si="7"/>
        <v/>
      </c>
      <c r="J50" s="60" t="str">
        <f t="shared" si="8"/>
        <v/>
      </c>
      <c r="K50" s="60" t="str">
        <f t="shared" si="9"/>
        <v/>
      </c>
      <c r="L50" s="60" t="str">
        <f t="shared" si="10"/>
        <v/>
      </c>
      <c r="M50" s="60" t="str">
        <f t="shared" si="11"/>
        <v/>
      </c>
      <c r="Q50" s="57" t="str">
        <f t="shared" si="12"/>
        <v/>
      </c>
      <c r="R50" s="58" t="str">
        <f t="shared" si="13"/>
        <v/>
      </c>
      <c r="S50" s="28" t="str">
        <f t="shared" si="14"/>
        <v/>
      </c>
      <c r="T50" s="28" t="str">
        <f t="shared" si="15"/>
        <v/>
      </c>
      <c r="U50" s="29" t="str">
        <f t="shared" si="16"/>
        <v/>
      </c>
      <c r="V50" s="60" t="str">
        <f t="shared" si="17"/>
        <v/>
      </c>
      <c r="W50" s="60" t="str">
        <f t="shared" si="18"/>
        <v/>
      </c>
      <c r="X50" s="60" t="str">
        <f t="shared" si="19"/>
        <v/>
      </c>
      <c r="Y50" s="60" t="str">
        <f t="shared" si="20"/>
        <v/>
      </c>
      <c r="Z50" s="60" t="str">
        <f t="shared" si="21"/>
        <v/>
      </c>
      <c r="AA50" s="60" t="str">
        <f t="shared" si="22"/>
        <v/>
      </c>
      <c r="AB50" s="60" t="str">
        <f t="shared" si="23"/>
        <v/>
      </c>
      <c r="AD50">
        <f>PIP!O35</f>
        <v>2</v>
      </c>
      <c r="AE50">
        <f>PIP!N35</f>
        <v>17</v>
      </c>
      <c r="AF50" s="843">
        <f>PIP!U35</f>
        <v>0</v>
      </c>
      <c r="AG50" s="843">
        <f>PIP!T35</f>
        <v>0</v>
      </c>
      <c r="AH50" s="843">
        <f>PIP!V35</f>
        <v>0</v>
      </c>
      <c r="AI50" s="843">
        <f>PIP!W35</f>
        <v>0</v>
      </c>
      <c r="AJ50" s="843">
        <f>PIP!X35</f>
        <v>0</v>
      </c>
      <c r="AK50" s="843">
        <f>PIP!Y35</f>
        <v>0</v>
      </c>
      <c r="AL50" s="843">
        <f>PIP!Z35</f>
        <v>0</v>
      </c>
    </row>
    <row r="51" spans="2:38">
      <c r="B51" s="57" t="str">
        <f t="shared" si="0"/>
        <v/>
      </c>
      <c r="C51" s="58" t="str">
        <f t="shared" si="1"/>
        <v/>
      </c>
      <c r="D51" s="28" t="str">
        <f t="shared" si="2"/>
        <v/>
      </c>
      <c r="E51" s="28" t="str">
        <f t="shared" si="3"/>
        <v/>
      </c>
      <c r="F51" s="29" t="str">
        <f t="shared" si="4"/>
        <v/>
      </c>
      <c r="G51" s="60" t="str">
        <f t="shared" si="5"/>
        <v/>
      </c>
      <c r="H51" s="60" t="str">
        <f t="shared" si="6"/>
        <v/>
      </c>
      <c r="I51" s="60" t="str">
        <f t="shared" si="7"/>
        <v/>
      </c>
      <c r="J51" s="60" t="str">
        <f t="shared" si="8"/>
        <v/>
      </c>
      <c r="K51" s="60" t="str">
        <f t="shared" si="9"/>
        <v/>
      </c>
      <c r="L51" s="60" t="str">
        <f t="shared" si="10"/>
        <v/>
      </c>
      <c r="M51" s="60" t="str">
        <f t="shared" si="11"/>
        <v/>
      </c>
      <c r="Q51" s="57" t="str">
        <f t="shared" si="12"/>
        <v/>
      </c>
      <c r="R51" s="58" t="str">
        <f t="shared" si="13"/>
        <v/>
      </c>
      <c r="S51" s="28" t="str">
        <f t="shared" si="14"/>
        <v/>
      </c>
      <c r="T51" s="28" t="str">
        <f t="shared" si="15"/>
        <v/>
      </c>
      <c r="U51" s="29" t="str">
        <f t="shared" si="16"/>
        <v/>
      </c>
      <c r="V51" s="60" t="str">
        <f t="shared" si="17"/>
        <v/>
      </c>
      <c r="W51" s="60" t="str">
        <f t="shared" si="18"/>
        <v/>
      </c>
      <c r="X51" s="60" t="str">
        <f t="shared" si="19"/>
        <v/>
      </c>
      <c r="Y51" s="60" t="str">
        <f t="shared" si="20"/>
        <v/>
      </c>
      <c r="Z51" s="60" t="str">
        <f t="shared" si="21"/>
        <v/>
      </c>
      <c r="AA51" s="60" t="str">
        <f t="shared" si="22"/>
        <v/>
      </c>
      <c r="AB51" s="60" t="str">
        <f t="shared" si="23"/>
        <v/>
      </c>
      <c r="AD51">
        <f>PIP!O36</f>
        <v>2</v>
      </c>
      <c r="AE51">
        <f>PIP!N36</f>
        <v>18</v>
      </c>
      <c r="AF51" s="843">
        <f>PIP!U36</f>
        <v>0</v>
      </c>
      <c r="AG51" s="843">
        <f>PIP!T36</f>
        <v>0</v>
      </c>
      <c r="AH51" s="843">
        <f>PIP!V36</f>
        <v>0</v>
      </c>
      <c r="AI51" s="843">
        <f>PIP!W36</f>
        <v>0</v>
      </c>
      <c r="AJ51" s="843">
        <f>PIP!X36</f>
        <v>0</v>
      </c>
      <c r="AK51" s="843">
        <f>PIP!Y36</f>
        <v>0</v>
      </c>
      <c r="AL51" s="843">
        <f>PIP!Z36</f>
        <v>0</v>
      </c>
    </row>
    <row r="52" spans="2:38">
      <c r="B52" s="57" t="str">
        <f t="shared" si="0"/>
        <v/>
      </c>
      <c r="C52" s="58" t="str">
        <f t="shared" si="1"/>
        <v/>
      </c>
      <c r="D52" s="28" t="str">
        <f t="shared" si="2"/>
        <v/>
      </c>
      <c r="E52" s="28" t="str">
        <f t="shared" si="3"/>
        <v/>
      </c>
      <c r="F52" s="29" t="str">
        <f t="shared" si="4"/>
        <v/>
      </c>
      <c r="G52" s="60" t="str">
        <f t="shared" si="5"/>
        <v/>
      </c>
      <c r="H52" s="60" t="str">
        <f t="shared" si="6"/>
        <v/>
      </c>
      <c r="I52" s="60" t="str">
        <f t="shared" si="7"/>
        <v/>
      </c>
      <c r="J52" s="60" t="str">
        <f t="shared" si="8"/>
        <v/>
      </c>
      <c r="K52" s="60" t="str">
        <f t="shared" si="9"/>
        <v/>
      </c>
      <c r="L52" s="60" t="str">
        <f t="shared" si="10"/>
        <v/>
      </c>
      <c r="M52" s="60" t="str">
        <f t="shared" si="11"/>
        <v/>
      </c>
      <c r="Q52" s="57" t="str">
        <f t="shared" si="12"/>
        <v/>
      </c>
      <c r="R52" s="58" t="str">
        <f t="shared" si="13"/>
        <v/>
      </c>
      <c r="S52" s="28" t="str">
        <f t="shared" si="14"/>
        <v/>
      </c>
      <c r="T52" s="28" t="str">
        <f t="shared" si="15"/>
        <v/>
      </c>
      <c r="U52" s="29" t="str">
        <f t="shared" si="16"/>
        <v/>
      </c>
      <c r="V52" s="60" t="str">
        <f t="shared" si="17"/>
        <v/>
      </c>
      <c r="W52" s="60" t="str">
        <f t="shared" si="18"/>
        <v/>
      </c>
      <c r="X52" s="60" t="str">
        <f t="shared" si="19"/>
        <v/>
      </c>
      <c r="Y52" s="60" t="str">
        <f t="shared" si="20"/>
        <v/>
      </c>
      <c r="Z52" s="60" t="str">
        <f t="shared" si="21"/>
        <v/>
      </c>
      <c r="AA52" s="60" t="str">
        <f t="shared" si="22"/>
        <v/>
      </c>
      <c r="AB52" s="60" t="str">
        <f t="shared" si="23"/>
        <v/>
      </c>
      <c r="AD52">
        <f>PIP!O37</f>
        <v>2</v>
      </c>
      <c r="AE52">
        <f>PIP!N37</f>
        <v>19</v>
      </c>
      <c r="AF52" s="843">
        <f>PIP!U37</f>
        <v>0</v>
      </c>
      <c r="AG52" s="843">
        <f>PIP!T37</f>
        <v>0</v>
      </c>
      <c r="AH52" s="843">
        <f>PIP!V37</f>
        <v>0</v>
      </c>
      <c r="AI52" s="843">
        <f>PIP!W37</f>
        <v>0</v>
      </c>
      <c r="AJ52" s="843">
        <f>PIP!X37</f>
        <v>0</v>
      </c>
      <c r="AK52" s="843">
        <f>PIP!Y37</f>
        <v>0</v>
      </c>
      <c r="AL52" s="843">
        <f>PIP!Z37</f>
        <v>0</v>
      </c>
    </row>
    <row r="53" spans="2:38">
      <c r="B53" s="57" t="str">
        <f t="shared" si="0"/>
        <v/>
      </c>
      <c r="C53" s="58" t="str">
        <f t="shared" si="1"/>
        <v/>
      </c>
      <c r="D53" s="28" t="str">
        <f t="shared" si="2"/>
        <v/>
      </c>
      <c r="E53" s="28" t="str">
        <f t="shared" si="3"/>
        <v/>
      </c>
      <c r="F53" s="29" t="str">
        <f t="shared" si="4"/>
        <v/>
      </c>
      <c r="G53" s="60" t="str">
        <f t="shared" si="5"/>
        <v/>
      </c>
      <c r="H53" s="60" t="str">
        <f t="shared" si="6"/>
        <v/>
      </c>
      <c r="I53" s="60" t="str">
        <f t="shared" si="7"/>
        <v/>
      </c>
      <c r="J53" s="60" t="str">
        <f t="shared" si="8"/>
        <v/>
      </c>
      <c r="K53" s="60" t="str">
        <f t="shared" si="9"/>
        <v/>
      </c>
      <c r="L53" s="60" t="str">
        <f t="shared" si="10"/>
        <v/>
      </c>
      <c r="M53" s="60" t="str">
        <f t="shared" si="11"/>
        <v/>
      </c>
      <c r="Q53" s="57" t="str">
        <f t="shared" si="12"/>
        <v/>
      </c>
      <c r="R53" s="58" t="str">
        <f t="shared" si="13"/>
        <v/>
      </c>
      <c r="S53" s="28" t="str">
        <f t="shared" si="14"/>
        <v/>
      </c>
      <c r="T53" s="28" t="str">
        <f t="shared" si="15"/>
        <v/>
      </c>
      <c r="U53" s="29" t="str">
        <f t="shared" si="16"/>
        <v/>
      </c>
      <c r="V53" s="60" t="str">
        <f t="shared" si="17"/>
        <v/>
      </c>
      <c r="W53" s="60" t="str">
        <f t="shared" si="18"/>
        <v/>
      </c>
      <c r="X53" s="60" t="str">
        <f t="shared" si="19"/>
        <v/>
      </c>
      <c r="Y53" s="60" t="str">
        <f t="shared" si="20"/>
        <v/>
      </c>
      <c r="Z53" s="60" t="str">
        <f t="shared" si="21"/>
        <v/>
      </c>
      <c r="AA53" s="60" t="str">
        <f t="shared" si="22"/>
        <v/>
      </c>
      <c r="AB53" s="60" t="str">
        <f t="shared" si="23"/>
        <v/>
      </c>
      <c r="AD53">
        <f>PIP!O38</f>
        <v>2</v>
      </c>
      <c r="AE53">
        <f>PIP!N38</f>
        <v>20</v>
      </c>
      <c r="AF53" s="843">
        <f>PIP!U38</f>
        <v>0</v>
      </c>
      <c r="AG53" s="843">
        <f>PIP!T38</f>
        <v>0</v>
      </c>
      <c r="AH53" s="843">
        <f>PIP!V38</f>
        <v>0</v>
      </c>
      <c r="AI53" s="843">
        <f>PIP!W38</f>
        <v>0</v>
      </c>
      <c r="AJ53" s="843">
        <f>PIP!X38</f>
        <v>0</v>
      </c>
      <c r="AK53" s="843">
        <f>PIP!Y38</f>
        <v>0</v>
      </c>
      <c r="AL53" s="843">
        <f>PIP!Z38</f>
        <v>0</v>
      </c>
    </row>
    <row r="54" spans="2:38">
      <c r="B54" s="57" t="str">
        <f t="shared" si="0"/>
        <v/>
      </c>
      <c r="C54" s="58" t="str">
        <f t="shared" si="1"/>
        <v/>
      </c>
      <c r="D54" s="28" t="str">
        <f t="shared" si="2"/>
        <v/>
      </c>
      <c r="E54" s="28" t="str">
        <f t="shared" si="3"/>
        <v/>
      </c>
      <c r="F54" s="29" t="str">
        <f t="shared" si="4"/>
        <v/>
      </c>
      <c r="G54" s="60" t="str">
        <f t="shared" si="5"/>
        <v/>
      </c>
      <c r="H54" s="60" t="str">
        <f t="shared" si="6"/>
        <v/>
      </c>
      <c r="I54" s="60" t="str">
        <f t="shared" si="7"/>
        <v/>
      </c>
      <c r="J54" s="60" t="str">
        <f t="shared" si="8"/>
        <v/>
      </c>
      <c r="K54" s="60" t="str">
        <f t="shared" si="9"/>
        <v/>
      </c>
      <c r="L54" s="60" t="str">
        <f t="shared" si="10"/>
        <v/>
      </c>
      <c r="M54" s="60" t="str">
        <f t="shared" si="11"/>
        <v/>
      </c>
      <c r="Q54" s="57" t="str">
        <f t="shared" si="12"/>
        <v/>
      </c>
      <c r="R54" s="58" t="str">
        <f t="shared" si="13"/>
        <v/>
      </c>
      <c r="S54" s="28" t="str">
        <f t="shared" si="14"/>
        <v/>
      </c>
      <c r="T54" s="28" t="str">
        <f t="shared" si="15"/>
        <v/>
      </c>
      <c r="U54" s="29" t="str">
        <f t="shared" si="16"/>
        <v/>
      </c>
      <c r="V54" s="60" t="str">
        <f t="shared" si="17"/>
        <v/>
      </c>
      <c r="W54" s="60" t="str">
        <f t="shared" si="18"/>
        <v/>
      </c>
      <c r="X54" s="60" t="str">
        <f t="shared" si="19"/>
        <v/>
      </c>
      <c r="Y54" s="60" t="str">
        <f t="shared" si="20"/>
        <v/>
      </c>
      <c r="Z54" s="60" t="str">
        <f t="shared" si="21"/>
        <v/>
      </c>
      <c r="AA54" s="60" t="str">
        <f t="shared" si="22"/>
        <v/>
      </c>
      <c r="AB54" s="60" t="str">
        <f t="shared" si="23"/>
        <v/>
      </c>
      <c r="AD54">
        <f>PIP!O39</f>
        <v>2</v>
      </c>
      <c r="AE54">
        <f>PIP!N39</f>
        <v>21</v>
      </c>
      <c r="AF54" s="843">
        <f>PIP!U39</f>
        <v>0</v>
      </c>
      <c r="AG54" s="843">
        <f>PIP!T39</f>
        <v>0</v>
      </c>
      <c r="AH54" s="843">
        <f>PIP!V39</f>
        <v>0</v>
      </c>
      <c r="AI54" s="843">
        <f>PIP!W39</f>
        <v>0</v>
      </c>
      <c r="AJ54" s="843">
        <f>PIP!X39</f>
        <v>0</v>
      </c>
      <c r="AK54" s="843">
        <f>PIP!Y39</f>
        <v>0</v>
      </c>
      <c r="AL54" s="843">
        <f>PIP!Z39</f>
        <v>0</v>
      </c>
    </row>
    <row r="55" spans="2:38">
      <c r="B55" s="57" t="str">
        <f t="shared" si="0"/>
        <v/>
      </c>
      <c r="C55" s="58" t="str">
        <f t="shared" si="1"/>
        <v/>
      </c>
      <c r="D55" s="28" t="str">
        <f t="shared" si="2"/>
        <v/>
      </c>
      <c r="E55" s="28" t="str">
        <f t="shared" si="3"/>
        <v/>
      </c>
      <c r="F55" s="29" t="str">
        <f t="shared" si="4"/>
        <v/>
      </c>
      <c r="G55" s="60" t="str">
        <f t="shared" si="5"/>
        <v/>
      </c>
      <c r="H55" s="60" t="str">
        <f t="shared" si="6"/>
        <v/>
      </c>
      <c r="I55" s="60" t="str">
        <f t="shared" si="7"/>
        <v/>
      </c>
      <c r="J55" s="60" t="str">
        <f t="shared" si="8"/>
        <v/>
      </c>
      <c r="K55" s="60" t="str">
        <f t="shared" si="9"/>
        <v/>
      </c>
      <c r="L55" s="60" t="str">
        <f t="shared" si="10"/>
        <v/>
      </c>
      <c r="M55" s="60" t="str">
        <f t="shared" si="11"/>
        <v/>
      </c>
      <c r="Q55" s="57" t="str">
        <f t="shared" si="12"/>
        <v/>
      </c>
      <c r="R55" s="58" t="str">
        <f t="shared" si="13"/>
        <v/>
      </c>
      <c r="S55" s="28" t="str">
        <f t="shared" si="14"/>
        <v/>
      </c>
      <c r="T55" s="28" t="str">
        <f t="shared" si="15"/>
        <v/>
      </c>
      <c r="U55" s="29" t="str">
        <f t="shared" si="16"/>
        <v/>
      </c>
      <c r="V55" s="60" t="str">
        <f t="shared" si="17"/>
        <v/>
      </c>
      <c r="W55" s="60" t="str">
        <f t="shared" si="18"/>
        <v/>
      </c>
      <c r="X55" s="60" t="str">
        <f t="shared" si="19"/>
        <v/>
      </c>
      <c r="Y55" s="60" t="str">
        <f t="shared" si="20"/>
        <v/>
      </c>
      <c r="Z55" s="60" t="str">
        <f t="shared" si="21"/>
        <v/>
      </c>
      <c r="AA55" s="60" t="str">
        <f t="shared" si="22"/>
        <v/>
      </c>
      <c r="AB55" s="60" t="str">
        <f t="shared" si="23"/>
        <v/>
      </c>
      <c r="AD55">
        <f>PIP!O40</f>
        <v>2</v>
      </c>
      <c r="AE55">
        <f>PIP!N40</f>
        <v>22</v>
      </c>
      <c r="AF55" s="843">
        <f>PIP!U40</f>
        <v>0</v>
      </c>
      <c r="AG55" s="843">
        <f>PIP!T40</f>
        <v>0</v>
      </c>
      <c r="AH55" s="843">
        <f>PIP!V40</f>
        <v>0</v>
      </c>
      <c r="AI55" s="843">
        <f>PIP!W40</f>
        <v>0</v>
      </c>
      <c r="AJ55" s="843">
        <f>PIP!X40</f>
        <v>0</v>
      </c>
      <c r="AK55" s="843">
        <f>PIP!Y40</f>
        <v>0</v>
      </c>
      <c r="AL55" s="843">
        <f>PIP!Z40</f>
        <v>0</v>
      </c>
    </row>
    <row r="56" spans="2:38">
      <c r="B56" s="57" t="str">
        <f t="shared" si="0"/>
        <v/>
      </c>
      <c r="C56" s="58" t="str">
        <f t="shared" si="1"/>
        <v/>
      </c>
      <c r="D56" s="28" t="str">
        <f t="shared" si="2"/>
        <v/>
      </c>
      <c r="E56" s="28" t="str">
        <f t="shared" si="3"/>
        <v/>
      </c>
      <c r="F56" s="29" t="str">
        <f t="shared" si="4"/>
        <v/>
      </c>
      <c r="G56" s="60" t="str">
        <f t="shared" si="5"/>
        <v/>
      </c>
      <c r="H56" s="60" t="str">
        <f t="shared" si="6"/>
        <v/>
      </c>
      <c r="I56" s="60" t="str">
        <f t="shared" si="7"/>
        <v/>
      </c>
      <c r="J56" s="60" t="str">
        <f t="shared" si="8"/>
        <v/>
      </c>
      <c r="K56" s="60" t="str">
        <f t="shared" si="9"/>
        <v/>
      </c>
      <c r="L56" s="60" t="str">
        <f t="shared" si="10"/>
        <v/>
      </c>
      <c r="M56" s="60" t="str">
        <f t="shared" si="11"/>
        <v/>
      </c>
      <c r="Q56" s="57" t="str">
        <f t="shared" si="12"/>
        <v/>
      </c>
      <c r="R56" s="58" t="str">
        <f t="shared" si="13"/>
        <v/>
      </c>
      <c r="S56" s="28" t="str">
        <f t="shared" si="14"/>
        <v/>
      </c>
      <c r="T56" s="28" t="str">
        <f t="shared" si="15"/>
        <v/>
      </c>
      <c r="U56" s="29" t="str">
        <f t="shared" si="16"/>
        <v/>
      </c>
      <c r="V56" s="60" t="str">
        <f t="shared" si="17"/>
        <v/>
      </c>
      <c r="W56" s="60" t="str">
        <f t="shared" si="18"/>
        <v/>
      </c>
      <c r="X56" s="60" t="str">
        <f t="shared" si="19"/>
        <v/>
      </c>
      <c r="Y56" s="60" t="str">
        <f t="shared" si="20"/>
        <v/>
      </c>
      <c r="Z56" s="60" t="str">
        <f t="shared" si="21"/>
        <v/>
      </c>
      <c r="AA56" s="60" t="str">
        <f t="shared" si="22"/>
        <v/>
      </c>
      <c r="AB56" s="60" t="str">
        <f t="shared" si="23"/>
        <v/>
      </c>
      <c r="AD56">
        <f>PIP!O41</f>
        <v>2</v>
      </c>
      <c r="AE56">
        <f>PIP!N41</f>
        <v>23</v>
      </c>
      <c r="AF56" s="843">
        <f>PIP!U41</f>
        <v>0</v>
      </c>
      <c r="AG56" s="843">
        <f>PIP!T41</f>
        <v>0</v>
      </c>
      <c r="AH56" s="843">
        <f>PIP!V41</f>
        <v>0</v>
      </c>
      <c r="AI56" s="843">
        <f>PIP!W41</f>
        <v>0</v>
      </c>
      <c r="AJ56" s="843">
        <f>PIP!X41</f>
        <v>0</v>
      </c>
      <c r="AK56" s="843">
        <f>PIP!Y41</f>
        <v>0</v>
      </c>
      <c r="AL56" s="843">
        <f>PIP!Z41</f>
        <v>0</v>
      </c>
    </row>
    <row r="57" spans="2:38">
      <c r="B57" s="57" t="str">
        <f t="shared" si="0"/>
        <v/>
      </c>
      <c r="C57" s="58" t="str">
        <f t="shared" si="1"/>
        <v/>
      </c>
      <c r="D57" s="28" t="str">
        <f t="shared" si="2"/>
        <v/>
      </c>
      <c r="E57" s="28" t="str">
        <f t="shared" si="3"/>
        <v/>
      </c>
      <c r="F57" s="29" t="str">
        <f t="shared" si="4"/>
        <v/>
      </c>
      <c r="G57" s="60" t="str">
        <f t="shared" si="5"/>
        <v/>
      </c>
      <c r="H57" s="60" t="str">
        <f t="shared" si="6"/>
        <v/>
      </c>
      <c r="I57" s="60" t="str">
        <f t="shared" si="7"/>
        <v/>
      </c>
      <c r="J57" s="60" t="str">
        <f t="shared" si="8"/>
        <v/>
      </c>
      <c r="K57" s="60" t="str">
        <f t="shared" si="9"/>
        <v/>
      </c>
      <c r="L57" s="60" t="str">
        <f t="shared" si="10"/>
        <v/>
      </c>
      <c r="M57" s="60" t="str">
        <f t="shared" si="11"/>
        <v/>
      </c>
      <c r="Q57" s="57" t="str">
        <f t="shared" si="12"/>
        <v/>
      </c>
      <c r="R57" s="58" t="str">
        <f t="shared" si="13"/>
        <v/>
      </c>
      <c r="S57" s="28" t="str">
        <f t="shared" si="14"/>
        <v/>
      </c>
      <c r="T57" s="28" t="str">
        <f t="shared" si="15"/>
        <v/>
      </c>
      <c r="U57" s="29" t="str">
        <f t="shared" si="16"/>
        <v/>
      </c>
      <c r="V57" s="60" t="str">
        <f t="shared" si="17"/>
        <v/>
      </c>
      <c r="W57" s="60" t="str">
        <f t="shared" si="18"/>
        <v/>
      </c>
      <c r="X57" s="60" t="str">
        <f t="shared" si="19"/>
        <v/>
      </c>
      <c r="Y57" s="60" t="str">
        <f t="shared" si="20"/>
        <v/>
      </c>
      <c r="Z57" s="60" t="str">
        <f t="shared" si="21"/>
        <v/>
      </c>
      <c r="AA57" s="60" t="str">
        <f t="shared" si="22"/>
        <v/>
      </c>
      <c r="AB57" s="60" t="str">
        <f t="shared" si="23"/>
        <v/>
      </c>
      <c r="AD57">
        <f>PIP!O42</f>
        <v>2</v>
      </c>
      <c r="AE57">
        <f>PIP!N42</f>
        <v>24</v>
      </c>
      <c r="AF57" s="843">
        <f>PIP!U42</f>
        <v>0</v>
      </c>
      <c r="AG57" s="843">
        <f>PIP!T42</f>
        <v>0</v>
      </c>
      <c r="AH57" s="843">
        <f>PIP!V42</f>
        <v>0</v>
      </c>
      <c r="AI57" s="843">
        <f>PIP!W42</f>
        <v>0</v>
      </c>
      <c r="AJ57" s="843">
        <f>PIP!X42</f>
        <v>0</v>
      </c>
      <c r="AK57" s="843">
        <f>PIP!Y42</f>
        <v>0</v>
      </c>
      <c r="AL57" s="843">
        <f>PIP!Z42</f>
        <v>0</v>
      </c>
    </row>
    <row r="58" spans="2:38">
      <c r="B58" s="57" t="str">
        <f t="shared" si="0"/>
        <v/>
      </c>
      <c r="C58" s="58" t="str">
        <f t="shared" si="1"/>
        <v/>
      </c>
      <c r="D58" s="28" t="str">
        <f t="shared" si="2"/>
        <v/>
      </c>
      <c r="E58" s="28" t="str">
        <f t="shared" si="3"/>
        <v/>
      </c>
      <c r="F58" s="29" t="str">
        <f t="shared" si="4"/>
        <v/>
      </c>
      <c r="G58" s="60" t="str">
        <f t="shared" si="5"/>
        <v/>
      </c>
      <c r="H58" s="60" t="str">
        <f t="shared" si="6"/>
        <v/>
      </c>
      <c r="I58" s="60" t="str">
        <f t="shared" si="7"/>
        <v/>
      </c>
      <c r="J58" s="60" t="str">
        <f t="shared" si="8"/>
        <v/>
      </c>
      <c r="K58" s="60" t="str">
        <f t="shared" si="9"/>
        <v/>
      </c>
      <c r="L58" s="60" t="str">
        <f t="shared" si="10"/>
        <v/>
      </c>
      <c r="M58" s="60" t="str">
        <f t="shared" si="11"/>
        <v/>
      </c>
      <c r="Q58" s="57" t="str">
        <f t="shared" si="12"/>
        <v/>
      </c>
      <c r="R58" s="58" t="str">
        <f t="shared" si="13"/>
        <v/>
      </c>
      <c r="S58" s="28" t="str">
        <f t="shared" si="14"/>
        <v/>
      </c>
      <c r="T58" s="28" t="str">
        <f t="shared" si="15"/>
        <v/>
      </c>
      <c r="U58" s="29" t="str">
        <f t="shared" si="16"/>
        <v/>
      </c>
      <c r="V58" s="60" t="str">
        <f t="shared" si="17"/>
        <v/>
      </c>
      <c r="W58" s="60" t="str">
        <f t="shared" si="18"/>
        <v/>
      </c>
      <c r="X58" s="60" t="str">
        <f t="shared" si="19"/>
        <v/>
      </c>
      <c r="Y58" s="60" t="str">
        <f t="shared" si="20"/>
        <v/>
      </c>
      <c r="Z58" s="60" t="str">
        <f t="shared" si="21"/>
        <v/>
      </c>
      <c r="AA58" s="60" t="str">
        <f t="shared" si="22"/>
        <v/>
      </c>
      <c r="AB58" s="60" t="str">
        <f t="shared" si="23"/>
        <v/>
      </c>
      <c r="AD58">
        <f>PIP!O43</f>
        <v>3</v>
      </c>
      <c r="AE58">
        <f>PIP!N43</f>
        <v>25</v>
      </c>
      <c r="AF58" s="843">
        <f>PIP!U43</f>
        <v>0</v>
      </c>
      <c r="AG58" s="843">
        <f>PIP!T43</f>
        <v>0</v>
      </c>
      <c r="AH58" s="843">
        <f>PIP!V43</f>
        <v>0</v>
      </c>
      <c r="AI58" s="843">
        <f>PIP!W43</f>
        <v>0</v>
      </c>
      <c r="AJ58" s="843">
        <f>PIP!X43</f>
        <v>0</v>
      </c>
      <c r="AK58" s="843">
        <f>PIP!Y43</f>
        <v>0</v>
      </c>
      <c r="AL58" s="843">
        <f>PIP!Z43</f>
        <v>0</v>
      </c>
    </row>
    <row r="59" spans="2:38">
      <c r="B59" s="57" t="str">
        <f t="shared" si="0"/>
        <v/>
      </c>
      <c r="C59" s="58" t="str">
        <f t="shared" si="1"/>
        <v/>
      </c>
      <c r="D59" s="28" t="str">
        <f t="shared" si="2"/>
        <v/>
      </c>
      <c r="E59" s="28" t="str">
        <f t="shared" si="3"/>
        <v/>
      </c>
      <c r="F59" s="29" t="str">
        <f t="shared" si="4"/>
        <v/>
      </c>
      <c r="G59" s="60" t="str">
        <f t="shared" si="5"/>
        <v/>
      </c>
      <c r="H59" s="60" t="str">
        <f t="shared" si="6"/>
        <v/>
      </c>
      <c r="I59" s="60" t="str">
        <f t="shared" si="7"/>
        <v/>
      </c>
      <c r="J59" s="60" t="str">
        <f t="shared" si="8"/>
        <v/>
      </c>
      <c r="K59" s="60" t="str">
        <f t="shared" si="9"/>
        <v/>
      </c>
      <c r="L59" s="60" t="str">
        <f t="shared" si="10"/>
        <v/>
      </c>
      <c r="M59" s="60" t="str">
        <f t="shared" si="11"/>
        <v/>
      </c>
      <c r="Q59" s="57" t="str">
        <f t="shared" si="12"/>
        <v/>
      </c>
      <c r="R59" s="58" t="str">
        <f t="shared" si="13"/>
        <v/>
      </c>
      <c r="S59" s="28" t="str">
        <f t="shared" si="14"/>
        <v/>
      </c>
      <c r="T59" s="28" t="str">
        <f t="shared" si="15"/>
        <v/>
      </c>
      <c r="U59" s="29" t="str">
        <f t="shared" si="16"/>
        <v/>
      </c>
      <c r="V59" s="60" t="str">
        <f t="shared" si="17"/>
        <v/>
      </c>
      <c r="W59" s="60" t="str">
        <f t="shared" si="18"/>
        <v/>
      </c>
      <c r="X59" s="60" t="str">
        <f t="shared" si="19"/>
        <v/>
      </c>
      <c r="Y59" s="60" t="str">
        <f t="shared" si="20"/>
        <v/>
      </c>
      <c r="Z59" s="60" t="str">
        <f t="shared" si="21"/>
        <v/>
      </c>
      <c r="AA59" s="60" t="str">
        <f t="shared" si="22"/>
        <v/>
      </c>
      <c r="AB59" s="60" t="str">
        <f t="shared" si="23"/>
        <v/>
      </c>
      <c r="AD59">
        <f>PIP!O44</f>
        <v>3</v>
      </c>
      <c r="AE59">
        <f>PIP!N44</f>
        <v>26</v>
      </c>
      <c r="AF59" s="843">
        <f>PIP!U44</f>
        <v>0</v>
      </c>
      <c r="AG59" s="843">
        <f>PIP!T44</f>
        <v>0</v>
      </c>
      <c r="AH59" s="843">
        <f>PIP!V44</f>
        <v>0</v>
      </c>
      <c r="AI59" s="843">
        <f>PIP!W44</f>
        <v>0</v>
      </c>
      <c r="AJ59" s="843">
        <f>PIP!X44</f>
        <v>0</v>
      </c>
      <c r="AK59" s="843">
        <f>PIP!Y44</f>
        <v>0</v>
      </c>
      <c r="AL59" s="843">
        <f>PIP!Z44</f>
        <v>0</v>
      </c>
    </row>
    <row r="60" spans="2:38">
      <c r="B60" s="57" t="str">
        <f t="shared" si="0"/>
        <v/>
      </c>
      <c r="C60" s="58" t="str">
        <f t="shared" si="1"/>
        <v/>
      </c>
      <c r="D60" s="28" t="str">
        <f t="shared" si="2"/>
        <v/>
      </c>
      <c r="E60" s="28" t="str">
        <f t="shared" si="3"/>
        <v/>
      </c>
      <c r="F60" s="29" t="str">
        <f t="shared" si="4"/>
        <v/>
      </c>
      <c r="G60" s="60" t="str">
        <f t="shared" si="5"/>
        <v/>
      </c>
      <c r="H60" s="60" t="str">
        <f t="shared" si="6"/>
        <v/>
      </c>
      <c r="I60" s="60" t="str">
        <f t="shared" si="7"/>
        <v/>
      </c>
      <c r="J60" s="60" t="str">
        <f t="shared" si="8"/>
        <v/>
      </c>
      <c r="K60" s="60" t="str">
        <f t="shared" si="9"/>
        <v/>
      </c>
      <c r="L60" s="60" t="str">
        <f t="shared" si="10"/>
        <v/>
      </c>
      <c r="M60" s="60" t="str">
        <f t="shared" si="11"/>
        <v/>
      </c>
      <c r="Q60" s="57" t="str">
        <f t="shared" si="12"/>
        <v/>
      </c>
      <c r="R60" s="58" t="str">
        <f t="shared" si="13"/>
        <v/>
      </c>
      <c r="S60" s="28" t="str">
        <f t="shared" si="14"/>
        <v/>
      </c>
      <c r="T60" s="28" t="str">
        <f t="shared" si="15"/>
        <v/>
      </c>
      <c r="U60" s="29" t="str">
        <f t="shared" si="16"/>
        <v/>
      </c>
      <c r="V60" s="60" t="str">
        <f t="shared" si="17"/>
        <v/>
      </c>
      <c r="W60" s="60" t="str">
        <f t="shared" si="18"/>
        <v/>
      </c>
      <c r="X60" s="60" t="str">
        <f t="shared" si="19"/>
        <v/>
      </c>
      <c r="Y60" s="60" t="str">
        <f t="shared" si="20"/>
        <v/>
      </c>
      <c r="Z60" s="60" t="str">
        <f t="shared" si="21"/>
        <v/>
      </c>
      <c r="AA60" s="60" t="str">
        <f t="shared" si="22"/>
        <v/>
      </c>
      <c r="AB60" s="60" t="str">
        <f t="shared" si="23"/>
        <v/>
      </c>
      <c r="AD60">
        <f>PIP!O45</f>
        <v>3</v>
      </c>
      <c r="AE60">
        <f>PIP!N45</f>
        <v>27</v>
      </c>
      <c r="AF60" s="843">
        <f>PIP!U45</f>
        <v>0</v>
      </c>
      <c r="AG60" s="843">
        <f>PIP!T45</f>
        <v>0</v>
      </c>
      <c r="AH60" s="843">
        <f>PIP!V45</f>
        <v>0</v>
      </c>
      <c r="AI60" s="843">
        <f>PIP!W45</f>
        <v>0</v>
      </c>
      <c r="AJ60" s="843">
        <f>PIP!X45</f>
        <v>0</v>
      </c>
      <c r="AK60" s="843">
        <f>PIP!Y45</f>
        <v>0</v>
      </c>
      <c r="AL60" s="843">
        <f>PIP!Z45</f>
        <v>0</v>
      </c>
    </row>
    <row r="61" spans="2:38">
      <c r="B61" s="57" t="str">
        <f t="shared" si="0"/>
        <v/>
      </c>
      <c r="C61" s="58" t="str">
        <f t="shared" si="1"/>
        <v/>
      </c>
      <c r="D61" s="28" t="str">
        <f t="shared" si="2"/>
        <v/>
      </c>
      <c r="E61" s="28" t="str">
        <f t="shared" si="3"/>
        <v/>
      </c>
      <c r="F61" s="29" t="str">
        <f t="shared" si="4"/>
        <v/>
      </c>
      <c r="G61" s="60" t="str">
        <f t="shared" si="5"/>
        <v/>
      </c>
      <c r="H61" s="60" t="str">
        <f t="shared" si="6"/>
        <v/>
      </c>
      <c r="I61" s="60" t="str">
        <f t="shared" si="7"/>
        <v/>
      </c>
      <c r="J61" s="60" t="str">
        <f t="shared" si="8"/>
        <v/>
      </c>
      <c r="K61" s="60" t="str">
        <f t="shared" si="9"/>
        <v/>
      </c>
      <c r="L61" s="60" t="str">
        <f t="shared" si="10"/>
        <v/>
      </c>
      <c r="M61" s="60" t="str">
        <f t="shared" si="11"/>
        <v/>
      </c>
      <c r="Q61" s="57" t="str">
        <f t="shared" si="12"/>
        <v/>
      </c>
      <c r="R61" s="58" t="str">
        <f t="shared" si="13"/>
        <v/>
      </c>
      <c r="S61" s="28" t="str">
        <f t="shared" si="14"/>
        <v/>
      </c>
      <c r="T61" s="28" t="str">
        <f t="shared" si="15"/>
        <v/>
      </c>
      <c r="U61" s="29" t="str">
        <f t="shared" si="16"/>
        <v/>
      </c>
      <c r="V61" s="60" t="str">
        <f t="shared" si="17"/>
        <v/>
      </c>
      <c r="W61" s="60" t="str">
        <f t="shared" si="18"/>
        <v/>
      </c>
      <c r="X61" s="60" t="str">
        <f t="shared" si="19"/>
        <v/>
      </c>
      <c r="Y61" s="60" t="str">
        <f t="shared" si="20"/>
        <v/>
      </c>
      <c r="Z61" s="60" t="str">
        <f t="shared" si="21"/>
        <v/>
      </c>
      <c r="AA61" s="60" t="str">
        <f t="shared" si="22"/>
        <v/>
      </c>
      <c r="AB61" s="60" t="str">
        <f t="shared" si="23"/>
        <v/>
      </c>
      <c r="AD61">
        <f>PIP!O46</f>
        <v>3</v>
      </c>
      <c r="AE61">
        <f>PIP!N46</f>
        <v>28</v>
      </c>
      <c r="AF61" s="843">
        <f>PIP!U46</f>
        <v>0</v>
      </c>
      <c r="AG61" s="843">
        <f>PIP!T46</f>
        <v>0</v>
      </c>
      <c r="AH61" s="843">
        <f>PIP!V46</f>
        <v>0</v>
      </c>
      <c r="AI61" s="843">
        <f>PIP!W46</f>
        <v>0</v>
      </c>
      <c r="AJ61" s="843">
        <f>PIP!X46</f>
        <v>0</v>
      </c>
      <c r="AK61" s="843">
        <f>PIP!Y46</f>
        <v>0</v>
      </c>
      <c r="AL61" s="843">
        <f>PIP!Z46</f>
        <v>0</v>
      </c>
    </row>
    <row r="62" spans="2:38">
      <c r="B62" s="57" t="str">
        <f t="shared" si="0"/>
        <v/>
      </c>
      <c r="C62" s="58" t="str">
        <f t="shared" si="1"/>
        <v/>
      </c>
      <c r="D62" s="28" t="str">
        <f t="shared" si="2"/>
        <v/>
      </c>
      <c r="E62" s="28" t="str">
        <f t="shared" si="3"/>
        <v/>
      </c>
      <c r="F62" s="29" t="str">
        <f t="shared" si="4"/>
        <v/>
      </c>
      <c r="G62" s="60" t="str">
        <f t="shared" si="5"/>
        <v/>
      </c>
      <c r="H62" s="60" t="str">
        <f t="shared" si="6"/>
        <v/>
      </c>
      <c r="I62" s="60" t="str">
        <f t="shared" si="7"/>
        <v/>
      </c>
      <c r="J62" s="60" t="str">
        <f t="shared" si="8"/>
        <v/>
      </c>
      <c r="K62" s="60" t="str">
        <f t="shared" si="9"/>
        <v/>
      </c>
      <c r="L62" s="60" t="str">
        <f t="shared" si="10"/>
        <v/>
      </c>
      <c r="M62" s="60" t="str">
        <f t="shared" si="11"/>
        <v/>
      </c>
      <c r="Q62" s="57" t="str">
        <f t="shared" si="12"/>
        <v/>
      </c>
      <c r="R62" s="58" t="str">
        <f t="shared" si="13"/>
        <v/>
      </c>
      <c r="S62" s="28" t="str">
        <f t="shared" si="14"/>
        <v/>
      </c>
      <c r="T62" s="28" t="str">
        <f t="shared" si="15"/>
        <v/>
      </c>
      <c r="U62" s="29" t="str">
        <f t="shared" si="16"/>
        <v/>
      </c>
      <c r="V62" s="60" t="str">
        <f t="shared" si="17"/>
        <v/>
      </c>
      <c r="W62" s="60" t="str">
        <f t="shared" si="18"/>
        <v/>
      </c>
      <c r="X62" s="60" t="str">
        <f t="shared" si="19"/>
        <v/>
      </c>
      <c r="Y62" s="60" t="str">
        <f t="shared" si="20"/>
        <v/>
      </c>
      <c r="Z62" s="60" t="str">
        <f t="shared" si="21"/>
        <v/>
      </c>
      <c r="AA62" s="60" t="str">
        <f t="shared" si="22"/>
        <v/>
      </c>
      <c r="AB62" s="60" t="str">
        <f t="shared" si="23"/>
        <v/>
      </c>
      <c r="AD62">
        <f>PIP!O47</f>
        <v>3</v>
      </c>
      <c r="AE62">
        <f>PIP!N47</f>
        <v>29</v>
      </c>
      <c r="AF62" s="843">
        <f>PIP!U47</f>
        <v>0</v>
      </c>
      <c r="AG62" s="843">
        <f>PIP!T47</f>
        <v>0</v>
      </c>
      <c r="AH62" s="843">
        <f>PIP!V47</f>
        <v>0</v>
      </c>
      <c r="AI62" s="843">
        <f>PIP!W47</f>
        <v>0</v>
      </c>
      <c r="AJ62" s="843">
        <f>PIP!X47</f>
        <v>0</v>
      </c>
      <c r="AK62" s="843">
        <f>PIP!Y47</f>
        <v>0</v>
      </c>
      <c r="AL62" s="843">
        <f>PIP!Z47</f>
        <v>0</v>
      </c>
    </row>
    <row r="63" spans="2:38">
      <c r="B63" s="57" t="str">
        <f t="shared" si="0"/>
        <v/>
      </c>
      <c r="C63" s="58" t="str">
        <f t="shared" si="1"/>
        <v/>
      </c>
      <c r="D63" s="28" t="str">
        <f t="shared" si="2"/>
        <v/>
      </c>
      <c r="E63" s="28" t="str">
        <f t="shared" si="3"/>
        <v/>
      </c>
      <c r="F63" s="29" t="str">
        <f t="shared" si="4"/>
        <v/>
      </c>
      <c r="G63" s="60" t="str">
        <f t="shared" si="5"/>
        <v/>
      </c>
      <c r="H63" s="60" t="str">
        <f t="shared" si="6"/>
        <v/>
      </c>
      <c r="I63" s="60" t="str">
        <f t="shared" si="7"/>
        <v/>
      </c>
      <c r="J63" s="60" t="str">
        <f t="shared" si="8"/>
        <v/>
      </c>
      <c r="K63" s="60" t="str">
        <f t="shared" si="9"/>
        <v/>
      </c>
      <c r="L63" s="60" t="str">
        <f t="shared" si="10"/>
        <v/>
      </c>
      <c r="M63" s="60" t="str">
        <f t="shared" si="11"/>
        <v/>
      </c>
      <c r="Q63" s="57" t="str">
        <f t="shared" si="12"/>
        <v/>
      </c>
      <c r="R63" s="58" t="str">
        <f t="shared" si="13"/>
        <v/>
      </c>
      <c r="S63" s="28" t="str">
        <f t="shared" si="14"/>
        <v/>
      </c>
      <c r="T63" s="28" t="str">
        <f t="shared" si="15"/>
        <v/>
      </c>
      <c r="U63" s="29" t="str">
        <f t="shared" si="16"/>
        <v/>
      </c>
      <c r="V63" s="60" t="str">
        <f t="shared" si="17"/>
        <v/>
      </c>
      <c r="W63" s="60" t="str">
        <f t="shared" si="18"/>
        <v/>
      </c>
      <c r="X63" s="60" t="str">
        <f t="shared" si="19"/>
        <v/>
      </c>
      <c r="Y63" s="60" t="str">
        <f t="shared" si="20"/>
        <v/>
      </c>
      <c r="Z63" s="60" t="str">
        <f t="shared" si="21"/>
        <v/>
      </c>
      <c r="AA63" s="60" t="str">
        <f t="shared" si="22"/>
        <v/>
      </c>
      <c r="AB63" s="60" t="str">
        <f t="shared" si="23"/>
        <v/>
      </c>
      <c r="AD63">
        <f>PIP!O48</f>
        <v>3</v>
      </c>
      <c r="AE63">
        <f>PIP!N48</f>
        <v>30</v>
      </c>
      <c r="AF63" s="843">
        <f>PIP!U48</f>
        <v>0</v>
      </c>
      <c r="AG63" s="843">
        <f>PIP!T48</f>
        <v>0</v>
      </c>
      <c r="AH63" s="843">
        <f>PIP!V48</f>
        <v>0</v>
      </c>
      <c r="AI63" s="843">
        <f>PIP!W48</f>
        <v>0</v>
      </c>
      <c r="AJ63" s="843">
        <f>PIP!X48</f>
        <v>0</v>
      </c>
      <c r="AK63" s="843">
        <f>PIP!Y48</f>
        <v>0</v>
      </c>
      <c r="AL63" s="843">
        <f>PIP!Z48</f>
        <v>0</v>
      </c>
    </row>
    <row r="64" spans="2:38">
      <c r="B64" s="57" t="str">
        <f t="shared" si="0"/>
        <v/>
      </c>
      <c r="C64" s="58" t="str">
        <f t="shared" si="1"/>
        <v/>
      </c>
      <c r="D64" s="28" t="str">
        <f t="shared" si="2"/>
        <v/>
      </c>
      <c r="E64" s="28" t="str">
        <f t="shared" si="3"/>
        <v/>
      </c>
      <c r="F64" s="29" t="str">
        <f t="shared" si="4"/>
        <v/>
      </c>
      <c r="G64" s="60" t="str">
        <f t="shared" si="5"/>
        <v/>
      </c>
      <c r="H64" s="60" t="str">
        <f t="shared" si="6"/>
        <v/>
      </c>
      <c r="I64" s="60" t="str">
        <f t="shared" si="7"/>
        <v/>
      </c>
      <c r="J64" s="60" t="str">
        <f t="shared" si="8"/>
        <v/>
      </c>
      <c r="K64" s="60" t="str">
        <f t="shared" si="9"/>
        <v/>
      </c>
      <c r="L64" s="60" t="str">
        <f t="shared" si="10"/>
        <v/>
      </c>
      <c r="M64" s="60" t="str">
        <f t="shared" si="11"/>
        <v/>
      </c>
      <c r="Q64" s="57" t="str">
        <f t="shared" si="12"/>
        <v/>
      </c>
      <c r="R64" s="58" t="str">
        <f t="shared" si="13"/>
        <v/>
      </c>
      <c r="S64" s="28" t="str">
        <f t="shared" si="14"/>
        <v/>
      </c>
      <c r="T64" s="28" t="str">
        <f t="shared" si="15"/>
        <v/>
      </c>
      <c r="U64" s="29" t="str">
        <f t="shared" si="16"/>
        <v/>
      </c>
      <c r="V64" s="60" t="str">
        <f t="shared" si="17"/>
        <v/>
      </c>
      <c r="W64" s="60" t="str">
        <f t="shared" si="18"/>
        <v/>
      </c>
      <c r="X64" s="60" t="str">
        <f t="shared" si="19"/>
        <v/>
      </c>
      <c r="Y64" s="60" t="str">
        <f t="shared" si="20"/>
        <v/>
      </c>
      <c r="Z64" s="60" t="str">
        <f t="shared" si="21"/>
        <v/>
      </c>
      <c r="AA64" s="60" t="str">
        <f t="shared" si="22"/>
        <v/>
      </c>
      <c r="AB64" s="60" t="str">
        <f t="shared" si="23"/>
        <v/>
      </c>
      <c r="AD64">
        <f>PIP!O49</f>
        <v>3</v>
      </c>
      <c r="AE64">
        <f>PIP!N49</f>
        <v>31</v>
      </c>
      <c r="AF64" s="843">
        <f>PIP!U49</f>
        <v>0</v>
      </c>
      <c r="AG64" s="843">
        <f>PIP!T49</f>
        <v>0</v>
      </c>
      <c r="AH64" s="843">
        <f>PIP!V49</f>
        <v>0</v>
      </c>
      <c r="AI64" s="843">
        <f>PIP!W49</f>
        <v>0</v>
      </c>
      <c r="AJ64" s="843">
        <f>PIP!X49</f>
        <v>0</v>
      </c>
      <c r="AK64" s="843">
        <f>PIP!Y49</f>
        <v>0</v>
      </c>
      <c r="AL64" s="843">
        <f>PIP!Z49</f>
        <v>0</v>
      </c>
    </row>
    <row r="65" spans="2:38">
      <c r="B65" s="57" t="str">
        <f t="shared" si="0"/>
        <v/>
      </c>
      <c r="C65" s="58" t="str">
        <f t="shared" si="1"/>
        <v/>
      </c>
      <c r="D65" s="28" t="str">
        <f t="shared" si="2"/>
        <v/>
      </c>
      <c r="E65" s="28" t="str">
        <f t="shared" si="3"/>
        <v/>
      </c>
      <c r="F65" s="29" t="str">
        <f t="shared" si="4"/>
        <v/>
      </c>
      <c r="G65" s="60" t="str">
        <f t="shared" si="5"/>
        <v/>
      </c>
      <c r="H65" s="60" t="str">
        <f t="shared" si="6"/>
        <v/>
      </c>
      <c r="I65" s="60" t="str">
        <f t="shared" si="7"/>
        <v/>
      </c>
      <c r="J65" s="60" t="str">
        <f t="shared" si="8"/>
        <v/>
      </c>
      <c r="K65" s="60" t="str">
        <f t="shared" si="9"/>
        <v/>
      </c>
      <c r="L65" s="60" t="str">
        <f t="shared" si="10"/>
        <v/>
      </c>
      <c r="M65" s="60" t="str">
        <f t="shared" si="11"/>
        <v/>
      </c>
      <c r="Q65" s="57" t="str">
        <f t="shared" si="12"/>
        <v/>
      </c>
      <c r="R65" s="58" t="str">
        <f t="shared" si="13"/>
        <v/>
      </c>
      <c r="S65" s="28" t="str">
        <f t="shared" si="14"/>
        <v/>
      </c>
      <c r="T65" s="28" t="str">
        <f t="shared" si="15"/>
        <v/>
      </c>
      <c r="U65" s="29" t="str">
        <f t="shared" si="16"/>
        <v/>
      </c>
      <c r="V65" s="60" t="str">
        <f t="shared" si="17"/>
        <v/>
      </c>
      <c r="W65" s="60" t="str">
        <f t="shared" si="18"/>
        <v/>
      </c>
      <c r="X65" s="60" t="str">
        <f t="shared" si="19"/>
        <v/>
      </c>
      <c r="Y65" s="60" t="str">
        <f t="shared" si="20"/>
        <v/>
      </c>
      <c r="Z65" s="60" t="str">
        <f t="shared" si="21"/>
        <v/>
      </c>
      <c r="AA65" s="60" t="str">
        <f t="shared" si="22"/>
        <v/>
      </c>
      <c r="AB65" s="60" t="str">
        <f t="shared" si="23"/>
        <v/>
      </c>
      <c r="AD65">
        <f>PIP!O50</f>
        <v>3</v>
      </c>
      <c r="AE65">
        <f>PIP!N50</f>
        <v>32</v>
      </c>
      <c r="AF65" s="843">
        <f>PIP!U50</f>
        <v>0</v>
      </c>
      <c r="AG65" s="843">
        <f>PIP!T50</f>
        <v>0</v>
      </c>
      <c r="AH65" s="843">
        <f>PIP!V50</f>
        <v>0</v>
      </c>
      <c r="AI65" s="843">
        <f>PIP!W50</f>
        <v>0</v>
      </c>
      <c r="AJ65" s="843">
        <f>PIP!X50</f>
        <v>0</v>
      </c>
      <c r="AK65" s="843">
        <f>PIP!Y50</f>
        <v>0</v>
      </c>
      <c r="AL65" s="843">
        <f>PIP!Z50</f>
        <v>0</v>
      </c>
    </row>
    <row r="66" spans="2:38">
      <c r="B66" s="57" t="str">
        <f t="shared" si="0"/>
        <v/>
      </c>
      <c r="C66" s="58" t="str">
        <f t="shared" si="1"/>
        <v/>
      </c>
      <c r="D66" s="28" t="str">
        <f t="shared" si="2"/>
        <v/>
      </c>
      <c r="E66" s="28" t="str">
        <f t="shared" si="3"/>
        <v/>
      </c>
      <c r="F66" s="29" t="str">
        <f t="shared" si="4"/>
        <v/>
      </c>
      <c r="G66" s="60" t="str">
        <f t="shared" si="5"/>
        <v/>
      </c>
      <c r="H66" s="60" t="str">
        <f t="shared" si="6"/>
        <v/>
      </c>
      <c r="I66" s="60" t="str">
        <f t="shared" si="7"/>
        <v/>
      </c>
      <c r="J66" s="60" t="str">
        <f t="shared" si="8"/>
        <v/>
      </c>
      <c r="K66" s="60" t="str">
        <f t="shared" si="9"/>
        <v/>
      </c>
      <c r="L66" s="60" t="str">
        <f t="shared" si="10"/>
        <v/>
      </c>
      <c r="M66" s="60" t="str">
        <f t="shared" si="11"/>
        <v/>
      </c>
      <c r="Q66" s="57" t="str">
        <f t="shared" si="12"/>
        <v/>
      </c>
      <c r="R66" s="58" t="str">
        <f t="shared" si="13"/>
        <v/>
      </c>
      <c r="S66" s="28" t="str">
        <f t="shared" si="14"/>
        <v/>
      </c>
      <c r="T66" s="28" t="str">
        <f t="shared" si="15"/>
        <v/>
      </c>
      <c r="U66" s="29" t="str">
        <f t="shared" si="16"/>
        <v/>
      </c>
      <c r="V66" s="60" t="str">
        <f t="shared" si="17"/>
        <v/>
      </c>
      <c r="W66" s="60" t="str">
        <f t="shared" si="18"/>
        <v/>
      </c>
      <c r="X66" s="60" t="str">
        <f t="shared" si="19"/>
        <v/>
      </c>
      <c r="Y66" s="60" t="str">
        <f t="shared" si="20"/>
        <v/>
      </c>
      <c r="Z66" s="60" t="str">
        <f t="shared" si="21"/>
        <v/>
      </c>
      <c r="AA66" s="60" t="str">
        <f t="shared" si="22"/>
        <v/>
      </c>
      <c r="AB66" s="60" t="str">
        <f t="shared" si="23"/>
        <v/>
      </c>
      <c r="AD66">
        <f>PIP!O51</f>
        <v>3</v>
      </c>
      <c r="AE66">
        <f>PIP!N51</f>
        <v>33</v>
      </c>
      <c r="AF66" s="843">
        <f>PIP!U51</f>
        <v>0</v>
      </c>
      <c r="AG66" s="843">
        <f>PIP!T51</f>
        <v>0</v>
      </c>
      <c r="AH66" s="843">
        <f>PIP!V51</f>
        <v>0</v>
      </c>
      <c r="AI66" s="843">
        <f>PIP!W51</f>
        <v>0</v>
      </c>
      <c r="AJ66" s="843">
        <f>PIP!X51</f>
        <v>0</v>
      </c>
      <c r="AK66" s="843">
        <f>PIP!Y51</f>
        <v>0</v>
      </c>
      <c r="AL66" s="843">
        <f>PIP!Z51</f>
        <v>0</v>
      </c>
    </row>
    <row r="67" spans="2:38">
      <c r="B67" s="57" t="str">
        <f t="shared" si="0"/>
        <v/>
      </c>
      <c r="C67" s="58" t="str">
        <f t="shared" si="1"/>
        <v/>
      </c>
      <c r="D67" s="28" t="str">
        <f t="shared" si="2"/>
        <v/>
      </c>
      <c r="E67" s="28" t="str">
        <f t="shared" si="3"/>
        <v/>
      </c>
      <c r="F67" s="29" t="str">
        <f t="shared" si="4"/>
        <v/>
      </c>
      <c r="G67" s="60" t="str">
        <f t="shared" si="5"/>
        <v/>
      </c>
      <c r="H67" s="60" t="str">
        <f t="shared" si="6"/>
        <v/>
      </c>
      <c r="I67" s="60" t="str">
        <f t="shared" si="7"/>
        <v/>
      </c>
      <c r="J67" s="60" t="str">
        <f t="shared" si="8"/>
        <v/>
      </c>
      <c r="K67" s="60" t="str">
        <f t="shared" si="9"/>
        <v/>
      </c>
      <c r="L67" s="60" t="str">
        <f t="shared" si="10"/>
        <v/>
      </c>
      <c r="M67" s="60" t="str">
        <f t="shared" si="11"/>
        <v/>
      </c>
      <c r="Q67" s="57" t="str">
        <f t="shared" si="12"/>
        <v/>
      </c>
      <c r="R67" s="58" t="str">
        <f t="shared" si="13"/>
        <v/>
      </c>
      <c r="S67" s="28" t="str">
        <f t="shared" si="14"/>
        <v/>
      </c>
      <c r="T67" s="28" t="str">
        <f t="shared" si="15"/>
        <v/>
      </c>
      <c r="U67" s="29" t="str">
        <f t="shared" si="16"/>
        <v/>
      </c>
      <c r="V67" s="60" t="str">
        <f t="shared" si="17"/>
        <v/>
      </c>
      <c r="W67" s="60" t="str">
        <f t="shared" si="18"/>
        <v/>
      </c>
      <c r="X67" s="60" t="str">
        <f t="shared" si="19"/>
        <v/>
      </c>
      <c r="Y67" s="60" t="str">
        <f t="shared" si="20"/>
        <v/>
      </c>
      <c r="Z67" s="60" t="str">
        <f t="shared" si="21"/>
        <v/>
      </c>
      <c r="AA67" s="60" t="str">
        <f t="shared" si="22"/>
        <v/>
      </c>
      <c r="AB67" s="60" t="str">
        <f t="shared" si="23"/>
        <v/>
      </c>
      <c r="AD67">
        <f>PIP!O52</f>
        <v>3</v>
      </c>
      <c r="AE67">
        <f>PIP!N52</f>
        <v>34</v>
      </c>
      <c r="AF67" s="843">
        <f>PIP!U52</f>
        <v>0</v>
      </c>
      <c r="AG67" s="843">
        <f>PIP!T52</f>
        <v>0</v>
      </c>
      <c r="AH67" s="843">
        <f>PIP!V52</f>
        <v>0</v>
      </c>
      <c r="AI67" s="843">
        <f>PIP!W52</f>
        <v>0</v>
      </c>
      <c r="AJ67" s="843">
        <f>PIP!X52</f>
        <v>0</v>
      </c>
      <c r="AK67" s="843">
        <f>PIP!Y52</f>
        <v>0</v>
      </c>
      <c r="AL67" s="843">
        <f>PIP!Z52</f>
        <v>0</v>
      </c>
    </row>
    <row r="68" spans="2:38">
      <c r="B68" s="57" t="str">
        <f t="shared" si="0"/>
        <v/>
      </c>
      <c r="C68" s="58" t="str">
        <f t="shared" si="1"/>
        <v/>
      </c>
      <c r="D68" s="28" t="str">
        <f t="shared" si="2"/>
        <v/>
      </c>
      <c r="E68" s="28" t="str">
        <f t="shared" si="3"/>
        <v/>
      </c>
      <c r="F68" s="29" t="str">
        <f t="shared" si="4"/>
        <v/>
      </c>
      <c r="G68" s="60" t="str">
        <f t="shared" si="5"/>
        <v/>
      </c>
      <c r="H68" s="60" t="str">
        <f t="shared" si="6"/>
        <v/>
      </c>
      <c r="I68" s="60" t="str">
        <f t="shared" si="7"/>
        <v/>
      </c>
      <c r="J68" s="60" t="str">
        <f t="shared" si="8"/>
        <v/>
      </c>
      <c r="K68" s="60" t="str">
        <f t="shared" si="9"/>
        <v/>
      </c>
      <c r="L68" s="60" t="str">
        <f t="shared" si="10"/>
        <v/>
      </c>
      <c r="M68" s="60" t="str">
        <f t="shared" si="11"/>
        <v/>
      </c>
      <c r="Q68" s="57" t="str">
        <f t="shared" si="12"/>
        <v/>
      </c>
      <c r="R68" s="58" t="str">
        <f t="shared" si="13"/>
        <v/>
      </c>
      <c r="S68" s="28" t="str">
        <f t="shared" si="14"/>
        <v/>
      </c>
      <c r="T68" s="28" t="str">
        <f t="shared" si="15"/>
        <v/>
      </c>
      <c r="U68" s="29" t="str">
        <f t="shared" si="16"/>
        <v/>
      </c>
      <c r="V68" s="60" t="str">
        <f t="shared" si="17"/>
        <v/>
      </c>
      <c r="W68" s="60" t="str">
        <f t="shared" si="18"/>
        <v/>
      </c>
      <c r="X68" s="60" t="str">
        <f t="shared" si="19"/>
        <v/>
      </c>
      <c r="Y68" s="60" t="str">
        <f t="shared" si="20"/>
        <v/>
      </c>
      <c r="Z68" s="60" t="str">
        <f t="shared" si="21"/>
        <v/>
      </c>
      <c r="AA68" s="60" t="str">
        <f t="shared" si="22"/>
        <v/>
      </c>
      <c r="AB68" s="60" t="str">
        <f t="shared" si="23"/>
        <v/>
      </c>
      <c r="AD68">
        <f>PIP!O53</f>
        <v>3</v>
      </c>
      <c r="AE68">
        <f>PIP!N53</f>
        <v>35</v>
      </c>
      <c r="AF68" s="843">
        <f>PIP!U53</f>
        <v>0</v>
      </c>
      <c r="AG68" s="843">
        <f>PIP!T53</f>
        <v>0</v>
      </c>
      <c r="AH68" s="843">
        <f>PIP!V53</f>
        <v>0</v>
      </c>
      <c r="AI68" s="843">
        <f>PIP!W53</f>
        <v>0</v>
      </c>
      <c r="AJ68" s="843">
        <f>PIP!X53</f>
        <v>0</v>
      </c>
      <c r="AK68" s="843">
        <f>PIP!Y53</f>
        <v>0</v>
      </c>
      <c r="AL68" s="843">
        <f>PIP!Z53</f>
        <v>0</v>
      </c>
    </row>
    <row r="69" spans="2:38">
      <c r="B69" s="57" t="str">
        <f t="shared" si="0"/>
        <v/>
      </c>
      <c r="C69" s="58" t="str">
        <f t="shared" si="1"/>
        <v/>
      </c>
      <c r="D69" s="28" t="str">
        <f t="shared" si="2"/>
        <v/>
      </c>
      <c r="E69" s="28" t="str">
        <f t="shared" si="3"/>
        <v/>
      </c>
      <c r="F69" s="29" t="str">
        <f t="shared" si="4"/>
        <v/>
      </c>
      <c r="G69" s="60" t="str">
        <f t="shared" si="5"/>
        <v/>
      </c>
      <c r="H69" s="60" t="str">
        <f t="shared" si="6"/>
        <v/>
      </c>
      <c r="I69" s="60" t="str">
        <f t="shared" si="7"/>
        <v/>
      </c>
      <c r="J69" s="60" t="str">
        <f t="shared" si="8"/>
        <v/>
      </c>
      <c r="K69" s="60" t="str">
        <f t="shared" si="9"/>
        <v/>
      </c>
      <c r="L69" s="60" t="str">
        <f t="shared" si="10"/>
        <v/>
      </c>
      <c r="M69" s="60" t="str">
        <f t="shared" si="11"/>
        <v/>
      </c>
      <c r="Q69" s="57" t="str">
        <f t="shared" si="12"/>
        <v/>
      </c>
      <c r="R69" s="58" t="str">
        <f t="shared" si="13"/>
        <v/>
      </c>
      <c r="S69" s="28" t="str">
        <f t="shared" si="14"/>
        <v/>
      </c>
      <c r="T69" s="28" t="str">
        <f t="shared" si="15"/>
        <v/>
      </c>
      <c r="U69" s="29" t="str">
        <f t="shared" si="16"/>
        <v/>
      </c>
      <c r="V69" s="60" t="str">
        <f t="shared" si="17"/>
        <v/>
      </c>
      <c r="W69" s="60" t="str">
        <f t="shared" si="18"/>
        <v/>
      </c>
      <c r="X69" s="60" t="str">
        <f t="shared" si="19"/>
        <v/>
      </c>
      <c r="Y69" s="60" t="str">
        <f t="shared" si="20"/>
        <v/>
      </c>
      <c r="Z69" s="60" t="str">
        <f t="shared" si="21"/>
        <v/>
      </c>
      <c r="AA69" s="60" t="str">
        <f t="shared" si="22"/>
        <v/>
      </c>
      <c r="AB69" s="60" t="str">
        <f t="shared" si="23"/>
        <v/>
      </c>
      <c r="AD69">
        <f>PIP!O54</f>
        <v>3</v>
      </c>
      <c r="AE69">
        <f>PIP!N54</f>
        <v>36</v>
      </c>
      <c r="AF69" s="843">
        <f>PIP!U54</f>
        <v>0</v>
      </c>
      <c r="AG69" s="843">
        <f>PIP!T54</f>
        <v>0</v>
      </c>
      <c r="AH69" s="843">
        <f>PIP!V54</f>
        <v>0</v>
      </c>
      <c r="AI69" s="843">
        <f>PIP!W54</f>
        <v>0</v>
      </c>
      <c r="AJ69" s="843">
        <f>PIP!X54</f>
        <v>0</v>
      </c>
      <c r="AK69" s="843">
        <f>PIP!Y54</f>
        <v>0</v>
      </c>
      <c r="AL69" s="843">
        <f>PIP!Z54</f>
        <v>0</v>
      </c>
    </row>
    <row r="70" spans="2:38">
      <c r="B70" s="57" t="str">
        <f t="shared" si="0"/>
        <v/>
      </c>
      <c r="C70" s="58" t="str">
        <f t="shared" si="1"/>
        <v/>
      </c>
      <c r="D70" s="28" t="str">
        <f t="shared" si="2"/>
        <v/>
      </c>
      <c r="E70" s="28" t="str">
        <f t="shared" si="3"/>
        <v/>
      </c>
      <c r="F70" s="29" t="str">
        <f t="shared" si="4"/>
        <v/>
      </c>
      <c r="G70" s="60" t="str">
        <f t="shared" si="5"/>
        <v/>
      </c>
      <c r="H70" s="60" t="str">
        <f t="shared" si="6"/>
        <v/>
      </c>
      <c r="I70" s="60" t="str">
        <f t="shared" si="7"/>
        <v/>
      </c>
      <c r="J70" s="60" t="str">
        <f t="shared" si="8"/>
        <v/>
      </c>
      <c r="K70" s="60" t="str">
        <f t="shared" si="9"/>
        <v/>
      </c>
      <c r="L70" s="60" t="str">
        <f t="shared" si="10"/>
        <v/>
      </c>
      <c r="M70" s="60" t="str">
        <f t="shared" si="11"/>
        <v/>
      </c>
      <c r="Q70" s="57" t="str">
        <f t="shared" si="12"/>
        <v/>
      </c>
      <c r="R70" s="58" t="str">
        <f t="shared" si="13"/>
        <v/>
      </c>
      <c r="S70" s="28" t="str">
        <f t="shared" si="14"/>
        <v/>
      </c>
      <c r="T70" s="28" t="str">
        <f t="shared" si="15"/>
        <v/>
      </c>
      <c r="U70" s="29" t="str">
        <f t="shared" si="16"/>
        <v/>
      </c>
      <c r="V70" s="60" t="str">
        <f t="shared" si="17"/>
        <v/>
      </c>
      <c r="W70" s="60" t="str">
        <f t="shared" si="18"/>
        <v/>
      </c>
      <c r="X70" s="60" t="str">
        <f t="shared" si="19"/>
        <v/>
      </c>
      <c r="Y70" s="60" t="str">
        <f t="shared" si="20"/>
        <v/>
      </c>
      <c r="Z70" s="60" t="str">
        <f t="shared" si="21"/>
        <v/>
      </c>
      <c r="AA70" s="60" t="str">
        <f t="shared" si="22"/>
        <v/>
      </c>
      <c r="AB70" s="60" t="str">
        <f t="shared" si="23"/>
        <v/>
      </c>
      <c r="AD70">
        <f>PIP!O55</f>
        <v>4</v>
      </c>
      <c r="AE70">
        <f>PIP!N55</f>
        <v>37</v>
      </c>
      <c r="AF70" s="843">
        <f>PIP!U55</f>
        <v>0</v>
      </c>
      <c r="AG70" s="843">
        <f>PIP!T55</f>
        <v>0</v>
      </c>
      <c r="AH70" s="843">
        <f>PIP!V55</f>
        <v>0</v>
      </c>
      <c r="AI70" s="843">
        <f>PIP!W55</f>
        <v>0</v>
      </c>
      <c r="AJ70" s="843">
        <f>PIP!X55</f>
        <v>0</v>
      </c>
      <c r="AK70" s="843">
        <f>PIP!Y55</f>
        <v>0</v>
      </c>
      <c r="AL70" s="843">
        <f>PIP!Z55</f>
        <v>0</v>
      </c>
    </row>
    <row r="71" spans="2:38">
      <c r="B71" s="57" t="str">
        <f t="shared" si="0"/>
        <v/>
      </c>
      <c r="C71" s="58" t="str">
        <f t="shared" si="1"/>
        <v/>
      </c>
      <c r="D71" s="28" t="str">
        <f t="shared" si="2"/>
        <v/>
      </c>
      <c r="E71" s="28" t="str">
        <f t="shared" si="3"/>
        <v/>
      </c>
      <c r="F71" s="29" t="str">
        <f t="shared" si="4"/>
        <v/>
      </c>
      <c r="G71" s="60" t="str">
        <f t="shared" si="5"/>
        <v/>
      </c>
      <c r="H71" s="60" t="str">
        <f t="shared" si="6"/>
        <v/>
      </c>
      <c r="I71" s="60" t="str">
        <f t="shared" si="7"/>
        <v/>
      </c>
      <c r="J71" s="60" t="str">
        <f t="shared" si="8"/>
        <v/>
      </c>
      <c r="K71" s="60" t="str">
        <f t="shared" si="9"/>
        <v/>
      </c>
      <c r="L71" s="60" t="str">
        <f t="shared" si="10"/>
        <v/>
      </c>
      <c r="M71" s="60" t="str">
        <f t="shared" si="11"/>
        <v/>
      </c>
      <c r="Q71" s="57" t="str">
        <f t="shared" si="12"/>
        <v/>
      </c>
      <c r="R71" s="58" t="str">
        <f t="shared" si="13"/>
        <v/>
      </c>
      <c r="S71" s="28" t="str">
        <f t="shared" si="14"/>
        <v/>
      </c>
      <c r="T71" s="28" t="str">
        <f t="shared" si="15"/>
        <v/>
      </c>
      <c r="U71" s="29" t="str">
        <f t="shared" si="16"/>
        <v/>
      </c>
      <c r="V71" s="60" t="str">
        <f t="shared" si="17"/>
        <v/>
      </c>
      <c r="W71" s="60" t="str">
        <f t="shared" si="18"/>
        <v/>
      </c>
      <c r="X71" s="60" t="str">
        <f t="shared" si="19"/>
        <v/>
      </c>
      <c r="Y71" s="60" t="str">
        <f t="shared" si="20"/>
        <v/>
      </c>
      <c r="Z71" s="60" t="str">
        <f t="shared" si="21"/>
        <v/>
      </c>
      <c r="AA71" s="60" t="str">
        <f t="shared" si="22"/>
        <v/>
      </c>
      <c r="AB71" s="60" t="str">
        <f t="shared" si="23"/>
        <v/>
      </c>
      <c r="AD71">
        <f>PIP!O56</f>
        <v>4</v>
      </c>
      <c r="AE71">
        <f>PIP!N56</f>
        <v>38</v>
      </c>
      <c r="AF71" s="843">
        <f>PIP!U56</f>
        <v>0</v>
      </c>
      <c r="AG71" s="843">
        <f>PIP!T56</f>
        <v>0</v>
      </c>
      <c r="AH71" s="843">
        <f>PIP!V56</f>
        <v>0</v>
      </c>
      <c r="AI71" s="843">
        <f>PIP!W56</f>
        <v>0</v>
      </c>
      <c r="AJ71" s="843">
        <f>PIP!X56</f>
        <v>0</v>
      </c>
      <c r="AK71" s="843">
        <f>PIP!Y56</f>
        <v>0</v>
      </c>
      <c r="AL71" s="843">
        <f>PIP!Z56</f>
        <v>0</v>
      </c>
    </row>
    <row r="72" spans="2:38">
      <c r="B72" s="57" t="str">
        <f t="shared" si="0"/>
        <v/>
      </c>
      <c r="C72" s="58" t="str">
        <f t="shared" si="1"/>
        <v/>
      </c>
      <c r="D72" s="28" t="str">
        <f t="shared" si="2"/>
        <v/>
      </c>
      <c r="E72" s="28" t="str">
        <f t="shared" si="3"/>
        <v/>
      </c>
      <c r="F72" s="29" t="str">
        <f t="shared" si="4"/>
        <v/>
      </c>
      <c r="G72" s="60" t="str">
        <f t="shared" si="5"/>
        <v/>
      </c>
      <c r="H72" s="60" t="str">
        <f t="shared" si="6"/>
        <v/>
      </c>
      <c r="I72" s="60" t="str">
        <f t="shared" si="7"/>
        <v/>
      </c>
      <c r="J72" s="60" t="str">
        <f t="shared" si="8"/>
        <v/>
      </c>
      <c r="K72" s="60" t="str">
        <f t="shared" si="9"/>
        <v/>
      </c>
      <c r="L72" s="60" t="str">
        <f t="shared" si="10"/>
        <v/>
      </c>
      <c r="M72" s="60" t="str">
        <f t="shared" si="11"/>
        <v/>
      </c>
      <c r="Q72" s="57" t="str">
        <f t="shared" si="12"/>
        <v/>
      </c>
      <c r="R72" s="58" t="str">
        <f t="shared" si="13"/>
        <v/>
      </c>
      <c r="S72" s="28" t="str">
        <f t="shared" si="14"/>
        <v/>
      </c>
      <c r="T72" s="28" t="str">
        <f t="shared" si="15"/>
        <v/>
      </c>
      <c r="U72" s="29" t="str">
        <f t="shared" si="16"/>
        <v/>
      </c>
      <c r="V72" s="60" t="str">
        <f t="shared" si="17"/>
        <v/>
      </c>
      <c r="W72" s="60" t="str">
        <f t="shared" si="18"/>
        <v/>
      </c>
      <c r="X72" s="60" t="str">
        <f t="shared" si="19"/>
        <v/>
      </c>
      <c r="Y72" s="60" t="str">
        <f t="shared" si="20"/>
        <v/>
      </c>
      <c r="Z72" s="60" t="str">
        <f t="shared" si="21"/>
        <v/>
      </c>
      <c r="AA72" s="60" t="str">
        <f t="shared" si="22"/>
        <v/>
      </c>
      <c r="AB72" s="60" t="str">
        <f t="shared" si="23"/>
        <v/>
      </c>
      <c r="AD72">
        <f>PIP!O57</f>
        <v>4</v>
      </c>
      <c r="AE72">
        <f>PIP!N57</f>
        <v>39</v>
      </c>
      <c r="AF72" s="843">
        <f>PIP!U57</f>
        <v>0</v>
      </c>
      <c r="AG72" s="843">
        <f>PIP!T57</f>
        <v>0</v>
      </c>
      <c r="AH72" s="843">
        <f>PIP!V57</f>
        <v>0</v>
      </c>
      <c r="AI72" s="843">
        <f>PIP!W57</f>
        <v>0</v>
      </c>
      <c r="AJ72" s="843">
        <f>PIP!X57</f>
        <v>0</v>
      </c>
      <c r="AK72" s="843">
        <f>PIP!Y57</f>
        <v>0</v>
      </c>
      <c r="AL72" s="843">
        <f>PIP!Z57</f>
        <v>0</v>
      </c>
    </row>
    <row r="73" spans="2:38">
      <c r="B73" s="57" t="str">
        <f t="shared" si="0"/>
        <v/>
      </c>
      <c r="C73" s="58" t="str">
        <f t="shared" si="1"/>
        <v/>
      </c>
      <c r="D73" s="28" t="str">
        <f t="shared" si="2"/>
        <v/>
      </c>
      <c r="E73" s="28" t="str">
        <f t="shared" si="3"/>
        <v/>
      </c>
      <c r="F73" s="29" t="str">
        <f t="shared" si="4"/>
        <v/>
      </c>
      <c r="G73" s="60" t="str">
        <f t="shared" si="5"/>
        <v/>
      </c>
      <c r="H73" s="60" t="str">
        <f t="shared" si="6"/>
        <v/>
      </c>
      <c r="I73" s="60" t="str">
        <f t="shared" si="7"/>
        <v/>
      </c>
      <c r="J73" s="60" t="str">
        <f t="shared" si="8"/>
        <v/>
      </c>
      <c r="K73" s="60" t="str">
        <f t="shared" si="9"/>
        <v/>
      </c>
      <c r="L73" s="60" t="str">
        <f t="shared" si="10"/>
        <v/>
      </c>
      <c r="M73" s="60" t="str">
        <f t="shared" si="11"/>
        <v/>
      </c>
      <c r="Q73" s="57" t="str">
        <f t="shared" si="12"/>
        <v/>
      </c>
      <c r="R73" s="58" t="str">
        <f t="shared" si="13"/>
        <v/>
      </c>
      <c r="S73" s="28" t="str">
        <f t="shared" si="14"/>
        <v/>
      </c>
      <c r="T73" s="28" t="str">
        <f t="shared" si="15"/>
        <v/>
      </c>
      <c r="U73" s="29" t="str">
        <f t="shared" si="16"/>
        <v/>
      </c>
      <c r="V73" s="60" t="str">
        <f t="shared" si="17"/>
        <v/>
      </c>
      <c r="W73" s="60" t="str">
        <f t="shared" si="18"/>
        <v/>
      </c>
      <c r="X73" s="60" t="str">
        <f t="shared" si="19"/>
        <v/>
      </c>
      <c r="Y73" s="60" t="str">
        <f t="shared" si="20"/>
        <v/>
      </c>
      <c r="Z73" s="60" t="str">
        <f t="shared" si="21"/>
        <v/>
      </c>
      <c r="AA73" s="60" t="str">
        <f t="shared" si="22"/>
        <v/>
      </c>
      <c r="AB73" s="60" t="str">
        <f t="shared" si="23"/>
        <v/>
      </c>
      <c r="AD73">
        <f>PIP!O58</f>
        <v>4</v>
      </c>
      <c r="AE73">
        <f>PIP!N58</f>
        <v>40</v>
      </c>
      <c r="AF73" s="843">
        <f>PIP!U58</f>
        <v>0</v>
      </c>
      <c r="AG73" s="843">
        <f>PIP!T58</f>
        <v>0</v>
      </c>
      <c r="AH73" s="843">
        <f>PIP!V58</f>
        <v>0</v>
      </c>
      <c r="AI73" s="843">
        <f>PIP!W58</f>
        <v>0</v>
      </c>
      <c r="AJ73" s="843">
        <f>PIP!X58</f>
        <v>0</v>
      </c>
      <c r="AK73" s="843">
        <f>PIP!Y58</f>
        <v>0</v>
      </c>
      <c r="AL73" s="843">
        <f>PIP!Z58</f>
        <v>0</v>
      </c>
    </row>
    <row r="74" spans="2:38">
      <c r="B74" s="57" t="str">
        <f t="shared" si="0"/>
        <v/>
      </c>
      <c r="C74" s="58" t="str">
        <f t="shared" si="1"/>
        <v/>
      </c>
      <c r="D74" s="28" t="str">
        <f t="shared" si="2"/>
        <v/>
      </c>
      <c r="E74" s="28" t="str">
        <f t="shared" si="3"/>
        <v/>
      </c>
      <c r="F74" s="29" t="str">
        <f t="shared" si="4"/>
        <v/>
      </c>
      <c r="G74" s="60" t="str">
        <f t="shared" si="5"/>
        <v/>
      </c>
      <c r="H74" s="60" t="str">
        <f t="shared" si="6"/>
        <v/>
      </c>
      <c r="I74" s="60" t="str">
        <f t="shared" si="7"/>
        <v/>
      </c>
      <c r="J74" s="60" t="str">
        <f t="shared" si="8"/>
        <v/>
      </c>
      <c r="K74" s="60" t="str">
        <f t="shared" si="9"/>
        <v/>
      </c>
      <c r="L74" s="60" t="str">
        <f t="shared" si="10"/>
        <v/>
      </c>
      <c r="M74" s="60" t="str">
        <f t="shared" si="11"/>
        <v/>
      </c>
      <c r="Q74" s="57" t="str">
        <f t="shared" si="12"/>
        <v/>
      </c>
      <c r="R74" s="58" t="str">
        <f t="shared" si="13"/>
        <v/>
      </c>
      <c r="S74" s="28" t="str">
        <f t="shared" si="14"/>
        <v/>
      </c>
      <c r="T74" s="28" t="str">
        <f t="shared" si="15"/>
        <v/>
      </c>
      <c r="U74" s="29" t="str">
        <f t="shared" si="16"/>
        <v/>
      </c>
      <c r="V74" s="60" t="str">
        <f t="shared" si="17"/>
        <v/>
      </c>
      <c r="W74" s="60" t="str">
        <f t="shared" si="18"/>
        <v/>
      </c>
      <c r="X74" s="60" t="str">
        <f t="shared" si="19"/>
        <v/>
      </c>
      <c r="Y74" s="60" t="str">
        <f t="shared" si="20"/>
        <v/>
      </c>
      <c r="Z74" s="60" t="str">
        <f t="shared" si="21"/>
        <v/>
      </c>
      <c r="AA74" s="60" t="str">
        <f t="shared" si="22"/>
        <v/>
      </c>
      <c r="AB74" s="60" t="str">
        <f t="shared" si="23"/>
        <v/>
      </c>
      <c r="AD74">
        <f>PIP!O59</f>
        <v>4</v>
      </c>
      <c r="AE74">
        <f>PIP!N59</f>
        <v>41</v>
      </c>
      <c r="AF74" s="843">
        <f>PIP!U59</f>
        <v>0</v>
      </c>
      <c r="AG74" s="843">
        <f>PIP!T59</f>
        <v>0</v>
      </c>
      <c r="AH74" s="843">
        <f>PIP!V59</f>
        <v>0</v>
      </c>
      <c r="AI74" s="843">
        <f>PIP!W59</f>
        <v>0</v>
      </c>
      <c r="AJ74" s="843">
        <f>PIP!X59</f>
        <v>0</v>
      </c>
      <c r="AK74" s="843">
        <f>PIP!Y59</f>
        <v>0</v>
      </c>
      <c r="AL74" s="843">
        <f>PIP!Z59</f>
        <v>0</v>
      </c>
    </row>
    <row r="75" spans="2:38">
      <c r="B75" s="57" t="str">
        <f t="shared" si="0"/>
        <v/>
      </c>
      <c r="C75" s="58" t="str">
        <f t="shared" si="1"/>
        <v/>
      </c>
      <c r="D75" s="28" t="str">
        <f t="shared" si="2"/>
        <v/>
      </c>
      <c r="E75" s="28" t="str">
        <f t="shared" si="3"/>
        <v/>
      </c>
      <c r="F75" s="29" t="str">
        <f t="shared" si="4"/>
        <v/>
      </c>
      <c r="G75" s="60" t="str">
        <f t="shared" si="5"/>
        <v/>
      </c>
      <c r="H75" s="60" t="str">
        <f t="shared" si="6"/>
        <v/>
      </c>
      <c r="I75" s="60" t="str">
        <f t="shared" si="7"/>
        <v/>
      </c>
      <c r="J75" s="60" t="str">
        <f t="shared" si="8"/>
        <v/>
      </c>
      <c r="K75" s="60" t="str">
        <f t="shared" si="9"/>
        <v/>
      </c>
      <c r="L75" s="60" t="str">
        <f t="shared" si="10"/>
        <v/>
      </c>
      <c r="M75" s="60" t="str">
        <f t="shared" si="11"/>
        <v/>
      </c>
      <c r="Q75" s="57" t="str">
        <f t="shared" si="12"/>
        <v/>
      </c>
      <c r="R75" s="58" t="str">
        <f t="shared" si="13"/>
        <v/>
      </c>
      <c r="S75" s="28" t="str">
        <f t="shared" si="14"/>
        <v/>
      </c>
      <c r="T75" s="28" t="str">
        <f t="shared" si="15"/>
        <v/>
      </c>
      <c r="U75" s="29" t="str">
        <f t="shared" si="16"/>
        <v/>
      </c>
      <c r="V75" s="60" t="str">
        <f t="shared" si="17"/>
        <v/>
      </c>
      <c r="W75" s="60" t="str">
        <f t="shared" si="18"/>
        <v/>
      </c>
      <c r="X75" s="60" t="str">
        <f t="shared" si="19"/>
        <v/>
      </c>
      <c r="Y75" s="60" t="str">
        <f t="shared" si="20"/>
        <v/>
      </c>
      <c r="Z75" s="60" t="str">
        <f t="shared" si="21"/>
        <v/>
      </c>
      <c r="AA75" s="60" t="str">
        <f t="shared" si="22"/>
        <v/>
      </c>
      <c r="AB75" s="60" t="str">
        <f t="shared" si="23"/>
        <v/>
      </c>
      <c r="AD75">
        <f>PIP!O60</f>
        <v>4</v>
      </c>
      <c r="AE75">
        <f>PIP!N60</f>
        <v>42</v>
      </c>
      <c r="AF75" s="843">
        <f>PIP!U60</f>
        <v>0</v>
      </c>
      <c r="AG75" s="843">
        <f>PIP!T60</f>
        <v>0</v>
      </c>
      <c r="AH75" s="843">
        <f>PIP!V60</f>
        <v>0</v>
      </c>
      <c r="AI75" s="843">
        <f>PIP!W60</f>
        <v>0</v>
      </c>
      <c r="AJ75" s="843">
        <f>PIP!X60</f>
        <v>0</v>
      </c>
      <c r="AK75" s="843">
        <f>PIP!Y60</f>
        <v>0</v>
      </c>
      <c r="AL75" s="843">
        <f>PIP!Z60</f>
        <v>0</v>
      </c>
    </row>
    <row r="76" spans="2:38">
      <c r="B76" s="57" t="str">
        <f t="shared" si="0"/>
        <v/>
      </c>
      <c r="C76" s="58" t="str">
        <f t="shared" si="1"/>
        <v/>
      </c>
      <c r="D76" s="28" t="str">
        <f t="shared" si="2"/>
        <v/>
      </c>
      <c r="E76" s="28" t="str">
        <f t="shared" si="3"/>
        <v/>
      </c>
      <c r="F76" s="29" t="str">
        <f t="shared" si="4"/>
        <v/>
      </c>
      <c r="G76" s="60" t="str">
        <f t="shared" si="5"/>
        <v/>
      </c>
      <c r="H76" s="60" t="str">
        <f t="shared" si="6"/>
        <v/>
      </c>
      <c r="I76" s="60" t="str">
        <f t="shared" si="7"/>
        <v/>
      </c>
      <c r="J76" s="60" t="str">
        <f t="shared" si="8"/>
        <v/>
      </c>
      <c r="K76" s="60" t="str">
        <f t="shared" si="9"/>
        <v/>
      </c>
      <c r="L76" s="60" t="str">
        <f t="shared" si="10"/>
        <v/>
      </c>
      <c r="M76" s="60" t="str">
        <f t="shared" si="11"/>
        <v/>
      </c>
      <c r="Q76" s="57" t="str">
        <f t="shared" si="12"/>
        <v/>
      </c>
      <c r="R76" s="58" t="str">
        <f t="shared" si="13"/>
        <v/>
      </c>
      <c r="S76" s="28" t="str">
        <f t="shared" si="14"/>
        <v/>
      </c>
      <c r="T76" s="28" t="str">
        <f t="shared" si="15"/>
        <v/>
      </c>
      <c r="U76" s="29" t="str">
        <f t="shared" si="16"/>
        <v/>
      </c>
      <c r="V76" s="60" t="str">
        <f t="shared" si="17"/>
        <v/>
      </c>
      <c r="W76" s="60" t="str">
        <f t="shared" si="18"/>
        <v/>
      </c>
      <c r="X76" s="60" t="str">
        <f t="shared" si="19"/>
        <v/>
      </c>
      <c r="Y76" s="60" t="str">
        <f t="shared" si="20"/>
        <v/>
      </c>
      <c r="Z76" s="60" t="str">
        <f t="shared" si="21"/>
        <v/>
      </c>
      <c r="AA76" s="60" t="str">
        <f t="shared" si="22"/>
        <v/>
      </c>
      <c r="AB76" s="60" t="str">
        <f t="shared" si="23"/>
        <v/>
      </c>
      <c r="AD76">
        <f>PIP!O61</f>
        <v>4</v>
      </c>
      <c r="AE76">
        <f>PIP!N61</f>
        <v>43</v>
      </c>
      <c r="AF76" s="843">
        <f>PIP!U61</f>
        <v>0</v>
      </c>
      <c r="AG76" s="843">
        <f>PIP!T61</f>
        <v>0</v>
      </c>
      <c r="AH76" s="843">
        <f>PIP!V61</f>
        <v>0</v>
      </c>
      <c r="AI76" s="843">
        <f>PIP!W61</f>
        <v>0</v>
      </c>
      <c r="AJ76" s="843">
        <f>PIP!X61</f>
        <v>0</v>
      </c>
      <c r="AK76" s="843">
        <f>PIP!Y61</f>
        <v>0</v>
      </c>
      <c r="AL76" s="843">
        <f>PIP!Z61</f>
        <v>0</v>
      </c>
    </row>
    <row r="77" spans="2:38">
      <c r="B77" s="57" t="str">
        <f t="shared" si="0"/>
        <v/>
      </c>
      <c r="C77" s="58" t="str">
        <f t="shared" si="1"/>
        <v/>
      </c>
      <c r="D77" s="28" t="str">
        <f t="shared" si="2"/>
        <v/>
      </c>
      <c r="E77" s="28" t="str">
        <f t="shared" si="3"/>
        <v/>
      </c>
      <c r="F77" s="29" t="str">
        <f t="shared" si="4"/>
        <v/>
      </c>
      <c r="G77" s="60" t="str">
        <f t="shared" si="5"/>
        <v/>
      </c>
      <c r="H77" s="60" t="str">
        <f t="shared" si="6"/>
        <v/>
      </c>
      <c r="I77" s="60" t="str">
        <f t="shared" si="7"/>
        <v/>
      </c>
      <c r="J77" s="60" t="str">
        <f t="shared" si="8"/>
        <v/>
      </c>
      <c r="K77" s="60" t="str">
        <f t="shared" si="9"/>
        <v/>
      </c>
      <c r="L77" s="60" t="str">
        <f t="shared" si="10"/>
        <v/>
      </c>
      <c r="M77" s="60" t="str">
        <f t="shared" si="11"/>
        <v/>
      </c>
      <c r="Q77" s="57" t="str">
        <f t="shared" si="12"/>
        <v/>
      </c>
      <c r="R77" s="58" t="str">
        <f t="shared" si="13"/>
        <v/>
      </c>
      <c r="S77" s="28" t="str">
        <f t="shared" si="14"/>
        <v/>
      </c>
      <c r="T77" s="28" t="str">
        <f t="shared" si="15"/>
        <v/>
      </c>
      <c r="U77" s="29" t="str">
        <f t="shared" si="16"/>
        <v/>
      </c>
      <c r="V77" s="60" t="str">
        <f t="shared" si="17"/>
        <v/>
      </c>
      <c r="W77" s="60" t="str">
        <f t="shared" si="18"/>
        <v/>
      </c>
      <c r="X77" s="60" t="str">
        <f t="shared" si="19"/>
        <v/>
      </c>
      <c r="Y77" s="60" t="str">
        <f t="shared" si="20"/>
        <v/>
      </c>
      <c r="Z77" s="60" t="str">
        <f t="shared" si="21"/>
        <v/>
      </c>
      <c r="AA77" s="60" t="str">
        <f t="shared" si="22"/>
        <v/>
      </c>
      <c r="AB77" s="60" t="str">
        <f t="shared" si="23"/>
        <v/>
      </c>
      <c r="AD77">
        <f>PIP!O62</f>
        <v>4</v>
      </c>
      <c r="AE77">
        <f>PIP!N62</f>
        <v>44</v>
      </c>
      <c r="AF77" s="843">
        <f>PIP!U62</f>
        <v>0</v>
      </c>
      <c r="AG77" s="843">
        <f>PIP!T62</f>
        <v>0</v>
      </c>
      <c r="AH77" s="843">
        <f>PIP!V62</f>
        <v>0</v>
      </c>
      <c r="AI77" s="843">
        <f>PIP!W62</f>
        <v>0</v>
      </c>
      <c r="AJ77" s="843">
        <f>PIP!X62</f>
        <v>0</v>
      </c>
      <c r="AK77" s="843">
        <f>PIP!Y62</f>
        <v>0</v>
      </c>
      <c r="AL77" s="843">
        <f>PIP!Z62</f>
        <v>0</v>
      </c>
    </row>
    <row r="78" spans="2:38">
      <c r="B78" s="57" t="str">
        <f t="shared" si="0"/>
        <v/>
      </c>
      <c r="C78" s="58" t="str">
        <f t="shared" si="1"/>
        <v/>
      </c>
      <c r="D78" s="28" t="str">
        <f t="shared" si="2"/>
        <v/>
      </c>
      <c r="E78" s="28" t="str">
        <f t="shared" si="3"/>
        <v/>
      </c>
      <c r="F78" s="29" t="str">
        <f t="shared" si="4"/>
        <v/>
      </c>
      <c r="G78" s="60" t="str">
        <f t="shared" si="5"/>
        <v/>
      </c>
      <c r="H78" s="60" t="str">
        <f t="shared" si="6"/>
        <v/>
      </c>
      <c r="I78" s="60" t="str">
        <f t="shared" si="7"/>
        <v/>
      </c>
      <c r="J78" s="60" t="str">
        <f t="shared" si="8"/>
        <v/>
      </c>
      <c r="K78" s="60" t="str">
        <f t="shared" si="9"/>
        <v/>
      </c>
      <c r="L78" s="60" t="str">
        <f t="shared" si="10"/>
        <v/>
      </c>
      <c r="M78" s="60" t="str">
        <f t="shared" si="11"/>
        <v/>
      </c>
      <c r="Q78" s="57" t="str">
        <f t="shared" si="12"/>
        <v/>
      </c>
      <c r="R78" s="58" t="str">
        <f t="shared" si="13"/>
        <v/>
      </c>
      <c r="S78" s="28" t="str">
        <f t="shared" si="14"/>
        <v/>
      </c>
      <c r="T78" s="28" t="str">
        <f t="shared" si="15"/>
        <v/>
      </c>
      <c r="U78" s="29" t="str">
        <f t="shared" si="16"/>
        <v/>
      </c>
      <c r="V78" s="60" t="str">
        <f t="shared" si="17"/>
        <v/>
      </c>
      <c r="W78" s="60" t="str">
        <f t="shared" si="18"/>
        <v/>
      </c>
      <c r="X78" s="60" t="str">
        <f t="shared" si="19"/>
        <v/>
      </c>
      <c r="Y78" s="60" t="str">
        <f t="shared" si="20"/>
        <v/>
      </c>
      <c r="Z78" s="60" t="str">
        <f t="shared" si="21"/>
        <v/>
      </c>
      <c r="AA78" s="60" t="str">
        <f t="shared" si="22"/>
        <v/>
      </c>
      <c r="AB78" s="60" t="str">
        <f t="shared" si="23"/>
        <v/>
      </c>
      <c r="AD78">
        <f>PIP!O63</f>
        <v>4</v>
      </c>
      <c r="AE78">
        <f>PIP!N63</f>
        <v>45</v>
      </c>
      <c r="AF78" s="843">
        <f>PIP!U63</f>
        <v>0</v>
      </c>
      <c r="AG78" s="843">
        <f>PIP!T63</f>
        <v>0</v>
      </c>
      <c r="AH78" s="843">
        <f>PIP!V63</f>
        <v>0</v>
      </c>
      <c r="AI78" s="843">
        <f>PIP!W63</f>
        <v>0</v>
      </c>
      <c r="AJ78" s="843">
        <f>PIP!X63</f>
        <v>0</v>
      </c>
      <c r="AK78" s="843">
        <f>PIP!Y63</f>
        <v>0</v>
      </c>
      <c r="AL78" s="843">
        <f>PIP!Z63</f>
        <v>0</v>
      </c>
    </row>
    <row r="79" spans="2:38">
      <c r="B79" s="57" t="str">
        <f t="shared" si="0"/>
        <v/>
      </c>
      <c r="C79" s="58" t="str">
        <f t="shared" si="1"/>
        <v/>
      </c>
      <c r="D79" s="28" t="str">
        <f t="shared" si="2"/>
        <v/>
      </c>
      <c r="E79" s="28" t="str">
        <f t="shared" si="3"/>
        <v/>
      </c>
      <c r="F79" s="29" t="str">
        <f t="shared" si="4"/>
        <v/>
      </c>
      <c r="G79" s="60" t="str">
        <f t="shared" si="5"/>
        <v/>
      </c>
      <c r="H79" s="60" t="str">
        <f t="shared" si="6"/>
        <v/>
      </c>
      <c r="I79" s="60" t="str">
        <f t="shared" si="7"/>
        <v/>
      </c>
      <c r="J79" s="60" t="str">
        <f t="shared" si="8"/>
        <v/>
      </c>
      <c r="K79" s="60" t="str">
        <f t="shared" si="9"/>
        <v/>
      </c>
      <c r="L79" s="60" t="str">
        <f t="shared" si="10"/>
        <v/>
      </c>
      <c r="M79" s="60" t="str">
        <f t="shared" si="11"/>
        <v/>
      </c>
      <c r="Q79" s="57" t="str">
        <f t="shared" si="12"/>
        <v/>
      </c>
      <c r="R79" s="58" t="str">
        <f t="shared" si="13"/>
        <v/>
      </c>
      <c r="S79" s="28" t="str">
        <f t="shared" si="14"/>
        <v/>
      </c>
      <c r="T79" s="28" t="str">
        <f t="shared" si="15"/>
        <v/>
      </c>
      <c r="U79" s="29" t="str">
        <f t="shared" si="16"/>
        <v/>
      </c>
      <c r="V79" s="60" t="str">
        <f t="shared" si="17"/>
        <v/>
      </c>
      <c r="W79" s="60" t="str">
        <f t="shared" si="18"/>
        <v/>
      </c>
      <c r="X79" s="60" t="str">
        <f t="shared" si="19"/>
        <v/>
      </c>
      <c r="Y79" s="60" t="str">
        <f t="shared" si="20"/>
        <v/>
      </c>
      <c r="Z79" s="60" t="str">
        <f t="shared" si="21"/>
        <v/>
      </c>
      <c r="AA79" s="60" t="str">
        <f t="shared" si="22"/>
        <v/>
      </c>
      <c r="AB79" s="60" t="str">
        <f t="shared" si="23"/>
        <v/>
      </c>
      <c r="AD79">
        <f>PIP!O64</f>
        <v>4</v>
      </c>
      <c r="AE79">
        <f>PIP!N64</f>
        <v>46</v>
      </c>
      <c r="AF79" s="843">
        <f>PIP!U64</f>
        <v>0</v>
      </c>
      <c r="AG79" s="843">
        <f>PIP!T64</f>
        <v>0</v>
      </c>
      <c r="AH79" s="843">
        <f>PIP!V64</f>
        <v>0</v>
      </c>
      <c r="AI79" s="843">
        <f>PIP!W64</f>
        <v>0</v>
      </c>
      <c r="AJ79" s="843">
        <f>PIP!X64</f>
        <v>0</v>
      </c>
      <c r="AK79" s="843">
        <f>PIP!Y64</f>
        <v>0</v>
      </c>
      <c r="AL79" s="843">
        <f>PIP!Z64</f>
        <v>0</v>
      </c>
    </row>
    <row r="80" spans="2:38">
      <c r="B80" s="57" t="str">
        <f t="shared" si="0"/>
        <v/>
      </c>
      <c r="C80" s="58" t="str">
        <f t="shared" si="1"/>
        <v/>
      </c>
      <c r="D80" s="28" t="str">
        <f t="shared" si="2"/>
        <v/>
      </c>
      <c r="E80" s="28" t="str">
        <f t="shared" si="3"/>
        <v/>
      </c>
      <c r="F80" s="29" t="str">
        <f t="shared" si="4"/>
        <v/>
      </c>
      <c r="G80" s="60" t="str">
        <f t="shared" si="5"/>
        <v/>
      </c>
      <c r="H80" s="60" t="str">
        <f t="shared" si="6"/>
        <v/>
      </c>
      <c r="I80" s="60" t="str">
        <f t="shared" si="7"/>
        <v/>
      </c>
      <c r="J80" s="60" t="str">
        <f t="shared" si="8"/>
        <v/>
      </c>
      <c r="K80" s="60" t="str">
        <f t="shared" si="9"/>
        <v/>
      </c>
      <c r="L80" s="60" t="str">
        <f t="shared" si="10"/>
        <v/>
      </c>
      <c r="M80" s="60" t="str">
        <f t="shared" si="11"/>
        <v/>
      </c>
      <c r="Q80" s="57" t="str">
        <f t="shared" si="12"/>
        <v/>
      </c>
      <c r="R80" s="58" t="str">
        <f t="shared" si="13"/>
        <v/>
      </c>
      <c r="S80" s="28" t="str">
        <f t="shared" si="14"/>
        <v/>
      </c>
      <c r="T80" s="28" t="str">
        <f t="shared" si="15"/>
        <v/>
      </c>
      <c r="U80" s="29" t="str">
        <f t="shared" si="16"/>
        <v/>
      </c>
      <c r="V80" s="60" t="str">
        <f t="shared" si="17"/>
        <v/>
      </c>
      <c r="W80" s="60" t="str">
        <f t="shared" si="18"/>
        <v/>
      </c>
      <c r="X80" s="60" t="str">
        <f t="shared" si="19"/>
        <v/>
      </c>
      <c r="Y80" s="60" t="str">
        <f t="shared" si="20"/>
        <v/>
      </c>
      <c r="Z80" s="60" t="str">
        <f t="shared" si="21"/>
        <v/>
      </c>
      <c r="AA80" s="60" t="str">
        <f t="shared" si="22"/>
        <v/>
      </c>
      <c r="AB80" s="60" t="str">
        <f t="shared" si="23"/>
        <v/>
      </c>
      <c r="AD80">
        <f>PIP!O65</f>
        <v>4</v>
      </c>
      <c r="AE80">
        <f>PIP!N65</f>
        <v>47</v>
      </c>
      <c r="AF80" s="843">
        <f>PIP!U65</f>
        <v>0</v>
      </c>
      <c r="AG80" s="843">
        <f>PIP!T65</f>
        <v>0</v>
      </c>
      <c r="AH80" s="843">
        <f>PIP!V65</f>
        <v>0</v>
      </c>
      <c r="AI80" s="843">
        <f>PIP!W65</f>
        <v>0</v>
      </c>
      <c r="AJ80" s="843">
        <f>PIP!X65</f>
        <v>0</v>
      </c>
      <c r="AK80" s="843">
        <f>PIP!Y65</f>
        <v>0</v>
      </c>
      <c r="AL80" s="843">
        <f>PIP!Z65</f>
        <v>0</v>
      </c>
    </row>
    <row r="81" spans="2:38">
      <c r="B81" s="57" t="str">
        <f t="shared" si="0"/>
        <v/>
      </c>
      <c r="C81" s="58" t="str">
        <f t="shared" si="1"/>
        <v/>
      </c>
      <c r="D81" s="28" t="str">
        <f t="shared" si="2"/>
        <v/>
      </c>
      <c r="E81" s="28" t="str">
        <f t="shared" si="3"/>
        <v/>
      </c>
      <c r="F81" s="29" t="str">
        <f t="shared" si="4"/>
        <v/>
      </c>
      <c r="G81" s="60" t="str">
        <f t="shared" si="5"/>
        <v/>
      </c>
      <c r="H81" s="60" t="str">
        <f t="shared" si="6"/>
        <v/>
      </c>
      <c r="I81" s="60" t="str">
        <f t="shared" si="7"/>
        <v/>
      </c>
      <c r="J81" s="60" t="str">
        <f t="shared" si="8"/>
        <v/>
      </c>
      <c r="K81" s="60" t="str">
        <f t="shared" si="9"/>
        <v/>
      </c>
      <c r="L81" s="60" t="str">
        <f t="shared" si="10"/>
        <v/>
      </c>
      <c r="M81" s="60" t="str">
        <f t="shared" si="11"/>
        <v/>
      </c>
      <c r="Q81" s="57" t="str">
        <f t="shared" si="12"/>
        <v/>
      </c>
      <c r="R81" s="58" t="str">
        <f t="shared" si="13"/>
        <v/>
      </c>
      <c r="S81" s="28" t="str">
        <f t="shared" si="14"/>
        <v/>
      </c>
      <c r="T81" s="28" t="str">
        <f t="shared" si="15"/>
        <v/>
      </c>
      <c r="U81" s="29" t="str">
        <f t="shared" si="16"/>
        <v/>
      </c>
      <c r="V81" s="60" t="str">
        <f t="shared" si="17"/>
        <v/>
      </c>
      <c r="W81" s="60" t="str">
        <f t="shared" si="18"/>
        <v/>
      </c>
      <c r="X81" s="60" t="str">
        <f t="shared" si="19"/>
        <v/>
      </c>
      <c r="Y81" s="60" t="str">
        <f t="shared" si="20"/>
        <v/>
      </c>
      <c r="Z81" s="60" t="str">
        <f t="shared" si="21"/>
        <v/>
      </c>
      <c r="AA81" s="60" t="str">
        <f t="shared" si="22"/>
        <v/>
      </c>
      <c r="AB81" s="60" t="str">
        <f t="shared" si="23"/>
        <v/>
      </c>
      <c r="AD81">
        <f>PIP!O66</f>
        <v>4</v>
      </c>
      <c r="AE81">
        <f>PIP!N66</f>
        <v>48</v>
      </c>
      <c r="AF81" s="843">
        <f>PIP!U66</f>
        <v>0</v>
      </c>
      <c r="AG81" s="843">
        <f>PIP!T66</f>
        <v>0</v>
      </c>
      <c r="AH81" s="843">
        <f>PIP!V66</f>
        <v>0</v>
      </c>
      <c r="AI81" s="843">
        <f>PIP!W66</f>
        <v>0</v>
      </c>
      <c r="AJ81" s="843">
        <f>PIP!X66</f>
        <v>0</v>
      </c>
      <c r="AK81" s="843">
        <f>PIP!Y66</f>
        <v>0</v>
      </c>
      <c r="AL81" s="843">
        <f>PIP!Z66</f>
        <v>0</v>
      </c>
    </row>
    <row r="82" spans="2:38">
      <c r="B82" s="57" t="str">
        <f t="shared" si="0"/>
        <v/>
      </c>
      <c r="C82" s="58" t="str">
        <f t="shared" si="1"/>
        <v/>
      </c>
      <c r="D82" s="28" t="str">
        <f t="shared" si="2"/>
        <v/>
      </c>
      <c r="E82" s="28" t="str">
        <f t="shared" si="3"/>
        <v/>
      </c>
      <c r="F82" s="29" t="str">
        <f t="shared" si="4"/>
        <v/>
      </c>
      <c r="G82" s="60" t="str">
        <f t="shared" si="5"/>
        <v/>
      </c>
      <c r="H82" s="60" t="str">
        <f t="shared" si="6"/>
        <v/>
      </c>
      <c r="I82" s="60" t="str">
        <f t="shared" si="7"/>
        <v/>
      </c>
      <c r="J82" s="60" t="str">
        <f t="shared" si="8"/>
        <v/>
      </c>
      <c r="K82" s="60" t="str">
        <f t="shared" si="9"/>
        <v/>
      </c>
      <c r="L82" s="60" t="str">
        <f t="shared" si="10"/>
        <v/>
      </c>
      <c r="M82" s="60" t="str">
        <f t="shared" si="11"/>
        <v/>
      </c>
      <c r="Q82" s="57" t="str">
        <f t="shared" si="12"/>
        <v/>
      </c>
      <c r="R82" s="58" t="str">
        <f t="shared" si="13"/>
        <v/>
      </c>
      <c r="S82" s="28" t="str">
        <f t="shared" si="14"/>
        <v/>
      </c>
      <c r="T82" s="28" t="str">
        <f t="shared" si="15"/>
        <v/>
      </c>
      <c r="U82" s="29" t="str">
        <f t="shared" si="16"/>
        <v/>
      </c>
      <c r="V82" s="60" t="str">
        <f t="shared" si="17"/>
        <v/>
      </c>
      <c r="W82" s="60" t="str">
        <f t="shared" si="18"/>
        <v/>
      </c>
      <c r="X82" s="60" t="str">
        <f t="shared" si="19"/>
        <v/>
      </c>
      <c r="Y82" s="60" t="str">
        <f t="shared" si="20"/>
        <v/>
      </c>
      <c r="Z82" s="60" t="str">
        <f t="shared" si="21"/>
        <v/>
      </c>
      <c r="AA82" s="60" t="str">
        <f t="shared" si="22"/>
        <v/>
      </c>
      <c r="AB82" s="60" t="str">
        <f t="shared" si="23"/>
        <v/>
      </c>
      <c r="AD82">
        <f>PIP!O67</f>
        <v>5</v>
      </c>
      <c r="AE82">
        <f>PIP!N67</f>
        <v>49</v>
      </c>
      <c r="AF82" s="843">
        <f>PIP!U67</f>
        <v>0</v>
      </c>
      <c r="AG82" s="843">
        <f>PIP!T67</f>
        <v>0</v>
      </c>
      <c r="AH82" s="843">
        <f>PIP!V67</f>
        <v>0</v>
      </c>
      <c r="AI82" s="843">
        <f>PIP!W67</f>
        <v>0</v>
      </c>
      <c r="AJ82" s="843">
        <f>PIP!X67</f>
        <v>0</v>
      </c>
      <c r="AK82" s="843">
        <f>PIP!Y67</f>
        <v>0</v>
      </c>
      <c r="AL82" s="843">
        <f>PIP!Z67</f>
        <v>0</v>
      </c>
    </row>
    <row r="83" spans="2:38">
      <c r="B83" s="57" t="str">
        <f t="shared" ref="B83:B146" si="24">IF(C83="","",ROUNDUP(C83/12,0))</f>
        <v/>
      </c>
      <c r="C83" s="58" t="str">
        <f t="shared" si="1"/>
        <v/>
      </c>
      <c r="D83" s="28" t="str">
        <f t="shared" si="2"/>
        <v/>
      </c>
      <c r="E83" s="28" t="str">
        <f t="shared" si="3"/>
        <v/>
      </c>
      <c r="F83" s="29" t="str">
        <f t="shared" si="4"/>
        <v/>
      </c>
      <c r="G83" s="60" t="str">
        <f t="shared" si="5"/>
        <v/>
      </c>
      <c r="H83" s="60" t="str">
        <f t="shared" si="6"/>
        <v/>
      </c>
      <c r="I83" s="60" t="str">
        <f t="shared" si="7"/>
        <v/>
      </c>
      <c r="J83" s="60" t="str">
        <f t="shared" si="8"/>
        <v/>
      </c>
      <c r="K83" s="60" t="str">
        <f t="shared" si="9"/>
        <v/>
      </c>
      <c r="L83" s="60" t="str">
        <f t="shared" si="10"/>
        <v/>
      </c>
      <c r="M83" s="60" t="str">
        <f t="shared" si="11"/>
        <v/>
      </c>
      <c r="Q83" s="57" t="str">
        <f t="shared" si="12"/>
        <v/>
      </c>
      <c r="R83" s="58" t="str">
        <f t="shared" si="13"/>
        <v/>
      </c>
      <c r="S83" s="28" t="str">
        <f t="shared" si="14"/>
        <v/>
      </c>
      <c r="T83" s="28" t="str">
        <f t="shared" si="15"/>
        <v/>
      </c>
      <c r="U83" s="29" t="str">
        <f t="shared" si="16"/>
        <v/>
      </c>
      <c r="V83" s="60" t="str">
        <f t="shared" si="17"/>
        <v/>
      </c>
      <c r="W83" s="60" t="str">
        <f t="shared" si="18"/>
        <v/>
      </c>
      <c r="X83" s="60" t="str">
        <f t="shared" si="19"/>
        <v/>
      </c>
      <c r="Y83" s="60" t="str">
        <f t="shared" si="20"/>
        <v/>
      </c>
      <c r="Z83" s="60" t="str">
        <f t="shared" si="21"/>
        <v/>
      </c>
      <c r="AA83" s="60" t="str">
        <f t="shared" si="22"/>
        <v/>
      </c>
      <c r="AB83" s="60" t="str">
        <f t="shared" si="23"/>
        <v/>
      </c>
      <c r="AD83">
        <f>PIP!O68</f>
        <v>5</v>
      </c>
      <c r="AE83">
        <f>PIP!N68</f>
        <v>50</v>
      </c>
      <c r="AF83" s="843">
        <f>PIP!U68</f>
        <v>0</v>
      </c>
      <c r="AG83" s="843">
        <f>PIP!T68</f>
        <v>0</v>
      </c>
      <c r="AH83" s="843">
        <f>PIP!V68</f>
        <v>0</v>
      </c>
      <c r="AI83" s="843">
        <f>PIP!W68</f>
        <v>0</v>
      </c>
      <c r="AJ83" s="843">
        <f>PIP!X68</f>
        <v>0</v>
      </c>
      <c r="AK83" s="843">
        <f>PIP!Y68</f>
        <v>0</v>
      </c>
      <c r="AL83" s="843">
        <f>PIP!Z68</f>
        <v>0</v>
      </c>
    </row>
    <row r="84" spans="2:38">
      <c r="B84" s="57" t="str">
        <f t="shared" si="24"/>
        <v/>
      </c>
      <c r="C84" s="58" t="str">
        <f t="shared" ref="C84:C147" si="25">IF(OR(C83="",C83&gt;=$I$13),"",C83+1)</f>
        <v/>
      </c>
      <c r="D84" s="28" t="str">
        <f t="shared" ref="D84:D147" si="26">IF(B84="","",EOMONTH(D83,1))</f>
        <v/>
      </c>
      <c r="E84" s="28" t="str">
        <f t="shared" ref="E84:E147" si="27">IF(B84="","",$M$15)</f>
        <v/>
      </c>
      <c r="F84" s="29" t="str">
        <f t="shared" ref="F84:F147" si="28">IF(B84="","",IF($M$16="Actual",D84-D83,30))</f>
        <v/>
      </c>
      <c r="G84" s="60" t="str">
        <f t="shared" ref="G84:G147" si="29">IF(B84="","",L83)</f>
        <v/>
      </c>
      <c r="H84" s="60" t="str">
        <f t="shared" ref="H84:H147" si="30">IF(B84="","",(C84&lt;=$I$14)*I84+(C84&gt;$I$14)*PMT($I$11/(E84/F84),$I$12+$I$14-C83,-G84))</f>
        <v/>
      </c>
      <c r="I84" s="60" t="str">
        <f t="shared" ref="I84:I147" si="31">IF(B84="","",G84*$I$11/E84*F84)</f>
        <v/>
      </c>
      <c r="J84" s="60" t="str">
        <f t="shared" ref="J84:J147" si="32">IF(B84="","",H84-I84)</f>
        <v/>
      </c>
      <c r="K84" s="60" t="str">
        <f t="shared" ref="K84:K147" si="33">IF(B84="","",(C84=$I$13)*(G84-J84))</f>
        <v/>
      </c>
      <c r="L84" s="60" t="str">
        <f t="shared" ref="L84:L147" si="34">IF(B84="","",G84-J84-K84)</f>
        <v/>
      </c>
      <c r="M84" s="60" t="str">
        <f t="shared" ref="M84:M147" si="35">IF(B84="","",I84+J84+K84)</f>
        <v/>
      </c>
      <c r="Q84" s="57" t="str">
        <f t="shared" ref="Q84:Q147" si="36">IF(R84="","",ROUNDUP(R84/12,0))</f>
        <v/>
      </c>
      <c r="R84" s="58" t="str">
        <f t="shared" si="13"/>
        <v/>
      </c>
      <c r="S84" s="28" t="str">
        <f t="shared" si="14"/>
        <v/>
      </c>
      <c r="T84" s="28" t="str">
        <f t="shared" si="15"/>
        <v/>
      </c>
      <c r="U84" s="29" t="str">
        <f t="shared" si="16"/>
        <v/>
      </c>
      <c r="V84" s="60" t="str">
        <f t="shared" si="17"/>
        <v/>
      </c>
      <c r="W84" s="60" t="str">
        <f t="shared" si="18"/>
        <v/>
      </c>
      <c r="X84" s="60" t="str">
        <f t="shared" si="19"/>
        <v/>
      </c>
      <c r="Y84" s="60" t="str">
        <f t="shared" si="20"/>
        <v/>
      </c>
      <c r="Z84" s="60" t="str">
        <f t="shared" si="21"/>
        <v/>
      </c>
      <c r="AA84" s="60" t="str">
        <f t="shared" si="22"/>
        <v/>
      </c>
      <c r="AB84" s="60" t="str">
        <f t="shared" si="23"/>
        <v/>
      </c>
      <c r="AD84">
        <f>PIP!O69</f>
        <v>5</v>
      </c>
      <c r="AE84">
        <f>PIP!N69</f>
        <v>51</v>
      </c>
      <c r="AF84" s="843">
        <f>PIP!U69</f>
        <v>0</v>
      </c>
      <c r="AG84" s="843">
        <f>PIP!T69</f>
        <v>0</v>
      </c>
      <c r="AH84" s="843">
        <f>PIP!V69</f>
        <v>0</v>
      </c>
      <c r="AI84" s="843">
        <f>PIP!W69</f>
        <v>0</v>
      </c>
      <c r="AJ84" s="843">
        <f>PIP!X69</f>
        <v>0</v>
      </c>
      <c r="AK84" s="843">
        <f>PIP!Y69</f>
        <v>0</v>
      </c>
      <c r="AL84" s="843">
        <f>PIP!Z69</f>
        <v>0</v>
      </c>
    </row>
    <row r="85" spans="2:38">
      <c r="B85" s="57" t="str">
        <f t="shared" si="24"/>
        <v/>
      </c>
      <c r="C85" s="58" t="str">
        <f t="shared" si="25"/>
        <v/>
      </c>
      <c r="D85" s="28" t="str">
        <f t="shared" si="26"/>
        <v/>
      </c>
      <c r="E85" s="28" t="str">
        <f t="shared" si="27"/>
        <v/>
      </c>
      <c r="F85" s="29" t="str">
        <f t="shared" si="28"/>
        <v/>
      </c>
      <c r="G85" s="60" t="str">
        <f t="shared" si="29"/>
        <v/>
      </c>
      <c r="H85" s="60" t="str">
        <f t="shared" si="30"/>
        <v/>
      </c>
      <c r="I85" s="60" t="str">
        <f t="shared" si="31"/>
        <v/>
      </c>
      <c r="J85" s="60" t="str">
        <f t="shared" si="32"/>
        <v/>
      </c>
      <c r="K85" s="60" t="str">
        <f t="shared" si="33"/>
        <v/>
      </c>
      <c r="L85" s="60" t="str">
        <f t="shared" si="34"/>
        <v/>
      </c>
      <c r="M85" s="60" t="str">
        <f t="shared" si="35"/>
        <v/>
      </c>
      <c r="Q85" s="57" t="str">
        <f t="shared" si="36"/>
        <v/>
      </c>
      <c r="R85" s="58" t="str">
        <f t="shared" ref="R85:R148" si="37">IF(OR(R84="",R84&gt;=$I$13),"",R84+1)</f>
        <v/>
      </c>
      <c r="S85" s="28" t="str">
        <f t="shared" ref="S85:S148" si="38">IF(Q85="","",EOMONTH(S84,1))</f>
        <v/>
      </c>
      <c r="T85" s="28" t="str">
        <f t="shared" ref="T85:T148" si="39">IF(Q85="","",$M$15)</f>
        <v/>
      </c>
      <c r="U85" s="29" t="str">
        <f t="shared" ref="U85:U148" si="40">IF(Q85="","",IF($M$16="Actual",S85-S84,30))</f>
        <v/>
      </c>
      <c r="V85" s="60" t="str">
        <f t="shared" ref="V85:V148" si="41">IF(Q85="","",AA84)</f>
        <v/>
      </c>
      <c r="W85" s="60" t="str">
        <f t="shared" ref="W85:W148" si="42">IF(Q85="","",(R85&lt;=$I$14)*X85+(R85&gt;$I$14)*PMT($I$11/(T85/U85),$I$12+$I$14-R84,-V85))</f>
        <v/>
      </c>
      <c r="X85" s="60" t="str">
        <f t="shared" ref="X85:X148" si="43">IF(Q85="","",V85*$I$11/T85*U85)</f>
        <v/>
      </c>
      <c r="Y85" s="60" t="str">
        <f t="shared" ref="Y85:Y148" si="44">IF(Q85="","",W85-X85)</f>
        <v/>
      </c>
      <c r="Z85" s="60" t="str">
        <f t="shared" ref="Z85:Z148" si="45">IF(Q85="","",(R85=$I$13)*(V85-Y85))</f>
        <v/>
      </c>
      <c r="AA85" s="60" t="str">
        <f t="shared" ref="AA85:AA148" si="46">IF(Q85="","",V85-Y85-Z85)</f>
        <v/>
      </c>
      <c r="AB85" s="60" t="str">
        <f t="shared" ref="AB85:AB148" si="47">IF(Q85="","",X85+Y85+Z85)</f>
        <v/>
      </c>
      <c r="AD85">
        <f>PIP!O70</f>
        <v>5</v>
      </c>
      <c r="AE85">
        <f>PIP!N70</f>
        <v>52</v>
      </c>
      <c r="AF85" s="843">
        <f>PIP!U70</f>
        <v>0</v>
      </c>
      <c r="AG85" s="843">
        <f>PIP!T70</f>
        <v>0</v>
      </c>
      <c r="AH85" s="843">
        <f>PIP!V70</f>
        <v>0</v>
      </c>
      <c r="AI85" s="843">
        <f>PIP!W70</f>
        <v>0</v>
      </c>
      <c r="AJ85" s="843">
        <f>PIP!X70</f>
        <v>0</v>
      </c>
      <c r="AK85" s="843">
        <f>PIP!Y70</f>
        <v>0</v>
      </c>
      <c r="AL85" s="843">
        <f>PIP!Z70</f>
        <v>0</v>
      </c>
    </row>
    <row r="86" spans="2:38">
      <c r="B86" s="57" t="str">
        <f t="shared" si="24"/>
        <v/>
      </c>
      <c r="C86" s="58" t="str">
        <f t="shared" si="25"/>
        <v/>
      </c>
      <c r="D86" s="28" t="str">
        <f t="shared" si="26"/>
        <v/>
      </c>
      <c r="E86" s="28" t="str">
        <f t="shared" si="27"/>
        <v/>
      </c>
      <c r="F86" s="29" t="str">
        <f t="shared" si="28"/>
        <v/>
      </c>
      <c r="G86" s="60" t="str">
        <f t="shared" si="29"/>
        <v/>
      </c>
      <c r="H86" s="60" t="str">
        <f t="shared" si="30"/>
        <v/>
      </c>
      <c r="I86" s="60" t="str">
        <f t="shared" si="31"/>
        <v/>
      </c>
      <c r="J86" s="60" t="str">
        <f t="shared" si="32"/>
        <v/>
      </c>
      <c r="K86" s="60" t="str">
        <f t="shared" si="33"/>
        <v/>
      </c>
      <c r="L86" s="60" t="str">
        <f t="shared" si="34"/>
        <v/>
      </c>
      <c r="M86" s="60" t="str">
        <f t="shared" si="35"/>
        <v/>
      </c>
      <c r="Q86" s="57" t="str">
        <f t="shared" si="36"/>
        <v/>
      </c>
      <c r="R86" s="58" t="str">
        <f t="shared" si="37"/>
        <v/>
      </c>
      <c r="S86" s="28" t="str">
        <f t="shared" si="38"/>
        <v/>
      </c>
      <c r="T86" s="28" t="str">
        <f t="shared" si="39"/>
        <v/>
      </c>
      <c r="U86" s="29" t="str">
        <f t="shared" si="40"/>
        <v/>
      </c>
      <c r="V86" s="60" t="str">
        <f t="shared" si="41"/>
        <v/>
      </c>
      <c r="W86" s="60" t="str">
        <f t="shared" si="42"/>
        <v/>
      </c>
      <c r="X86" s="60" t="str">
        <f t="shared" si="43"/>
        <v/>
      </c>
      <c r="Y86" s="60" t="str">
        <f t="shared" si="44"/>
        <v/>
      </c>
      <c r="Z86" s="60" t="str">
        <f t="shared" si="45"/>
        <v/>
      </c>
      <c r="AA86" s="60" t="str">
        <f t="shared" si="46"/>
        <v/>
      </c>
      <c r="AB86" s="60" t="str">
        <f t="shared" si="47"/>
        <v/>
      </c>
      <c r="AD86">
        <f>PIP!O71</f>
        <v>5</v>
      </c>
      <c r="AE86">
        <f>PIP!N71</f>
        <v>53</v>
      </c>
      <c r="AF86" s="843">
        <f>PIP!U71</f>
        <v>0</v>
      </c>
      <c r="AG86" s="843">
        <f>PIP!T71</f>
        <v>0</v>
      </c>
      <c r="AH86" s="843">
        <f>PIP!V71</f>
        <v>0</v>
      </c>
      <c r="AI86" s="843">
        <f>PIP!W71</f>
        <v>0</v>
      </c>
      <c r="AJ86" s="843">
        <f>PIP!X71</f>
        <v>0</v>
      </c>
      <c r="AK86" s="843">
        <f>PIP!Y71</f>
        <v>0</v>
      </c>
      <c r="AL86" s="843">
        <f>PIP!Z71</f>
        <v>0</v>
      </c>
    </row>
    <row r="87" spans="2:38">
      <c r="B87" s="57" t="str">
        <f t="shared" si="24"/>
        <v/>
      </c>
      <c r="C87" s="58" t="str">
        <f t="shared" si="25"/>
        <v/>
      </c>
      <c r="D87" s="28" t="str">
        <f t="shared" si="26"/>
        <v/>
      </c>
      <c r="E87" s="28" t="str">
        <f t="shared" si="27"/>
        <v/>
      </c>
      <c r="F87" s="29" t="str">
        <f t="shared" si="28"/>
        <v/>
      </c>
      <c r="G87" s="60" t="str">
        <f t="shared" si="29"/>
        <v/>
      </c>
      <c r="H87" s="60" t="str">
        <f t="shared" si="30"/>
        <v/>
      </c>
      <c r="I87" s="60" t="str">
        <f t="shared" si="31"/>
        <v/>
      </c>
      <c r="J87" s="60" t="str">
        <f t="shared" si="32"/>
        <v/>
      </c>
      <c r="K87" s="60" t="str">
        <f t="shared" si="33"/>
        <v/>
      </c>
      <c r="L87" s="60" t="str">
        <f t="shared" si="34"/>
        <v/>
      </c>
      <c r="M87" s="60" t="str">
        <f t="shared" si="35"/>
        <v/>
      </c>
      <c r="Q87" s="57" t="str">
        <f t="shared" si="36"/>
        <v/>
      </c>
      <c r="R87" s="58" t="str">
        <f t="shared" si="37"/>
        <v/>
      </c>
      <c r="S87" s="28" t="str">
        <f t="shared" si="38"/>
        <v/>
      </c>
      <c r="T87" s="28" t="str">
        <f t="shared" si="39"/>
        <v/>
      </c>
      <c r="U87" s="29" t="str">
        <f t="shared" si="40"/>
        <v/>
      </c>
      <c r="V87" s="60" t="str">
        <f t="shared" si="41"/>
        <v/>
      </c>
      <c r="W87" s="60" t="str">
        <f t="shared" si="42"/>
        <v/>
      </c>
      <c r="X87" s="60" t="str">
        <f t="shared" si="43"/>
        <v/>
      </c>
      <c r="Y87" s="60" t="str">
        <f t="shared" si="44"/>
        <v/>
      </c>
      <c r="Z87" s="60" t="str">
        <f t="shared" si="45"/>
        <v/>
      </c>
      <c r="AA87" s="60" t="str">
        <f t="shared" si="46"/>
        <v/>
      </c>
      <c r="AB87" s="60" t="str">
        <f t="shared" si="47"/>
        <v/>
      </c>
      <c r="AD87">
        <f>PIP!O72</f>
        <v>5</v>
      </c>
      <c r="AE87">
        <f>PIP!N72</f>
        <v>54</v>
      </c>
      <c r="AF87" s="843">
        <f>PIP!U72</f>
        <v>0</v>
      </c>
      <c r="AG87" s="843">
        <f>PIP!T72</f>
        <v>0</v>
      </c>
      <c r="AH87" s="843">
        <f>PIP!V72</f>
        <v>0</v>
      </c>
      <c r="AI87" s="843">
        <f>PIP!W72</f>
        <v>0</v>
      </c>
      <c r="AJ87" s="843">
        <f>PIP!X72</f>
        <v>0</v>
      </c>
      <c r="AK87" s="843">
        <f>PIP!Y72</f>
        <v>0</v>
      </c>
      <c r="AL87" s="843">
        <f>PIP!Z72</f>
        <v>0</v>
      </c>
    </row>
    <row r="88" spans="2:38">
      <c r="B88" s="57" t="str">
        <f t="shared" si="24"/>
        <v/>
      </c>
      <c r="C88" s="58" t="str">
        <f t="shared" si="25"/>
        <v/>
      </c>
      <c r="D88" s="28" t="str">
        <f t="shared" si="26"/>
        <v/>
      </c>
      <c r="E88" s="28" t="str">
        <f t="shared" si="27"/>
        <v/>
      </c>
      <c r="F88" s="29" t="str">
        <f t="shared" si="28"/>
        <v/>
      </c>
      <c r="G88" s="60" t="str">
        <f t="shared" si="29"/>
        <v/>
      </c>
      <c r="H88" s="60" t="str">
        <f t="shared" si="30"/>
        <v/>
      </c>
      <c r="I88" s="60" t="str">
        <f t="shared" si="31"/>
        <v/>
      </c>
      <c r="J88" s="60" t="str">
        <f t="shared" si="32"/>
        <v/>
      </c>
      <c r="K88" s="60" t="str">
        <f t="shared" si="33"/>
        <v/>
      </c>
      <c r="L88" s="60" t="str">
        <f t="shared" si="34"/>
        <v/>
      </c>
      <c r="M88" s="60" t="str">
        <f t="shared" si="35"/>
        <v/>
      </c>
      <c r="Q88" s="57" t="str">
        <f t="shared" si="36"/>
        <v/>
      </c>
      <c r="R88" s="58" t="str">
        <f t="shared" si="37"/>
        <v/>
      </c>
      <c r="S88" s="28" t="str">
        <f t="shared" si="38"/>
        <v/>
      </c>
      <c r="T88" s="28" t="str">
        <f t="shared" si="39"/>
        <v/>
      </c>
      <c r="U88" s="29" t="str">
        <f t="shared" si="40"/>
        <v/>
      </c>
      <c r="V88" s="60" t="str">
        <f t="shared" si="41"/>
        <v/>
      </c>
      <c r="W88" s="60" t="str">
        <f t="shared" si="42"/>
        <v/>
      </c>
      <c r="X88" s="60" t="str">
        <f t="shared" si="43"/>
        <v/>
      </c>
      <c r="Y88" s="60" t="str">
        <f t="shared" si="44"/>
        <v/>
      </c>
      <c r="Z88" s="60" t="str">
        <f t="shared" si="45"/>
        <v/>
      </c>
      <c r="AA88" s="60" t="str">
        <f t="shared" si="46"/>
        <v/>
      </c>
      <c r="AB88" s="60" t="str">
        <f t="shared" si="47"/>
        <v/>
      </c>
      <c r="AD88">
        <f>PIP!O73</f>
        <v>5</v>
      </c>
      <c r="AE88">
        <f>PIP!N73</f>
        <v>55</v>
      </c>
      <c r="AF88" s="843">
        <f>PIP!U73</f>
        <v>0</v>
      </c>
      <c r="AG88" s="843">
        <f>PIP!T73</f>
        <v>0</v>
      </c>
      <c r="AH88" s="843">
        <f>PIP!V73</f>
        <v>0</v>
      </c>
      <c r="AI88" s="843">
        <f>PIP!W73</f>
        <v>0</v>
      </c>
      <c r="AJ88" s="843">
        <f>PIP!X73</f>
        <v>0</v>
      </c>
      <c r="AK88" s="843">
        <f>PIP!Y73</f>
        <v>0</v>
      </c>
      <c r="AL88" s="843">
        <f>PIP!Z73</f>
        <v>0</v>
      </c>
    </row>
    <row r="89" spans="2:38">
      <c r="B89" s="57" t="str">
        <f t="shared" si="24"/>
        <v/>
      </c>
      <c r="C89" s="58" t="str">
        <f t="shared" si="25"/>
        <v/>
      </c>
      <c r="D89" s="28" t="str">
        <f t="shared" si="26"/>
        <v/>
      </c>
      <c r="E89" s="28" t="str">
        <f t="shared" si="27"/>
        <v/>
      </c>
      <c r="F89" s="29" t="str">
        <f t="shared" si="28"/>
        <v/>
      </c>
      <c r="G89" s="60" t="str">
        <f t="shared" si="29"/>
        <v/>
      </c>
      <c r="H89" s="60" t="str">
        <f t="shared" si="30"/>
        <v/>
      </c>
      <c r="I89" s="60" t="str">
        <f t="shared" si="31"/>
        <v/>
      </c>
      <c r="J89" s="60" t="str">
        <f t="shared" si="32"/>
        <v/>
      </c>
      <c r="K89" s="60" t="str">
        <f t="shared" si="33"/>
        <v/>
      </c>
      <c r="L89" s="60" t="str">
        <f t="shared" si="34"/>
        <v/>
      </c>
      <c r="M89" s="60" t="str">
        <f t="shared" si="35"/>
        <v/>
      </c>
      <c r="Q89" s="57" t="str">
        <f t="shared" si="36"/>
        <v/>
      </c>
      <c r="R89" s="58" t="str">
        <f t="shared" si="37"/>
        <v/>
      </c>
      <c r="S89" s="28" t="str">
        <f t="shared" si="38"/>
        <v/>
      </c>
      <c r="T89" s="28" t="str">
        <f t="shared" si="39"/>
        <v/>
      </c>
      <c r="U89" s="29" t="str">
        <f t="shared" si="40"/>
        <v/>
      </c>
      <c r="V89" s="60" t="str">
        <f t="shared" si="41"/>
        <v/>
      </c>
      <c r="W89" s="60" t="str">
        <f t="shared" si="42"/>
        <v/>
      </c>
      <c r="X89" s="60" t="str">
        <f t="shared" si="43"/>
        <v/>
      </c>
      <c r="Y89" s="60" t="str">
        <f t="shared" si="44"/>
        <v/>
      </c>
      <c r="Z89" s="60" t="str">
        <f t="shared" si="45"/>
        <v/>
      </c>
      <c r="AA89" s="60" t="str">
        <f t="shared" si="46"/>
        <v/>
      </c>
      <c r="AB89" s="60" t="str">
        <f t="shared" si="47"/>
        <v/>
      </c>
      <c r="AD89">
        <f>PIP!O74</f>
        <v>5</v>
      </c>
      <c r="AE89">
        <f>PIP!N74</f>
        <v>56</v>
      </c>
      <c r="AF89" s="843">
        <f>PIP!U74</f>
        <v>0</v>
      </c>
      <c r="AG89" s="843">
        <f>PIP!T74</f>
        <v>0</v>
      </c>
      <c r="AH89" s="843">
        <f>PIP!V74</f>
        <v>0</v>
      </c>
      <c r="AI89" s="843">
        <f>PIP!W74</f>
        <v>0</v>
      </c>
      <c r="AJ89" s="843">
        <f>PIP!X74</f>
        <v>0</v>
      </c>
      <c r="AK89" s="843">
        <f>PIP!Y74</f>
        <v>0</v>
      </c>
      <c r="AL89" s="843">
        <f>PIP!Z74</f>
        <v>0</v>
      </c>
    </row>
    <row r="90" spans="2:38">
      <c r="B90" s="57" t="str">
        <f t="shared" si="24"/>
        <v/>
      </c>
      <c r="C90" s="58" t="str">
        <f t="shared" si="25"/>
        <v/>
      </c>
      <c r="D90" s="28" t="str">
        <f t="shared" si="26"/>
        <v/>
      </c>
      <c r="E90" s="28" t="str">
        <f t="shared" si="27"/>
        <v/>
      </c>
      <c r="F90" s="29" t="str">
        <f t="shared" si="28"/>
        <v/>
      </c>
      <c r="G90" s="60" t="str">
        <f t="shared" si="29"/>
        <v/>
      </c>
      <c r="H90" s="60" t="str">
        <f t="shared" si="30"/>
        <v/>
      </c>
      <c r="I90" s="60" t="str">
        <f t="shared" si="31"/>
        <v/>
      </c>
      <c r="J90" s="60" t="str">
        <f t="shared" si="32"/>
        <v/>
      </c>
      <c r="K90" s="60" t="str">
        <f t="shared" si="33"/>
        <v/>
      </c>
      <c r="L90" s="60" t="str">
        <f t="shared" si="34"/>
        <v/>
      </c>
      <c r="M90" s="60" t="str">
        <f t="shared" si="35"/>
        <v/>
      </c>
      <c r="Q90" s="57" t="str">
        <f t="shared" si="36"/>
        <v/>
      </c>
      <c r="R90" s="58" t="str">
        <f t="shared" si="37"/>
        <v/>
      </c>
      <c r="S90" s="28" t="str">
        <f t="shared" si="38"/>
        <v/>
      </c>
      <c r="T90" s="28" t="str">
        <f t="shared" si="39"/>
        <v/>
      </c>
      <c r="U90" s="29" t="str">
        <f t="shared" si="40"/>
        <v/>
      </c>
      <c r="V90" s="60" t="str">
        <f t="shared" si="41"/>
        <v/>
      </c>
      <c r="W90" s="60" t="str">
        <f t="shared" si="42"/>
        <v/>
      </c>
      <c r="X90" s="60" t="str">
        <f t="shared" si="43"/>
        <v/>
      </c>
      <c r="Y90" s="60" t="str">
        <f t="shared" si="44"/>
        <v/>
      </c>
      <c r="Z90" s="60" t="str">
        <f t="shared" si="45"/>
        <v/>
      </c>
      <c r="AA90" s="60" t="str">
        <f t="shared" si="46"/>
        <v/>
      </c>
      <c r="AB90" s="60" t="str">
        <f t="shared" si="47"/>
        <v/>
      </c>
      <c r="AD90">
        <f>PIP!O75</f>
        <v>5</v>
      </c>
      <c r="AE90">
        <f>PIP!N75</f>
        <v>57</v>
      </c>
      <c r="AF90" s="843">
        <f>PIP!U75</f>
        <v>0</v>
      </c>
      <c r="AG90" s="843">
        <f>PIP!T75</f>
        <v>0</v>
      </c>
      <c r="AH90" s="843">
        <f>PIP!V75</f>
        <v>0</v>
      </c>
      <c r="AI90" s="843">
        <f>PIP!W75</f>
        <v>0</v>
      </c>
      <c r="AJ90" s="843">
        <f>PIP!X75</f>
        <v>0</v>
      </c>
      <c r="AK90" s="843">
        <f>PIP!Y75</f>
        <v>0</v>
      </c>
      <c r="AL90" s="843">
        <f>PIP!Z75</f>
        <v>0</v>
      </c>
    </row>
    <row r="91" spans="2:38">
      <c r="B91" s="57" t="str">
        <f t="shared" si="24"/>
        <v/>
      </c>
      <c r="C91" s="58" t="str">
        <f t="shared" si="25"/>
        <v/>
      </c>
      <c r="D91" s="28" t="str">
        <f t="shared" si="26"/>
        <v/>
      </c>
      <c r="E91" s="28" t="str">
        <f t="shared" si="27"/>
        <v/>
      </c>
      <c r="F91" s="29" t="str">
        <f t="shared" si="28"/>
        <v/>
      </c>
      <c r="G91" s="60" t="str">
        <f t="shared" si="29"/>
        <v/>
      </c>
      <c r="H91" s="60" t="str">
        <f t="shared" si="30"/>
        <v/>
      </c>
      <c r="I91" s="60" t="str">
        <f t="shared" si="31"/>
        <v/>
      </c>
      <c r="J91" s="60" t="str">
        <f t="shared" si="32"/>
        <v/>
      </c>
      <c r="K91" s="60" t="str">
        <f t="shared" si="33"/>
        <v/>
      </c>
      <c r="L91" s="60" t="str">
        <f t="shared" si="34"/>
        <v/>
      </c>
      <c r="M91" s="60" t="str">
        <f t="shared" si="35"/>
        <v/>
      </c>
      <c r="Q91" s="57" t="str">
        <f t="shared" si="36"/>
        <v/>
      </c>
      <c r="R91" s="58" t="str">
        <f t="shared" si="37"/>
        <v/>
      </c>
      <c r="S91" s="28" t="str">
        <f t="shared" si="38"/>
        <v/>
      </c>
      <c r="T91" s="28" t="str">
        <f t="shared" si="39"/>
        <v/>
      </c>
      <c r="U91" s="29" t="str">
        <f t="shared" si="40"/>
        <v/>
      </c>
      <c r="V91" s="60" t="str">
        <f t="shared" si="41"/>
        <v/>
      </c>
      <c r="W91" s="60" t="str">
        <f t="shared" si="42"/>
        <v/>
      </c>
      <c r="X91" s="60" t="str">
        <f t="shared" si="43"/>
        <v/>
      </c>
      <c r="Y91" s="60" t="str">
        <f t="shared" si="44"/>
        <v/>
      </c>
      <c r="Z91" s="60" t="str">
        <f t="shared" si="45"/>
        <v/>
      </c>
      <c r="AA91" s="60" t="str">
        <f t="shared" si="46"/>
        <v/>
      </c>
      <c r="AB91" s="60" t="str">
        <f t="shared" si="47"/>
        <v/>
      </c>
      <c r="AD91">
        <f>PIP!O76</f>
        <v>5</v>
      </c>
      <c r="AE91">
        <f>PIP!N76</f>
        <v>58</v>
      </c>
      <c r="AF91" s="843">
        <f>PIP!U76</f>
        <v>0</v>
      </c>
      <c r="AG91" s="843">
        <f>PIP!T76</f>
        <v>0</v>
      </c>
      <c r="AH91" s="843">
        <f>PIP!V76</f>
        <v>0</v>
      </c>
      <c r="AI91" s="843">
        <f>PIP!W76</f>
        <v>0</v>
      </c>
      <c r="AJ91" s="843">
        <f>PIP!X76</f>
        <v>0</v>
      </c>
      <c r="AK91" s="843">
        <f>PIP!Y76</f>
        <v>0</v>
      </c>
      <c r="AL91" s="843">
        <f>PIP!Z76</f>
        <v>0</v>
      </c>
    </row>
    <row r="92" spans="2:38">
      <c r="B92" s="57" t="str">
        <f t="shared" si="24"/>
        <v/>
      </c>
      <c r="C92" s="58" t="str">
        <f t="shared" si="25"/>
        <v/>
      </c>
      <c r="D92" s="28" t="str">
        <f t="shared" si="26"/>
        <v/>
      </c>
      <c r="E92" s="28" t="str">
        <f t="shared" si="27"/>
        <v/>
      </c>
      <c r="F92" s="29" t="str">
        <f t="shared" si="28"/>
        <v/>
      </c>
      <c r="G92" s="60" t="str">
        <f t="shared" si="29"/>
        <v/>
      </c>
      <c r="H92" s="60" t="str">
        <f t="shared" si="30"/>
        <v/>
      </c>
      <c r="I92" s="60" t="str">
        <f t="shared" si="31"/>
        <v/>
      </c>
      <c r="J92" s="60" t="str">
        <f t="shared" si="32"/>
        <v/>
      </c>
      <c r="K92" s="60" t="str">
        <f t="shared" si="33"/>
        <v/>
      </c>
      <c r="L92" s="60" t="str">
        <f t="shared" si="34"/>
        <v/>
      </c>
      <c r="M92" s="60" t="str">
        <f t="shared" si="35"/>
        <v/>
      </c>
      <c r="Q92" s="57" t="str">
        <f t="shared" si="36"/>
        <v/>
      </c>
      <c r="R92" s="58" t="str">
        <f t="shared" si="37"/>
        <v/>
      </c>
      <c r="S92" s="28" t="str">
        <f t="shared" si="38"/>
        <v/>
      </c>
      <c r="T92" s="28" t="str">
        <f t="shared" si="39"/>
        <v/>
      </c>
      <c r="U92" s="29" t="str">
        <f t="shared" si="40"/>
        <v/>
      </c>
      <c r="V92" s="60" t="str">
        <f t="shared" si="41"/>
        <v/>
      </c>
      <c r="W92" s="60" t="str">
        <f t="shared" si="42"/>
        <v/>
      </c>
      <c r="X92" s="60" t="str">
        <f t="shared" si="43"/>
        <v/>
      </c>
      <c r="Y92" s="60" t="str">
        <f t="shared" si="44"/>
        <v/>
      </c>
      <c r="Z92" s="60" t="str">
        <f t="shared" si="45"/>
        <v/>
      </c>
      <c r="AA92" s="60" t="str">
        <f t="shared" si="46"/>
        <v/>
      </c>
      <c r="AB92" s="60" t="str">
        <f t="shared" si="47"/>
        <v/>
      </c>
      <c r="AD92">
        <f>PIP!O77</f>
        <v>5</v>
      </c>
      <c r="AE92">
        <f>PIP!N77</f>
        <v>59</v>
      </c>
      <c r="AF92" s="843">
        <f>PIP!U77</f>
        <v>0</v>
      </c>
      <c r="AG92" s="843">
        <f>PIP!T77</f>
        <v>0</v>
      </c>
      <c r="AH92" s="843">
        <f>PIP!V77</f>
        <v>0</v>
      </c>
      <c r="AI92" s="843">
        <f>PIP!W77</f>
        <v>0</v>
      </c>
      <c r="AJ92" s="843">
        <f>PIP!X77</f>
        <v>0</v>
      </c>
      <c r="AK92" s="843">
        <f>PIP!Y77</f>
        <v>0</v>
      </c>
      <c r="AL92" s="843">
        <f>PIP!Z77</f>
        <v>0</v>
      </c>
    </row>
    <row r="93" spans="2:38">
      <c r="B93" s="57" t="str">
        <f t="shared" si="24"/>
        <v/>
      </c>
      <c r="C93" s="58" t="str">
        <f t="shared" si="25"/>
        <v/>
      </c>
      <c r="D93" s="28" t="str">
        <f t="shared" si="26"/>
        <v/>
      </c>
      <c r="E93" s="28" t="str">
        <f t="shared" si="27"/>
        <v/>
      </c>
      <c r="F93" s="29" t="str">
        <f t="shared" si="28"/>
        <v/>
      </c>
      <c r="G93" s="60" t="str">
        <f t="shared" si="29"/>
        <v/>
      </c>
      <c r="H93" s="60" t="str">
        <f t="shared" si="30"/>
        <v/>
      </c>
      <c r="I93" s="60" t="str">
        <f t="shared" si="31"/>
        <v/>
      </c>
      <c r="J93" s="60" t="str">
        <f t="shared" si="32"/>
        <v/>
      </c>
      <c r="K93" s="60" t="str">
        <f t="shared" si="33"/>
        <v/>
      </c>
      <c r="L93" s="60" t="str">
        <f t="shared" si="34"/>
        <v/>
      </c>
      <c r="M93" s="60" t="str">
        <f t="shared" si="35"/>
        <v/>
      </c>
      <c r="Q93" s="57" t="str">
        <f t="shared" si="36"/>
        <v/>
      </c>
      <c r="R93" s="58" t="str">
        <f t="shared" si="37"/>
        <v/>
      </c>
      <c r="S93" s="28" t="str">
        <f t="shared" si="38"/>
        <v/>
      </c>
      <c r="T93" s="28" t="str">
        <f t="shared" si="39"/>
        <v/>
      </c>
      <c r="U93" s="29" t="str">
        <f t="shared" si="40"/>
        <v/>
      </c>
      <c r="V93" s="60" t="str">
        <f t="shared" si="41"/>
        <v/>
      </c>
      <c r="W93" s="60" t="str">
        <f t="shared" si="42"/>
        <v/>
      </c>
      <c r="X93" s="60" t="str">
        <f t="shared" si="43"/>
        <v/>
      </c>
      <c r="Y93" s="60" t="str">
        <f t="shared" si="44"/>
        <v/>
      </c>
      <c r="Z93" s="60" t="str">
        <f t="shared" si="45"/>
        <v/>
      </c>
      <c r="AA93" s="60" t="str">
        <f t="shared" si="46"/>
        <v/>
      </c>
      <c r="AB93" s="60" t="str">
        <f t="shared" si="47"/>
        <v/>
      </c>
      <c r="AD93">
        <f>PIP!O78</f>
        <v>5</v>
      </c>
      <c r="AE93">
        <f>PIP!N78</f>
        <v>60</v>
      </c>
      <c r="AF93" s="843">
        <f>PIP!U78</f>
        <v>0</v>
      </c>
      <c r="AG93" s="843">
        <f>PIP!T78</f>
        <v>0</v>
      </c>
      <c r="AH93" s="843">
        <f>PIP!V78</f>
        <v>0</v>
      </c>
      <c r="AI93" s="843">
        <f>PIP!W78</f>
        <v>0</v>
      </c>
      <c r="AJ93" s="843">
        <f>PIP!X78</f>
        <v>0</v>
      </c>
      <c r="AK93" s="843">
        <f>PIP!Y78</f>
        <v>0</v>
      </c>
      <c r="AL93" s="843">
        <f>PIP!Z78</f>
        <v>0</v>
      </c>
    </row>
    <row r="94" spans="2:38">
      <c r="B94" s="57" t="str">
        <f t="shared" si="24"/>
        <v/>
      </c>
      <c r="C94" s="58" t="str">
        <f t="shared" si="25"/>
        <v/>
      </c>
      <c r="D94" s="28" t="str">
        <f t="shared" si="26"/>
        <v/>
      </c>
      <c r="E94" s="28" t="str">
        <f t="shared" si="27"/>
        <v/>
      </c>
      <c r="F94" s="29" t="str">
        <f t="shared" si="28"/>
        <v/>
      </c>
      <c r="G94" s="60" t="str">
        <f t="shared" si="29"/>
        <v/>
      </c>
      <c r="H94" s="60" t="str">
        <f t="shared" si="30"/>
        <v/>
      </c>
      <c r="I94" s="60" t="str">
        <f t="shared" si="31"/>
        <v/>
      </c>
      <c r="J94" s="60" t="str">
        <f t="shared" si="32"/>
        <v/>
      </c>
      <c r="K94" s="60" t="str">
        <f t="shared" si="33"/>
        <v/>
      </c>
      <c r="L94" s="60" t="str">
        <f t="shared" si="34"/>
        <v/>
      </c>
      <c r="M94" s="60" t="str">
        <f t="shared" si="35"/>
        <v/>
      </c>
      <c r="Q94" s="57" t="str">
        <f t="shared" si="36"/>
        <v/>
      </c>
      <c r="R94" s="58" t="str">
        <f t="shared" si="37"/>
        <v/>
      </c>
      <c r="S94" s="28" t="str">
        <f t="shared" si="38"/>
        <v/>
      </c>
      <c r="T94" s="28" t="str">
        <f t="shared" si="39"/>
        <v/>
      </c>
      <c r="U94" s="29" t="str">
        <f t="shared" si="40"/>
        <v/>
      </c>
      <c r="V94" s="60" t="str">
        <f t="shared" si="41"/>
        <v/>
      </c>
      <c r="W94" s="60" t="str">
        <f t="shared" si="42"/>
        <v/>
      </c>
      <c r="X94" s="60" t="str">
        <f t="shared" si="43"/>
        <v/>
      </c>
      <c r="Y94" s="60" t="str">
        <f t="shared" si="44"/>
        <v/>
      </c>
      <c r="Z94" s="60" t="str">
        <f t="shared" si="45"/>
        <v/>
      </c>
      <c r="AA94" s="60" t="str">
        <f t="shared" si="46"/>
        <v/>
      </c>
      <c r="AB94" s="60" t="str">
        <f t="shared" si="47"/>
        <v/>
      </c>
      <c r="AD94">
        <f>PIP!O79</f>
        <v>6</v>
      </c>
      <c r="AE94">
        <f>PIP!N79</f>
        <v>61</v>
      </c>
      <c r="AF94" s="843">
        <f>PIP!U79</f>
        <v>0</v>
      </c>
      <c r="AG94" s="843">
        <f>PIP!T79</f>
        <v>0</v>
      </c>
      <c r="AH94" s="843">
        <f>PIP!V79</f>
        <v>0</v>
      </c>
      <c r="AI94" s="843">
        <f>PIP!W79</f>
        <v>0</v>
      </c>
      <c r="AJ94" s="843">
        <f>PIP!X79</f>
        <v>0</v>
      </c>
      <c r="AK94" s="843">
        <f>PIP!Y79</f>
        <v>0</v>
      </c>
      <c r="AL94" s="843">
        <f>PIP!Z79</f>
        <v>0</v>
      </c>
    </row>
    <row r="95" spans="2:38">
      <c r="B95" s="57" t="str">
        <f t="shared" si="24"/>
        <v/>
      </c>
      <c r="C95" s="58" t="str">
        <f t="shared" si="25"/>
        <v/>
      </c>
      <c r="D95" s="28" t="str">
        <f t="shared" si="26"/>
        <v/>
      </c>
      <c r="E95" s="28" t="str">
        <f t="shared" si="27"/>
        <v/>
      </c>
      <c r="F95" s="29" t="str">
        <f t="shared" si="28"/>
        <v/>
      </c>
      <c r="G95" s="60" t="str">
        <f t="shared" si="29"/>
        <v/>
      </c>
      <c r="H95" s="60" t="str">
        <f t="shared" si="30"/>
        <v/>
      </c>
      <c r="I95" s="60" t="str">
        <f t="shared" si="31"/>
        <v/>
      </c>
      <c r="J95" s="60" t="str">
        <f t="shared" si="32"/>
        <v/>
      </c>
      <c r="K95" s="60" t="str">
        <f t="shared" si="33"/>
        <v/>
      </c>
      <c r="L95" s="60" t="str">
        <f t="shared" si="34"/>
        <v/>
      </c>
      <c r="M95" s="60" t="str">
        <f t="shared" si="35"/>
        <v/>
      </c>
      <c r="Q95" s="57" t="str">
        <f t="shared" si="36"/>
        <v/>
      </c>
      <c r="R95" s="58" t="str">
        <f t="shared" si="37"/>
        <v/>
      </c>
      <c r="S95" s="28" t="str">
        <f t="shared" si="38"/>
        <v/>
      </c>
      <c r="T95" s="28" t="str">
        <f t="shared" si="39"/>
        <v/>
      </c>
      <c r="U95" s="29" t="str">
        <f t="shared" si="40"/>
        <v/>
      </c>
      <c r="V95" s="60" t="str">
        <f t="shared" si="41"/>
        <v/>
      </c>
      <c r="W95" s="60" t="str">
        <f t="shared" si="42"/>
        <v/>
      </c>
      <c r="X95" s="60" t="str">
        <f t="shared" si="43"/>
        <v/>
      </c>
      <c r="Y95" s="60" t="str">
        <f t="shared" si="44"/>
        <v/>
      </c>
      <c r="Z95" s="60" t="str">
        <f t="shared" si="45"/>
        <v/>
      </c>
      <c r="AA95" s="60" t="str">
        <f t="shared" si="46"/>
        <v/>
      </c>
      <c r="AB95" s="60" t="str">
        <f t="shared" si="47"/>
        <v/>
      </c>
      <c r="AD95">
        <f>PIP!O80</f>
        <v>6</v>
      </c>
      <c r="AE95">
        <f>PIP!N80</f>
        <v>62</v>
      </c>
      <c r="AF95" s="843">
        <f>PIP!U80</f>
        <v>0</v>
      </c>
      <c r="AG95" s="843">
        <f>PIP!T80</f>
        <v>0</v>
      </c>
      <c r="AH95" s="843">
        <f>PIP!V80</f>
        <v>0</v>
      </c>
      <c r="AI95" s="843">
        <f>PIP!W80</f>
        <v>0</v>
      </c>
      <c r="AJ95" s="843">
        <f>PIP!X80</f>
        <v>0</v>
      </c>
      <c r="AK95" s="843">
        <f>PIP!Y80</f>
        <v>0</v>
      </c>
      <c r="AL95" s="843">
        <f>PIP!Z80</f>
        <v>0</v>
      </c>
    </row>
    <row r="96" spans="2:38">
      <c r="B96" s="57" t="str">
        <f t="shared" si="24"/>
        <v/>
      </c>
      <c r="C96" s="58" t="str">
        <f t="shared" si="25"/>
        <v/>
      </c>
      <c r="D96" s="28" t="str">
        <f t="shared" si="26"/>
        <v/>
      </c>
      <c r="E96" s="28" t="str">
        <f t="shared" si="27"/>
        <v/>
      </c>
      <c r="F96" s="29" t="str">
        <f t="shared" si="28"/>
        <v/>
      </c>
      <c r="G96" s="60" t="str">
        <f t="shared" si="29"/>
        <v/>
      </c>
      <c r="H96" s="60" t="str">
        <f t="shared" si="30"/>
        <v/>
      </c>
      <c r="I96" s="60" t="str">
        <f t="shared" si="31"/>
        <v/>
      </c>
      <c r="J96" s="60" t="str">
        <f t="shared" si="32"/>
        <v/>
      </c>
      <c r="K96" s="60" t="str">
        <f t="shared" si="33"/>
        <v/>
      </c>
      <c r="L96" s="60" t="str">
        <f t="shared" si="34"/>
        <v/>
      </c>
      <c r="M96" s="60" t="str">
        <f t="shared" si="35"/>
        <v/>
      </c>
      <c r="Q96" s="57" t="str">
        <f t="shared" si="36"/>
        <v/>
      </c>
      <c r="R96" s="58" t="str">
        <f t="shared" si="37"/>
        <v/>
      </c>
      <c r="S96" s="28" t="str">
        <f t="shared" si="38"/>
        <v/>
      </c>
      <c r="T96" s="28" t="str">
        <f t="shared" si="39"/>
        <v/>
      </c>
      <c r="U96" s="29" t="str">
        <f t="shared" si="40"/>
        <v/>
      </c>
      <c r="V96" s="60" t="str">
        <f t="shared" si="41"/>
        <v/>
      </c>
      <c r="W96" s="60" t="str">
        <f t="shared" si="42"/>
        <v/>
      </c>
      <c r="X96" s="60" t="str">
        <f t="shared" si="43"/>
        <v/>
      </c>
      <c r="Y96" s="60" t="str">
        <f t="shared" si="44"/>
        <v/>
      </c>
      <c r="Z96" s="60" t="str">
        <f t="shared" si="45"/>
        <v/>
      </c>
      <c r="AA96" s="60" t="str">
        <f t="shared" si="46"/>
        <v/>
      </c>
      <c r="AB96" s="60" t="str">
        <f t="shared" si="47"/>
        <v/>
      </c>
      <c r="AD96">
        <f>PIP!O81</f>
        <v>6</v>
      </c>
      <c r="AE96">
        <f>PIP!N81</f>
        <v>63</v>
      </c>
      <c r="AF96" s="843">
        <f>PIP!U81</f>
        <v>0</v>
      </c>
      <c r="AG96" s="843">
        <f>PIP!T81</f>
        <v>0</v>
      </c>
      <c r="AH96" s="843">
        <f>PIP!V81</f>
        <v>0</v>
      </c>
      <c r="AI96" s="843">
        <f>PIP!W81</f>
        <v>0</v>
      </c>
      <c r="AJ96" s="843">
        <f>PIP!X81</f>
        <v>0</v>
      </c>
      <c r="AK96" s="843">
        <f>PIP!Y81</f>
        <v>0</v>
      </c>
      <c r="AL96" s="843">
        <f>PIP!Z81</f>
        <v>0</v>
      </c>
    </row>
    <row r="97" spans="2:38">
      <c r="B97" s="57" t="str">
        <f t="shared" si="24"/>
        <v/>
      </c>
      <c r="C97" s="58" t="str">
        <f t="shared" si="25"/>
        <v/>
      </c>
      <c r="D97" s="28" t="str">
        <f t="shared" si="26"/>
        <v/>
      </c>
      <c r="E97" s="28" t="str">
        <f t="shared" si="27"/>
        <v/>
      </c>
      <c r="F97" s="29" t="str">
        <f t="shared" si="28"/>
        <v/>
      </c>
      <c r="G97" s="60" t="str">
        <f t="shared" si="29"/>
        <v/>
      </c>
      <c r="H97" s="60" t="str">
        <f t="shared" si="30"/>
        <v/>
      </c>
      <c r="I97" s="60" t="str">
        <f t="shared" si="31"/>
        <v/>
      </c>
      <c r="J97" s="60" t="str">
        <f t="shared" si="32"/>
        <v/>
      </c>
      <c r="K97" s="60" t="str">
        <f t="shared" si="33"/>
        <v/>
      </c>
      <c r="L97" s="60" t="str">
        <f t="shared" si="34"/>
        <v/>
      </c>
      <c r="M97" s="60" t="str">
        <f t="shared" si="35"/>
        <v/>
      </c>
      <c r="Q97" s="57" t="str">
        <f t="shared" si="36"/>
        <v/>
      </c>
      <c r="R97" s="58" t="str">
        <f t="shared" si="37"/>
        <v/>
      </c>
      <c r="S97" s="28" t="str">
        <f t="shared" si="38"/>
        <v/>
      </c>
      <c r="T97" s="28" t="str">
        <f t="shared" si="39"/>
        <v/>
      </c>
      <c r="U97" s="29" t="str">
        <f t="shared" si="40"/>
        <v/>
      </c>
      <c r="V97" s="60" t="str">
        <f t="shared" si="41"/>
        <v/>
      </c>
      <c r="W97" s="60" t="str">
        <f t="shared" si="42"/>
        <v/>
      </c>
      <c r="X97" s="60" t="str">
        <f t="shared" si="43"/>
        <v/>
      </c>
      <c r="Y97" s="60" t="str">
        <f t="shared" si="44"/>
        <v/>
      </c>
      <c r="Z97" s="60" t="str">
        <f t="shared" si="45"/>
        <v/>
      </c>
      <c r="AA97" s="60" t="str">
        <f t="shared" si="46"/>
        <v/>
      </c>
      <c r="AB97" s="60" t="str">
        <f t="shared" si="47"/>
        <v/>
      </c>
      <c r="AD97">
        <f>PIP!O82</f>
        <v>6</v>
      </c>
      <c r="AE97">
        <f>PIP!N82</f>
        <v>64</v>
      </c>
      <c r="AF97" s="843">
        <f>PIP!U82</f>
        <v>0</v>
      </c>
      <c r="AG97" s="843">
        <f>PIP!T82</f>
        <v>0</v>
      </c>
      <c r="AH97" s="843">
        <f>PIP!V82</f>
        <v>0</v>
      </c>
      <c r="AI97" s="843">
        <f>PIP!W82</f>
        <v>0</v>
      </c>
      <c r="AJ97" s="843">
        <f>PIP!X82</f>
        <v>0</v>
      </c>
      <c r="AK97" s="843">
        <f>PIP!Y82</f>
        <v>0</v>
      </c>
      <c r="AL97" s="843">
        <f>PIP!Z82</f>
        <v>0</v>
      </c>
    </row>
    <row r="98" spans="2:38">
      <c r="B98" s="57" t="str">
        <f t="shared" si="24"/>
        <v/>
      </c>
      <c r="C98" s="58" t="str">
        <f t="shared" si="25"/>
        <v/>
      </c>
      <c r="D98" s="28" t="str">
        <f t="shared" si="26"/>
        <v/>
      </c>
      <c r="E98" s="28" t="str">
        <f t="shared" si="27"/>
        <v/>
      </c>
      <c r="F98" s="29" t="str">
        <f t="shared" si="28"/>
        <v/>
      </c>
      <c r="G98" s="60" t="str">
        <f t="shared" si="29"/>
        <v/>
      </c>
      <c r="H98" s="60" t="str">
        <f t="shared" si="30"/>
        <v/>
      </c>
      <c r="I98" s="60" t="str">
        <f t="shared" si="31"/>
        <v/>
      </c>
      <c r="J98" s="60" t="str">
        <f t="shared" si="32"/>
        <v/>
      </c>
      <c r="K98" s="60" t="str">
        <f t="shared" si="33"/>
        <v/>
      </c>
      <c r="L98" s="60" t="str">
        <f t="shared" si="34"/>
        <v/>
      </c>
      <c r="M98" s="60" t="str">
        <f t="shared" si="35"/>
        <v/>
      </c>
      <c r="Q98" s="57" t="str">
        <f t="shared" si="36"/>
        <v/>
      </c>
      <c r="R98" s="58" t="str">
        <f t="shared" si="37"/>
        <v/>
      </c>
      <c r="S98" s="28" t="str">
        <f t="shared" si="38"/>
        <v/>
      </c>
      <c r="T98" s="28" t="str">
        <f t="shared" si="39"/>
        <v/>
      </c>
      <c r="U98" s="29" t="str">
        <f t="shared" si="40"/>
        <v/>
      </c>
      <c r="V98" s="60" t="str">
        <f t="shared" si="41"/>
        <v/>
      </c>
      <c r="W98" s="60" t="str">
        <f t="shared" si="42"/>
        <v/>
      </c>
      <c r="X98" s="60" t="str">
        <f t="shared" si="43"/>
        <v/>
      </c>
      <c r="Y98" s="60" t="str">
        <f t="shared" si="44"/>
        <v/>
      </c>
      <c r="Z98" s="60" t="str">
        <f t="shared" si="45"/>
        <v/>
      </c>
      <c r="AA98" s="60" t="str">
        <f t="shared" si="46"/>
        <v/>
      </c>
      <c r="AB98" s="60" t="str">
        <f t="shared" si="47"/>
        <v/>
      </c>
      <c r="AD98">
        <f>PIP!O83</f>
        <v>6</v>
      </c>
      <c r="AE98">
        <f>PIP!N83</f>
        <v>65</v>
      </c>
      <c r="AF98" s="843">
        <f>PIP!U83</f>
        <v>0</v>
      </c>
      <c r="AG98" s="843">
        <f>PIP!T83</f>
        <v>0</v>
      </c>
      <c r="AH98" s="843">
        <f>PIP!V83</f>
        <v>0</v>
      </c>
      <c r="AI98" s="843">
        <f>PIP!W83</f>
        <v>0</v>
      </c>
      <c r="AJ98" s="843">
        <f>PIP!X83</f>
        <v>0</v>
      </c>
      <c r="AK98" s="843">
        <f>PIP!Y83</f>
        <v>0</v>
      </c>
      <c r="AL98" s="843">
        <f>PIP!Z83</f>
        <v>0</v>
      </c>
    </row>
    <row r="99" spans="2:38">
      <c r="B99" s="57" t="str">
        <f t="shared" si="24"/>
        <v/>
      </c>
      <c r="C99" s="58" t="str">
        <f t="shared" si="25"/>
        <v/>
      </c>
      <c r="D99" s="28" t="str">
        <f t="shared" si="26"/>
        <v/>
      </c>
      <c r="E99" s="28" t="str">
        <f t="shared" si="27"/>
        <v/>
      </c>
      <c r="F99" s="29" t="str">
        <f t="shared" si="28"/>
        <v/>
      </c>
      <c r="G99" s="60" t="str">
        <f t="shared" si="29"/>
        <v/>
      </c>
      <c r="H99" s="60" t="str">
        <f t="shared" si="30"/>
        <v/>
      </c>
      <c r="I99" s="60" t="str">
        <f t="shared" si="31"/>
        <v/>
      </c>
      <c r="J99" s="60" t="str">
        <f t="shared" si="32"/>
        <v/>
      </c>
      <c r="K99" s="60" t="str">
        <f t="shared" si="33"/>
        <v/>
      </c>
      <c r="L99" s="60" t="str">
        <f t="shared" si="34"/>
        <v/>
      </c>
      <c r="M99" s="60" t="str">
        <f t="shared" si="35"/>
        <v/>
      </c>
      <c r="Q99" s="57" t="str">
        <f t="shared" si="36"/>
        <v/>
      </c>
      <c r="R99" s="58" t="str">
        <f t="shared" si="37"/>
        <v/>
      </c>
      <c r="S99" s="28" t="str">
        <f t="shared" si="38"/>
        <v/>
      </c>
      <c r="T99" s="28" t="str">
        <f t="shared" si="39"/>
        <v/>
      </c>
      <c r="U99" s="29" t="str">
        <f t="shared" si="40"/>
        <v/>
      </c>
      <c r="V99" s="60" t="str">
        <f t="shared" si="41"/>
        <v/>
      </c>
      <c r="W99" s="60" t="str">
        <f t="shared" si="42"/>
        <v/>
      </c>
      <c r="X99" s="60" t="str">
        <f t="shared" si="43"/>
        <v/>
      </c>
      <c r="Y99" s="60" t="str">
        <f t="shared" si="44"/>
        <v/>
      </c>
      <c r="Z99" s="60" t="str">
        <f t="shared" si="45"/>
        <v/>
      </c>
      <c r="AA99" s="60" t="str">
        <f t="shared" si="46"/>
        <v/>
      </c>
      <c r="AB99" s="60" t="str">
        <f t="shared" si="47"/>
        <v/>
      </c>
      <c r="AD99">
        <f>PIP!O84</f>
        <v>6</v>
      </c>
      <c r="AE99">
        <f>PIP!N84</f>
        <v>66</v>
      </c>
      <c r="AF99" s="843">
        <f>PIP!U84</f>
        <v>0</v>
      </c>
      <c r="AG99" s="843">
        <f>PIP!T84</f>
        <v>0</v>
      </c>
      <c r="AH99" s="843">
        <f>PIP!V84</f>
        <v>0</v>
      </c>
      <c r="AI99" s="843">
        <f>PIP!W84</f>
        <v>0</v>
      </c>
      <c r="AJ99" s="843">
        <f>PIP!X84</f>
        <v>0</v>
      </c>
      <c r="AK99" s="843">
        <f>PIP!Y84</f>
        <v>0</v>
      </c>
      <c r="AL99" s="843">
        <f>PIP!Z84</f>
        <v>0</v>
      </c>
    </row>
    <row r="100" spans="2:38">
      <c r="B100" s="57" t="str">
        <f t="shared" si="24"/>
        <v/>
      </c>
      <c r="C100" s="58" t="str">
        <f t="shared" si="25"/>
        <v/>
      </c>
      <c r="D100" s="28" t="str">
        <f t="shared" si="26"/>
        <v/>
      </c>
      <c r="E100" s="28" t="str">
        <f t="shared" si="27"/>
        <v/>
      </c>
      <c r="F100" s="29" t="str">
        <f t="shared" si="28"/>
        <v/>
      </c>
      <c r="G100" s="60" t="str">
        <f t="shared" si="29"/>
        <v/>
      </c>
      <c r="H100" s="60" t="str">
        <f t="shared" si="30"/>
        <v/>
      </c>
      <c r="I100" s="60" t="str">
        <f t="shared" si="31"/>
        <v/>
      </c>
      <c r="J100" s="60" t="str">
        <f t="shared" si="32"/>
        <v/>
      </c>
      <c r="K100" s="60" t="str">
        <f t="shared" si="33"/>
        <v/>
      </c>
      <c r="L100" s="60" t="str">
        <f t="shared" si="34"/>
        <v/>
      </c>
      <c r="M100" s="60" t="str">
        <f t="shared" si="35"/>
        <v/>
      </c>
      <c r="Q100" s="57" t="str">
        <f t="shared" si="36"/>
        <v/>
      </c>
      <c r="R100" s="58" t="str">
        <f t="shared" si="37"/>
        <v/>
      </c>
      <c r="S100" s="28" t="str">
        <f t="shared" si="38"/>
        <v/>
      </c>
      <c r="T100" s="28" t="str">
        <f t="shared" si="39"/>
        <v/>
      </c>
      <c r="U100" s="29" t="str">
        <f t="shared" si="40"/>
        <v/>
      </c>
      <c r="V100" s="60" t="str">
        <f t="shared" si="41"/>
        <v/>
      </c>
      <c r="W100" s="60" t="str">
        <f t="shared" si="42"/>
        <v/>
      </c>
      <c r="X100" s="60" t="str">
        <f t="shared" si="43"/>
        <v/>
      </c>
      <c r="Y100" s="60" t="str">
        <f t="shared" si="44"/>
        <v/>
      </c>
      <c r="Z100" s="60" t="str">
        <f t="shared" si="45"/>
        <v/>
      </c>
      <c r="AA100" s="60" t="str">
        <f t="shared" si="46"/>
        <v/>
      </c>
      <c r="AB100" s="60" t="str">
        <f t="shared" si="47"/>
        <v/>
      </c>
      <c r="AD100">
        <f>PIP!O85</f>
        <v>6</v>
      </c>
      <c r="AE100">
        <f>PIP!N85</f>
        <v>67</v>
      </c>
      <c r="AF100" s="843">
        <f>PIP!U85</f>
        <v>0</v>
      </c>
      <c r="AG100" s="843">
        <f>PIP!T85</f>
        <v>0</v>
      </c>
      <c r="AH100" s="843">
        <f>PIP!V85</f>
        <v>0</v>
      </c>
      <c r="AI100" s="843">
        <f>PIP!W85</f>
        <v>0</v>
      </c>
      <c r="AJ100" s="843">
        <f>PIP!X85</f>
        <v>0</v>
      </c>
      <c r="AK100" s="843">
        <f>PIP!Y85</f>
        <v>0</v>
      </c>
      <c r="AL100" s="843">
        <f>PIP!Z85</f>
        <v>0</v>
      </c>
    </row>
    <row r="101" spans="2:38">
      <c r="B101" s="57" t="str">
        <f t="shared" si="24"/>
        <v/>
      </c>
      <c r="C101" s="58" t="str">
        <f t="shared" si="25"/>
        <v/>
      </c>
      <c r="D101" s="28" t="str">
        <f t="shared" si="26"/>
        <v/>
      </c>
      <c r="E101" s="28" t="str">
        <f t="shared" si="27"/>
        <v/>
      </c>
      <c r="F101" s="29" t="str">
        <f t="shared" si="28"/>
        <v/>
      </c>
      <c r="G101" s="60" t="str">
        <f t="shared" si="29"/>
        <v/>
      </c>
      <c r="H101" s="60" t="str">
        <f t="shared" si="30"/>
        <v/>
      </c>
      <c r="I101" s="60" t="str">
        <f t="shared" si="31"/>
        <v/>
      </c>
      <c r="J101" s="60" t="str">
        <f t="shared" si="32"/>
        <v/>
      </c>
      <c r="K101" s="60" t="str">
        <f t="shared" si="33"/>
        <v/>
      </c>
      <c r="L101" s="60" t="str">
        <f t="shared" si="34"/>
        <v/>
      </c>
      <c r="M101" s="60" t="str">
        <f t="shared" si="35"/>
        <v/>
      </c>
      <c r="Q101" s="57" t="str">
        <f t="shared" si="36"/>
        <v/>
      </c>
      <c r="R101" s="58" t="str">
        <f t="shared" si="37"/>
        <v/>
      </c>
      <c r="S101" s="28" t="str">
        <f t="shared" si="38"/>
        <v/>
      </c>
      <c r="T101" s="28" t="str">
        <f t="shared" si="39"/>
        <v/>
      </c>
      <c r="U101" s="29" t="str">
        <f t="shared" si="40"/>
        <v/>
      </c>
      <c r="V101" s="60" t="str">
        <f t="shared" si="41"/>
        <v/>
      </c>
      <c r="W101" s="60" t="str">
        <f t="shared" si="42"/>
        <v/>
      </c>
      <c r="X101" s="60" t="str">
        <f t="shared" si="43"/>
        <v/>
      </c>
      <c r="Y101" s="60" t="str">
        <f t="shared" si="44"/>
        <v/>
      </c>
      <c r="Z101" s="60" t="str">
        <f t="shared" si="45"/>
        <v/>
      </c>
      <c r="AA101" s="60" t="str">
        <f t="shared" si="46"/>
        <v/>
      </c>
      <c r="AB101" s="60" t="str">
        <f t="shared" si="47"/>
        <v/>
      </c>
      <c r="AD101">
        <f>PIP!O86</f>
        <v>6</v>
      </c>
      <c r="AE101">
        <f>PIP!N86</f>
        <v>68</v>
      </c>
      <c r="AF101" s="843">
        <f>PIP!U86</f>
        <v>0</v>
      </c>
      <c r="AG101" s="843">
        <f>PIP!T86</f>
        <v>0</v>
      </c>
      <c r="AH101" s="843">
        <f>PIP!V86</f>
        <v>0</v>
      </c>
      <c r="AI101" s="843">
        <f>PIP!W86</f>
        <v>0</v>
      </c>
      <c r="AJ101" s="843">
        <f>PIP!X86</f>
        <v>0</v>
      </c>
      <c r="AK101" s="843">
        <f>PIP!Y86</f>
        <v>0</v>
      </c>
      <c r="AL101" s="843">
        <f>PIP!Z86</f>
        <v>0</v>
      </c>
    </row>
    <row r="102" spans="2:38">
      <c r="B102" s="57" t="str">
        <f t="shared" si="24"/>
        <v/>
      </c>
      <c r="C102" s="58" t="str">
        <f t="shared" si="25"/>
        <v/>
      </c>
      <c r="D102" s="28" t="str">
        <f t="shared" si="26"/>
        <v/>
      </c>
      <c r="E102" s="28" t="str">
        <f t="shared" si="27"/>
        <v/>
      </c>
      <c r="F102" s="29" t="str">
        <f t="shared" si="28"/>
        <v/>
      </c>
      <c r="G102" s="60" t="str">
        <f t="shared" si="29"/>
        <v/>
      </c>
      <c r="H102" s="60" t="str">
        <f t="shared" si="30"/>
        <v/>
      </c>
      <c r="I102" s="60" t="str">
        <f t="shared" si="31"/>
        <v/>
      </c>
      <c r="J102" s="60" t="str">
        <f t="shared" si="32"/>
        <v/>
      </c>
      <c r="K102" s="60" t="str">
        <f t="shared" si="33"/>
        <v/>
      </c>
      <c r="L102" s="60" t="str">
        <f t="shared" si="34"/>
        <v/>
      </c>
      <c r="M102" s="60" t="str">
        <f t="shared" si="35"/>
        <v/>
      </c>
      <c r="Q102" s="57" t="str">
        <f t="shared" si="36"/>
        <v/>
      </c>
      <c r="R102" s="58" t="str">
        <f t="shared" si="37"/>
        <v/>
      </c>
      <c r="S102" s="28" t="str">
        <f t="shared" si="38"/>
        <v/>
      </c>
      <c r="T102" s="28" t="str">
        <f t="shared" si="39"/>
        <v/>
      </c>
      <c r="U102" s="29" t="str">
        <f t="shared" si="40"/>
        <v/>
      </c>
      <c r="V102" s="60" t="str">
        <f t="shared" si="41"/>
        <v/>
      </c>
      <c r="W102" s="60" t="str">
        <f t="shared" si="42"/>
        <v/>
      </c>
      <c r="X102" s="60" t="str">
        <f t="shared" si="43"/>
        <v/>
      </c>
      <c r="Y102" s="60" t="str">
        <f t="shared" si="44"/>
        <v/>
      </c>
      <c r="Z102" s="60" t="str">
        <f t="shared" si="45"/>
        <v/>
      </c>
      <c r="AA102" s="60" t="str">
        <f t="shared" si="46"/>
        <v/>
      </c>
      <c r="AB102" s="60" t="str">
        <f t="shared" si="47"/>
        <v/>
      </c>
      <c r="AD102">
        <f>PIP!O87</f>
        <v>6</v>
      </c>
      <c r="AE102">
        <f>PIP!N87</f>
        <v>69</v>
      </c>
      <c r="AF102" s="843">
        <f>PIP!U87</f>
        <v>0</v>
      </c>
      <c r="AG102" s="843">
        <f>PIP!T87</f>
        <v>0</v>
      </c>
      <c r="AH102" s="843">
        <f>PIP!V87</f>
        <v>0</v>
      </c>
      <c r="AI102" s="843">
        <f>PIP!W87</f>
        <v>0</v>
      </c>
      <c r="AJ102" s="843">
        <f>PIP!X87</f>
        <v>0</v>
      </c>
      <c r="AK102" s="843">
        <f>PIP!Y87</f>
        <v>0</v>
      </c>
      <c r="AL102" s="843">
        <f>PIP!Z87</f>
        <v>0</v>
      </c>
    </row>
    <row r="103" spans="2:38">
      <c r="B103" s="57" t="str">
        <f t="shared" si="24"/>
        <v/>
      </c>
      <c r="C103" s="58" t="str">
        <f t="shared" si="25"/>
        <v/>
      </c>
      <c r="D103" s="28" t="str">
        <f t="shared" si="26"/>
        <v/>
      </c>
      <c r="E103" s="28" t="str">
        <f t="shared" si="27"/>
        <v/>
      </c>
      <c r="F103" s="29" t="str">
        <f t="shared" si="28"/>
        <v/>
      </c>
      <c r="G103" s="60" t="str">
        <f t="shared" si="29"/>
        <v/>
      </c>
      <c r="H103" s="60" t="str">
        <f t="shared" si="30"/>
        <v/>
      </c>
      <c r="I103" s="60" t="str">
        <f t="shared" si="31"/>
        <v/>
      </c>
      <c r="J103" s="60" t="str">
        <f t="shared" si="32"/>
        <v/>
      </c>
      <c r="K103" s="60" t="str">
        <f t="shared" si="33"/>
        <v/>
      </c>
      <c r="L103" s="60" t="str">
        <f t="shared" si="34"/>
        <v/>
      </c>
      <c r="M103" s="60" t="str">
        <f t="shared" si="35"/>
        <v/>
      </c>
      <c r="Q103" s="57" t="str">
        <f t="shared" si="36"/>
        <v/>
      </c>
      <c r="R103" s="58" t="str">
        <f t="shared" si="37"/>
        <v/>
      </c>
      <c r="S103" s="28" t="str">
        <f t="shared" si="38"/>
        <v/>
      </c>
      <c r="T103" s="28" t="str">
        <f t="shared" si="39"/>
        <v/>
      </c>
      <c r="U103" s="29" t="str">
        <f t="shared" si="40"/>
        <v/>
      </c>
      <c r="V103" s="60" t="str">
        <f t="shared" si="41"/>
        <v/>
      </c>
      <c r="W103" s="60" t="str">
        <f t="shared" si="42"/>
        <v/>
      </c>
      <c r="X103" s="60" t="str">
        <f t="shared" si="43"/>
        <v/>
      </c>
      <c r="Y103" s="60" t="str">
        <f t="shared" si="44"/>
        <v/>
      </c>
      <c r="Z103" s="60" t="str">
        <f t="shared" si="45"/>
        <v/>
      </c>
      <c r="AA103" s="60" t="str">
        <f t="shared" si="46"/>
        <v/>
      </c>
      <c r="AB103" s="60" t="str">
        <f t="shared" si="47"/>
        <v/>
      </c>
      <c r="AD103">
        <f>PIP!O88</f>
        <v>6</v>
      </c>
      <c r="AE103">
        <f>PIP!N88</f>
        <v>70</v>
      </c>
      <c r="AF103" s="843">
        <f>PIP!U88</f>
        <v>0</v>
      </c>
      <c r="AG103" s="843">
        <f>PIP!T88</f>
        <v>0</v>
      </c>
      <c r="AH103" s="843">
        <f>PIP!V88</f>
        <v>0</v>
      </c>
      <c r="AI103" s="843">
        <f>PIP!W88</f>
        <v>0</v>
      </c>
      <c r="AJ103" s="843">
        <f>PIP!X88</f>
        <v>0</v>
      </c>
      <c r="AK103" s="843">
        <f>PIP!Y88</f>
        <v>0</v>
      </c>
      <c r="AL103" s="843">
        <f>PIP!Z88</f>
        <v>0</v>
      </c>
    </row>
    <row r="104" spans="2:38">
      <c r="B104" s="57" t="str">
        <f t="shared" si="24"/>
        <v/>
      </c>
      <c r="C104" s="58" t="str">
        <f t="shared" si="25"/>
        <v/>
      </c>
      <c r="D104" s="28" t="str">
        <f t="shared" si="26"/>
        <v/>
      </c>
      <c r="E104" s="28" t="str">
        <f t="shared" si="27"/>
        <v/>
      </c>
      <c r="F104" s="29" t="str">
        <f t="shared" si="28"/>
        <v/>
      </c>
      <c r="G104" s="60" t="str">
        <f t="shared" si="29"/>
        <v/>
      </c>
      <c r="H104" s="60" t="str">
        <f t="shared" si="30"/>
        <v/>
      </c>
      <c r="I104" s="60" t="str">
        <f t="shared" si="31"/>
        <v/>
      </c>
      <c r="J104" s="60" t="str">
        <f t="shared" si="32"/>
        <v/>
      </c>
      <c r="K104" s="60" t="str">
        <f t="shared" si="33"/>
        <v/>
      </c>
      <c r="L104" s="60" t="str">
        <f t="shared" si="34"/>
        <v/>
      </c>
      <c r="M104" s="60" t="str">
        <f t="shared" si="35"/>
        <v/>
      </c>
      <c r="Q104" s="57" t="str">
        <f t="shared" si="36"/>
        <v/>
      </c>
      <c r="R104" s="58" t="str">
        <f t="shared" si="37"/>
        <v/>
      </c>
      <c r="S104" s="28" t="str">
        <f t="shared" si="38"/>
        <v/>
      </c>
      <c r="T104" s="28" t="str">
        <f t="shared" si="39"/>
        <v/>
      </c>
      <c r="U104" s="29" t="str">
        <f t="shared" si="40"/>
        <v/>
      </c>
      <c r="V104" s="60" t="str">
        <f t="shared" si="41"/>
        <v/>
      </c>
      <c r="W104" s="60" t="str">
        <f t="shared" si="42"/>
        <v/>
      </c>
      <c r="X104" s="60" t="str">
        <f t="shared" si="43"/>
        <v/>
      </c>
      <c r="Y104" s="60" t="str">
        <f t="shared" si="44"/>
        <v/>
      </c>
      <c r="Z104" s="60" t="str">
        <f t="shared" si="45"/>
        <v/>
      </c>
      <c r="AA104" s="60" t="str">
        <f t="shared" si="46"/>
        <v/>
      </c>
      <c r="AB104" s="60" t="str">
        <f t="shared" si="47"/>
        <v/>
      </c>
      <c r="AD104">
        <f>PIP!O89</f>
        <v>6</v>
      </c>
      <c r="AE104">
        <f>PIP!N89</f>
        <v>71</v>
      </c>
      <c r="AF104" s="843">
        <f>PIP!U89</f>
        <v>0</v>
      </c>
      <c r="AG104" s="843">
        <f>PIP!T89</f>
        <v>0</v>
      </c>
      <c r="AH104" s="843">
        <f>PIP!V89</f>
        <v>0</v>
      </c>
      <c r="AI104" s="843">
        <f>PIP!W89</f>
        <v>0</v>
      </c>
      <c r="AJ104" s="843">
        <f>PIP!X89</f>
        <v>0</v>
      </c>
      <c r="AK104" s="843">
        <f>PIP!Y89</f>
        <v>0</v>
      </c>
      <c r="AL104" s="843">
        <f>PIP!Z89</f>
        <v>0</v>
      </c>
    </row>
    <row r="105" spans="2:38">
      <c r="B105" s="57" t="str">
        <f t="shared" si="24"/>
        <v/>
      </c>
      <c r="C105" s="58" t="str">
        <f t="shared" si="25"/>
        <v/>
      </c>
      <c r="D105" s="28" t="str">
        <f t="shared" si="26"/>
        <v/>
      </c>
      <c r="E105" s="28" t="str">
        <f t="shared" si="27"/>
        <v/>
      </c>
      <c r="F105" s="29" t="str">
        <f t="shared" si="28"/>
        <v/>
      </c>
      <c r="G105" s="60" t="str">
        <f t="shared" si="29"/>
        <v/>
      </c>
      <c r="H105" s="60" t="str">
        <f t="shared" si="30"/>
        <v/>
      </c>
      <c r="I105" s="60" t="str">
        <f t="shared" si="31"/>
        <v/>
      </c>
      <c r="J105" s="60" t="str">
        <f t="shared" si="32"/>
        <v/>
      </c>
      <c r="K105" s="60" t="str">
        <f t="shared" si="33"/>
        <v/>
      </c>
      <c r="L105" s="60" t="str">
        <f t="shared" si="34"/>
        <v/>
      </c>
      <c r="M105" s="60" t="str">
        <f t="shared" si="35"/>
        <v/>
      </c>
      <c r="Q105" s="57" t="str">
        <f t="shared" si="36"/>
        <v/>
      </c>
      <c r="R105" s="58" t="str">
        <f t="shared" si="37"/>
        <v/>
      </c>
      <c r="S105" s="28" t="str">
        <f t="shared" si="38"/>
        <v/>
      </c>
      <c r="T105" s="28" t="str">
        <f t="shared" si="39"/>
        <v/>
      </c>
      <c r="U105" s="29" t="str">
        <f t="shared" si="40"/>
        <v/>
      </c>
      <c r="V105" s="60" t="str">
        <f t="shared" si="41"/>
        <v/>
      </c>
      <c r="W105" s="60" t="str">
        <f t="shared" si="42"/>
        <v/>
      </c>
      <c r="X105" s="60" t="str">
        <f t="shared" si="43"/>
        <v/>
      </c>
      <c r="Y105" s="60" t="str">
        <f t="shared" si="44"/>
        <v/>
      </c>
      <c r="Z105" s="60" t="str">
        <f t="shared" si="45"/>
        <v/>
      </c>
      <c r="AA105" s="60" t="str">
        <f t="shared" si="46"/>
        <v/>
      </c>
      <c r="AB105" s="60" t="str">
        <f t="shared" si="47"/>
        <v/>
      </c>
      <c r="AD105">
        <f>PIP!O90</f>
        <v>6</v>
      </c>
      <c r="AE105">
        <f>PIP!N90</f>
        <v>72</v>
      </c>
      <c r="AF105" s="843">
        <f>PIP!U90</f>
        <v>0</v>
      </c>
      <c r="AG105" s="843">
        <f>PIP!T90</f>
        <v>0</v>
      </c>
      <c r="AH105" s="843">
        <f>PIP!V90</f>
        <v>0</v>
      </c>
      <c r="AI105" s="843">
        <f>PIP!W90</f>
        <v>0</v>
      </c>
      <c r="AJ105" s="843">
        <f>PIP!X90</f>
        <v>0</v>
      </c>
      <c r="AK105" s="843">
        <f>PIP!Y90</f>
        <v>0</v>
      </c>
      <c r="AL105" s="843">
        <f>PIP!Z90</f>
        <v>0</v>
      </c>
    </row>
    <row r="106" spans="2:38">
      <c r="B106" s="57" t="str">
        <f t="shared" si="24"/>
        <v/>
      </c>
      <c r="C106" s="58" t="str">
        <f t="shared" si="25"/>
        <v/>
      </c>
      <c r="D106" s="28" t="str">
        <f t="shared" si="26"/>
        <v/>
      </c>
      <c r="E106" s="28" t="str">
        <f t="shared" si="27"/>
        <v/>
      </c>
      <c r="F106" s="29" t="str">
        <f t="shared" si="28"/>
        <v/>
      </c>
      <c r="G106" s="60" t="str">
        <f t="shared" si="29"/>
        <v/>
      </c>
      <c r="H106" s="60" t="str">
        <f t="shared" si="30"/>
        <v/>
      </c>
      <c r="I106" s="60" t="str">
        <f t="shared" si="31"/>
        <v/>
      </c>
      <c r="J106" s="60" t="str">
        <f t="shared" si="32"/>
        <v/>
      </c>
      <c r="K106" s="60" t="str">
        <f t="shared" si="33"/>
        <v/>
      </c>
      <c r="L106" s="60" t="str">
        <f t="shared" si="34"/>
        <v/>
      </c>
      <c r="M106" s="60" t="str">
        <f t="shared" si="35"/>
        <v/>
      </c>
      <c r="Q106" s="57" t="str">
        <f t="shared" si="36"/>
        <v/>
      </c>
      <c r="R106" s="58" t="str">
        <f t="shared" si="37"/>
        <v/>
      </c>
      <c r="S106" s="28" t="str">
        <f t="shared" si="38"/>
        <v/>
      </c>
      <c r="T106" s="28" t="str">
        <f t="shared" si="39"/>
        <v/>
      </c>
      <c r="U106" s="29" t="str">
        <f t="shared" si="40"/>
        <v/>
      </c>
      <c r="V106" s="60" t="str">
        <f t="shared" si="41"/>
        <v/>
      </c>
      <c r="W106" s="60" t="str">
        <f t="shared" si="42"/>
        <v/>
      </c>
      <c r="X106" s="60" t="str">
        <f t="shared" si="43"/>
        <v/>
      </c>
      <c r="Y106" s="60" t="str">
        <f t="shared" si="44"/>
        <v/>
      </c>
      <c r="Z106" s="60" t="str">
        <f t="shared" si="45"/>
        <v/>
      </c>
      <c r="AA106" s="60" t="str">
        <f t="shared" si="46"/>
        <v/>
      </c>
      <c r="AB106" s="60" t="str">
        <f t="shared" si="47"/>
        <v/>
      </c>
      <c r="AD106">
        <f>PIP!O91</f>
        <v>7</v>
      </c>
      <c r="AE106">
        <f>PIP!N91</f>
        <v>73</v>
      </c>
      <c r="AF106" s="843">
        <f>PIP!U91</f>
        <v>0</v>
      </c>
      <c r="AG106" s="843">
        <f>PIP!T91</f>
        <v>0</v>
      </c>
      <c r="AH106" s="843">
        <f>PIP!V91</f>
        <v>0</v>
      </c>
      <c r="AI106" s="843">
        <f>PIP!W91</f>
        <v>0</v>
      </c>
      <c r="AJ106" s="843">
        <f>PIP!X91</f>
        <v>0</v>
      </c>
      <c r="AK106" s="843">
        <f>PIP!Y91</f>
        <v>0</v>
      </c>
      <c r="AL106" s="843">
        <f>PIP!Z91</f>
        <v>0</v>
      </c>
    </row>
    <row r="107" spans="2:38">
      <c r="B107" s="57" t="str">
        <f t="shared" si="24"/>
        <v/>
      </c>
      <c r="C107" s="58" t="str">
        <f t="shared" si="25"/>
        <v/>
      </c>
      <c r="D107" s="28" t="str">
        <f t="shared" si="26"/>
        <v/>
      </c>
      <c r="E107" s="28" t="str">
        <f t="shared" si="27"/>
        <v/>
      </c>
      <c r="F107" s="29" t="str">
        <f t="shared" si="28"/>
        <v/>
      </c>
      <c r="G107" s="60" t="str">
        <f t="shared" si="29"/>
        <v/>
      </c>
      <c r="H107" s="60" t="str">
        <f t="shared" si="30"/>
        <v/>
      </c>
      <c r="I107" s="60" t="str">
        <f t="shared" si="31"/>
        <v/>
      </c>
      <c r="J107" s="60" t="str">
        <f t="shared" si="32"/>
        <v/>
      </c>
      <c r="K107" s="60" t="str">
        <f t="shared" si="33"/>
        <v/>
      </c>
      <c r="L107" s="60" t="str">
        <f t="shared" si="34"/>
        <v/>
      </c>
      <c r="M107" s="60" t="str">
        <f t="shared" si="35"/>
        <v/>
      </c>
      <c r="Q107" s="57" t="str">
        <f t="shared" si="36"/>
        <v/>
      </c>
      <c r="R107" s="58" t="str">
        <f t="shared" si="37"/>
        <v/>
      </c>
      <c r="S107" s="28" t="str">
        <f t="shared" si="38"/>
        <v/>
      </c>
      <c r="T107" s="28" t="str">
        <f t="shared" si="39"/>
        <v/>
      </c>
      <c r="U107" s="29" t="str">
        <f t="shared" si="40"/>
        <v/>
      </c>
      <c r="V107" s="60" t="str">
        <f t="shared" si="41"/>
        <v/>
      </c>
      <c r="W107" s="60" t="str">
        <f t="shared" si="42"/>
        <v/>
      </c>
      <c r="X107" s="60" t="str">
        <f t="shared" si="43"/>
        <v/>
      </c>
      <c r="Y107" s="60" t="str">
        <f t="shared" si="44"/>
        <v/>
      </c>
      <c r="Z107" s="60" t="str">
        <f t="shared" si="45"/>
        <v/>
      </c>
      <c r="AA107" s="60" t="str">
        <f t="shared" si="46"/>
        <v/>
      </c>
      <c r="AB107" s="60" t="str">
        <f t="shared" si="47"/>
        <v/>
      </c>
      <c r="AD107">
        <f>PIP!O92</f>
        <v>7</v>
      </c>
      <c r="AE107">
        <f>PIP!N92</f>
        <v>74</v>
      </c>
      <c r="AF107" s="843">
        <f>PIP!U92</f>
        <v>0</v>
      </c>
      <c r="AG107" s="843">
        <f>PIP!T92</f>
        <v>0</v>
      </c>
      <c r="AH107" s="843">
        <f>PIP!V92</f>
        <v>0</v>
      </c>
      <c r="AI107" s="843">
        <f>PIP!W92</f>
        <v>0</v>
      </c>
      <c r="AJ107" s="843">
        <f>PIP!X92</f>
        <v>0</v>
      </c>
      <c r="AK107" s="843">
        <f>PIP!Y92</f>
        <v>0</v>
      </c>
      <c r="AL107" s="843">
        <f>PIP!Z92</f>
        <v>0</v>
      </c>
    </row>
    <row r="108" spans="2:38">
      <c r="B108" s="57" t="str">
        <f t="shared" si="24"/>
        <v/>
      </c>
      <c r="C108" s="58" t="str">
        <f t="shared" si="25"/>
        <v/>
      </c>
      <c r="D108" s="28" t="str">
        <f t="shared" si="26"/>
        <v/>
      </c>
      <c r="E108" s="28" t="str">
        <f t="shared" si="27"/>
        <v/>
      </c>
      <c r="F108" s="29" t="str">
        <f t="shared" si="28"/>
        <v/>
      </c>
      <c r="G108" s="60" t="str">
        <f t="shared" si="29"/>
        <v/>
      </c>
      <c r="H108" s="60" t="str">
        <f t="shared" si="30"/>
        <v/>
      </c>
      <c r="I108" s="60" t="str">
        <f t="shared" si="31"/>
        <v/>
      </c>
      <c r="J108" s="60" t="str">
        <f t="shared" si="32"/>
        <v/>
      </c>
      <c r="K108" s="60" t="str">
        <f t="shared" si="33"/>
        <v/>
      </c>
      <c r="L108" s="60" t="str">
        <f t="shared" si="34"/>
        <v/>
      </c>
      <c r="M108" s="60" t="str">
        <f t="shared" si="35"/>
        <v/>
      </c>
      <c r="Q108" s="57" t="str">
        <f t="shared" si="36"/>
        <v/>
      </c>
      <c r="R108" s="58" t="str">
        <f t="shared" si="37"/>
        <v/>
      </c>
      <c r="S108" s="28" t="str">
        <f t="shared" si="38"/>
        <v/>
      </c>
      <c r="T108" s="28" t="str">
        <f t="shared" si="39"/>
        <v/>
      </c>
      <c r="U108" s="29" t="str">
        <f t="shared" si="40"/>
        <v/>
      </c>
      <c r="V108" s="60" t="str">
        <f t="shared" si="41"/>
        <v/>
      </c>
      <c r="W108" s="60" t="str">
        <f t="shared" si="42"/>
        <v/>
      </c>
      <c r="X108" s="60" t="str">
        <f t="shared" si="43"/>
        <v/>
      </c>
      <c r="Y108" s="60" t="str">
        <f t="shared" si="44"/>
        <v/>
      </c>
      <c r="Z108" s="60" t="str">
        <f t="shared" si="45"/>
        <v/>
      </c>
      <c r="AA108" s="60" t="str">
        <f t="shared" si="46"/>
        <v/>
      </c>
      <c r="AB108" s="60" t="str">
        <f t="shared" si="47"/>
        <v/>
      </c>
      <c r="AD108">
        <f>PIP!O93</f>
        <v>7</v>
      </c>
      <c r="AE108">
        <f>PIP!N93</f>
        <v>75</v>
      </c>
      <c r="AF108" s="843">
        <f>PIP!U93</f>
        <v>0</v>
      </c>
      <c r="AG108" s="843">
        <f>PIP!T93</f>
        <v>0</v>
      </c>
      <c r="AH108" s="843">
        <f>PIP!V93</f>
        <v>0</v>
      </c>
      <c r="AI108" s="843">
        <f>PIP!W93</f>
        <v>0</v>
      </c>
      <c r="AJ108" s="843">
        <f>PIP!X93</f>
        <v>0</v>
      </c>
      <c r="AK108" s="843">
        <f>PIP!Y93</f>
        <v>0</v>
      </c>
      <c r="AL108" s="843">
        <f>PIP!Z93</f>
        <v>0</v>
      </c>
    </row>
    <row r="109" spans="2:38">
      <c r="B109" s="57" t="str">
        <f t="shared" si="24"/>
        <v/>
      </c>
      <c r="C109" s="58" t="str">
        <f t="shared" si="25"/>
        <v/>
      </c>
      <c r="D109" s="28" t="str">
        <f t="shared" si="26"/>
        <v/>
      </c>
      <c r="E109" s="28" t="str">
        <f t="shared" si="27"/>
        <v/>
      </c>
      <c r="F109" s="29" t="str">
        <f t="shared" si="28"/>
        <v/>
      </c>
      <c r="G109" s="60" t="str">
        <f t="shared" si="29"/>
        <v/>
      </c>
      <c r="H109" s="60" t="str">
        <f t="shared" si="30"/>
        <v/>
      </c>
      <c r="I109" s="60" t="str">
        <f t="shared" si="31"/>
        <v/>
      </c>
      <c r="J109" s="60" t="str">
        <f t="shared" si="32"/>
        <v/>
      </c>
      <c r="K109" s="60" t="str">
        <f t="shared" si="33"/>
        <v/>
      </c>
      <c r="L109" s="60" t="str">
        <f t="shared" si="34"/>
        <v/>
      </c>
      <c r="M109" s="60" t="str">
        <f t="shared" si="35"/>
        <v/>
      </c>
      <c r="Q109" s="57" t="str">
        <f t="shared" si="36"/>
        <v/>
      </c>
      <c r="R109" s="58" t="str">
        <f t="shared" si="37"/>
        <v/>
      </c>
      <c r="S109" s="28" t="str">
        <f t="shared" si="38"/>
        <v/>
      </c>
      <c r="T109" s="28" t="str">
        <f t="shared" si="39"/>
        <v/>
      </c>
      <c r="U109" s="29" t="str">
        <f t="shared" si="40"/>
        <v/>
      </c>
      <c r="V109" s="60" t="str">
        <f t="shared" si="41"/>
        <v/>
      </c>
      <c r="W109" s="60" t="str">
        <f t="shared" si="42"/>
        <v/>
      </c>
      <c r="X109" s="60" t="str">
        <f t="shared" si="43"/>
        <v/>
      </c>
      <c r="Y109" s="60" t="str">
        <f t="shared" si="44"/>
        <v/>
      </c>
      <c r="Z109" s="60" t="str">
        <f t="shared" si="45"/>
        <v/>
      </c>
      <c r="AA109" s="60" t="str">
        <f t="shared" si="46"/>
        <v/>
      </c>
      <c r="AB109" s="60" t="str">
        <f t="shared" si="47"/>
        <v/>
      </c>
      <c r="AD109">
        <f>PIP!O94</f>
        <v>7</v>
      </c>
      <c r="AE109">
        <f>PIP!N94</f>
        <v>76</v>
      </c>
      <c r="AF109" s="843">
        <f>PIP!U94</f>
        <v>0</v>
      </c>
      <c r="AG109" s="843">
        <f>PIP!T94</f>
        <v>0</v>
      </c>
      <c r="AH109" s="843">
        <f>PIP!V94</f>
        <v>0</v>
      </c>
      <c r="AI109" s="843">
        <f>PIP!W94</f>
        <v>0</v>
      </c>
      <c r="AJ109" s="843">
        <f>PIP!X94</f>
        <v>0</v>
      </c>
      <c r="AK109" s="843">
        <f>PIP!Y94</f>
        <v>0</v>
      </c>
      <c r="AL109" s="843">
        <f>PIP!Z94</f>
        <v>0</v>
      </c>
    </row>
    <row r="110" spans="2:38">
      <c r="B110" s="57" t="str">
        <f t="shared" si="24"/>
        <v/>
      </c>
      <c r="C110" s="58" t="str">
        <f t="shared" si="25"/>
        <v/>
      </c>
      <c r="D110" s="28" t="str">
        <f t="shared" si="26"/>
        <v/>
      </c>
      <c r="E110" s="28" t="str">
        <f t="shared" si="27"/>
        <v/>
      </c>
      <c r="F110" s="29" t="str">
        <f t="shared" si="28"/>
        <v/>
      </c>
      <c r="G110" s="60" t="str">
        <f t="shared" si="29"/>
        <v/>
      </c>
      <c r="H110" s="60" t="str">
        <f t="shared" si="30"/>
        <v/>
      </c>
      <c r="I110" s="60" t="str">
        <f t="shared" si="31"/>
        <v/>
      </c>
      <c r="J110" s="60" t="str">
        <f t="shared" si="32"/>
        <v/>
      </c>
      <c r="K110" s="60" t="str">
        <f t="shared" si="33"/>
        <v/>
      </c>
      <c r="L110" s="60" t="str">
        <f t="shared" si="34"/>
        <v/>
      </c>
      <c r="M110" s="60" t="str">
        <f t="shared" si="35"/>
        <v/>
      </c>
      <c r="Q110" s="57" t="str">
        <f t="shared" si="36"/>
        <v/>
      </c>
      <c r="R110" s="58" t="str">
        <f t="shared" si="37"/>
        <v/>
      </c>
      <c r="S110" s="28" t="str">
        <f t="shared" si="38"/>
        <v/>
      </c>
      <c r="T110" s="28" t="str">
        <f t="shared" si="39"/>
        <v/>
      </c>
      <c r="U110" s="29" t="str">
        <f t="shared" si="40"/>
        <v/>
      </c>
      <c r="V110" s="60" t="str">
        <f t="shared" si="41"/>
        <v/>
      </c>
      <c r="W110" s="60" t="str">
        <f t="shared" si="42"/>
        <v/>
      </c>
      <c r="X110" s="60" t="str">
        <f t="shared" si="43"/>
        <v/>
      </c>
      <c r="Y110" s="60" t="str">
        <f t="shared" si="44"/>
        <v/>
      </c>
      <c r="Z110" s="60" t="str">
        <f t="shared" si="45"/>
        <v/>
      </c>
      <c r="AA110" s="60" t="str">
        <f t="shared" si="46"/>
        <v/>
      </c>
      <c r="AB110" s="60" t="str">
        <f t="shared" si="47"/>
        <v/>
      </c>
      <c r="AD110">
        <f>PIP!O95</f>
        <v>7</v>
      </c>
      <c r="AE110">
        <f>PIP!N95</f>
        <v>77</v>
      </c>
      <c r="AF110" s="843">
        <f>PIP!U95</f>
        <v>0</v>
      </c>
      <c r="AG110" s="843">
        <f>PIP!T95</f>
        <v>0</v>
      </c>
      <c r="AH110" s="843">
        <f>PIP!V95</f>
        <v>0</v>
      </c>
      <c r="AI110" s="843">
        <f>PIP!W95</f>
        <v>0</v>
      </c>
      <c r="AJ110" s="843">
        <f>PIP!X95</f>
        <v>0</v>
      </c>
      <c r="AK110" s="843">
        <f>PIP!Y95</f>
        <v>0</v>
      </c>
      <c r="AL110" s="843">
        <f>PIP!Z95</f>
        <v>0</v>
      </c>
    </row>
    <row r="111" spans="2:38">
      <c r="B111" s="57" t="str">
        <f t="shared" si="24"/>
        <v/>
      </c>
      <c r="C111" s="58" t="str">
        <f t="shared" si="25"/>
        <v/>
      </c>
      <c r="D111" s="28" t="str">
        <f t="shared" si="26"/>
        <v/>
      </c>
      <c r="E111" s="28" t="str">
        <f t="shared" si="27"/>
        <v/>
      </c>
      <c r="F111" s="29" t="str">
        <f t="shared" si="28"/>
        <v/>
      </c>
      <c r="G111" s="60" t="str">
        <f t="shared" si="29"/>
        <v/>
      </c>
      <c r="H111" s="60" t="str">
        <f t="shared" si="30"/>
        <v/>
      </c>
      <c r="I111" s="60" t="str">
        <f t="shared" si="31"/>
        <v/>
      </c>
      <c r="J111" s="60" t="str">
        <f t="shared" si="32"/>
        <v/>
      </c>
      <c r="K111" s="60" t="str">
        <f t="shared" si="33"/>
        <v/>
      </c>
      <c r="L111" s="60" t="str">
        <f t="shared" si="34"/>
        <v/>
      </c>
      <c r="M111" s="60" t="str">
        <f t="shared" si="35"/>
        <v/>
      </c>
      <c r="Q111" s="57" t="str">
        <f t="shared" si="36"/>
        <v/>
      </c>
      <c r="R111" s="58" t="str">
        <f t="shared" si="37"/>
        <v/>
      </c>
      <c r="S111" s="28" t="str">
        <f t="shared" si="38"/>
        <v/>
      </c>
      <c r="T111" s="28" t="str">
        <f t="shared" si="39"/>
        <v/>
      </c>
      <c r="U111" s="29" t="str">
        <f t="shared" si="40"/>
        <v/>
      </c>
      <c r="V111" s="60" t="str">
        <f t="shared" si="41"/>
        <v/>
      </c>
      <c r="W111" s="60" t="str">
        <f t="shared" si="42"/>
        <v/>
      </c>
      <c r="X111" s="60" t="str">
        <f t="shared" si="43"/>
        <v/>
      </c>
      <c r="Y111" s="60" t="str">
        <f t="shared" si="44"/>
        <v/>
      </c>
      <c r="Z111" s="60" t="str">
        <f t="shared" si="45"/>
        <v/>
      </c>
      <c r="AA111" s="60" t="str">
        <f t="shared" si="46"/>
        <v/>
      </c>
      <c r="AB111" s="60" t="str">
        <f t="shared" si="47"/>
        <v/>
      </c>
      <c r="AD111">
        <f>PIP!O96</f>
        <v>7</v>
      </c>
      <c r="AE111">
        <f>PIP!N96</f>
        <v>78</v>
      </c>
      <c r="AF111" s="843">
        <f>PIP!U96</f>
        <v>0</v>
      </c>
      <c r="AG111" s="843">
        <f>PIP!T96</f>
        <v>0</v>
      </c>
      <c r="AH111" s="843">
        <f>PIP!V96</f>
        <v>0</v>
      </c>
      <c r="AI111" s="843">
        <f>PIP!W96</f>
        <v>0</v>
      </c>
      <c r="AJ111" s="843">
        <f>PIP!X96</f>
        <v>0</v>
      </c>
      <c r="AK111" s="843">
        <f>PIP!Y96</f>
        <v>0</v>
      </c>
      <c r="AL111" s="843">
        <f>PIP!Z96</f>
        <v>0</v>
      </c>
    </row>
    <row r="112" spans="2:38">
      <c r="B112" s="57" t="str">
        <f t="shared" si="24"/>
        <v/>
      </c>
      <c r="C112" s="58" t="str">
        <f t="shared" si="25"/>
        <v/>
      </c>
      <c r="D112" s="28" t="str">
        <f t="shared" si="26"/>
        <v/>
      </c>
      <c r="E112" s="28" t="str">
        <f t="shared" si="27"/>
        <v/>
      </c>
      <c r="F112" s="29" t="str">
        <f t="shared" si="28"/>
        <v/>
      </c>
      <c r="G112" s="60" t="str">
        <f t="shared" si="29"/>
        <v/>
      </c>
      <c r="H112" s="60" t="str">
        <f t="shared" si="30"/>
        <v/>
      </c>
      <c r="I112" s="60" t="str">
        <f t="shared" si="31"/>
        <v/>
      </c>
      <c r="J112" s="60" t="str">
        <f t="shared" si="32"/>
        <v/>
      </c>
      <c r="K112" s="60" t="str">
        <f t="shared" si="33"/>
        <v/>
      </c>
      <c r="L112" s="60" t="str">
        <f t="shared" si="34"/>
        <v/>
      </c>
      <c r="M112" s="60" t="str">
        <f t="shared" si="35"/>
        <v/>
      </c>
      <c r="Q112" s="57" t="str">
        <f t="shared" si="36"/>
        <v/>
      </c>
      <c r="R112" s="58" t="str">
        <f t="shared" si="37"/>
        <v/>
      </c>
      <c r="S112" s="28" t="str">
        <f t="shared" si="38"/>
        <v/>
      </c>
      <c r="T112" s="28" t="str">
        <f t="shared" si="39"/>
        <v/>
      </c>
      <c r="U112" s="29" t="str">
        <f t="shared" si="40"/>
        <v/>
      </c>
      <c r="V112" s="60" t="str">
        <f t="shared" si="41"/>
        <v/>
      </c>
      <c r="W112" s="60" t="str">
        <f t="shared" si="42"/>
        <v/>
      </c>
      <c r="X112" s="60" t="str">
        <f t="shared" si="43"/>
        <v/>
      </c>
      <c r="Y112" s="60" t="str">
        <f t="shared" si="44"/>
        <v/>
      </c>
      <c r="Z112" s="60" t="str">
        <f t="shared" si="45"/>
        <v/>
      </c>
      <c r="AA112" s="60" t="str">
        <f t="shared" si="46"/>
        <v/>
      </c>
      <c r="AB112" s="60" t="str">
        <f t="shared" si="47"/>
        <v/>
      </c>
      <c r="AD112">
        <f>PIP!O97</f>
        <v>7</v>
      </c>
      <c r="AE112">
        <f>PIP!N97</f>
        <v>79</v>
      </c>
      <c r="AF112" s="843">
        <f>PIP!U97</f>
        <v>0</v>
      </c>
      <c r="AG112" s="843">
        <f>PIP!T97</f>
        <v>0</v>
      </c>
      <c r="AH112" s="843">
        <f>PIP!V97</f>
        <v>0</v>
      </c>
      <c r="AI112" s="843">
        <f>PIP!W97</f>
        <v>0</v>
      </c>
      <c r="AJ112" s="843">
        <f>PIP!X97</f>
        <v>0</v>
      </c>
      <c r="AK112" s="843">
        <f>PIP!Y97</f>
        <v>0</v>
      </c>
      <c r="AL112" s="843">
        <f>PIP!Z97</f>
        <v>0</v>
      </c>
    </row>
    <row r="113" spans="2:38">
      <c r="B113" s="57" t="str">
        <f t="shared" si="24"/>
        <v/>
      </c>
      <c r="C113" s="58" t="str">
        <f t="shared" si="25"/>
        <v/>
      </c>
      <c r="D113" s="28" t="str">
        <f t="shared" si="26"/>
        <v/>
      </c>
      <c r="E113" s="28" t="str">
        <f t="shared" si="27"/>
        <v/>
      </c>
      <c r="F113" s="29" t="str">
        <f t="shared" si="28"/>
        <v/>
      </c>
      <c r="G113" s="60" t="str">
        <f t="shared" si="29"/>
        <v/>
      </c>
      <c r="H113" s="60" t="str">
        <f t="shared" si="30"/>
        <v/>
      </c>
      <c r="I113" s="60" t="str">
        <f t="shared" si="31"/>
        <v/>
      </c>
      <c r="J113" s="60" t="str">
        <f t="shared" si="32"/>
        <v/>
      </c>
      <c r="K113" s="60" t="str">
        <f t="shared" si="33"/>
        <v/>
      </c>
      <c r="L113" s="60" t="str">
        <f t="shared" si="34"/>
        <v/>
      </c>
      <c r="M113" s="60" t="str">
        <f t="shared" si="35"/>
        <v/>
      </c>
      <c r="Q113" s="57" t="str">
        <f t="shared" si="36"/>
        <v/>
      </c>
      <c r="R113" s="58" t="str">
        <f t="shared" si="37"/>
        <v/>
      </c>
      <c r="S113" s="28" t="str">
        <f t="shared" si="38"/>
        <v/>
      </c>
      <c r="T113" s="28" t="str">
        <f t="shared" si="39"/>
        <v/>
      </c>
      <c r="U113" s="29" t="str">
        <f t="shared" si="40"/>
        <v/>
      </c>
      <c r="V113" s="60" t="str">
        <f t="shared" si="41"/>
        <v/>
      </c>
      <c r="W113" s="60" t="str">
        <f t="shared" si="42"/>
        <v/>
      </c>
      <c r="X113" s="60" t="str">
        <f t="shared" si="43"/>
        <v/>
      </c>
      <c r="Y113" s="60" t="str">
        <f t="shared" si="44"/>
        <v/>
      </c>
      <c r="Z113" s="60" t="str">
        <f t="shared" si="45"/>
        <v/>
      </c>
      <c r="AA113" s="60" t="str">
        <f t="shared" si="46"/>
        <v/>
      </c>
      <c r="AB113" s="60" t="str">
        <f t="shared" si="47"/>
        <v/>
      </c>
      <c r="AD113">
        <f>PIP!O98</f>
        <v>7</v>
      </c>
      <c r="AE113">
        <f>PIP!N98</f>
        <v>80</v>
      </c>
      <c r="AF113" s="843">
        <f>PIP!U98</f>
        <v>0</v>
      </c>
      <c r="AG113" s="843">
        <f>PIP!T98</f>
        <v>0</v>
      </c>
      <c r="AH113" s="843">
        <f>PIP!V98</f>
        <v>0</v>
      </c>
      <c r="AI113" s="843">
        <f>PIP!W98</f>
        <v>0</v>
      </c>
      <c r="AJ113" s="843">
        <f>PIP!X98</f>
        <v>0</v>
      </c>
      <c r="AK113" s="843">
        <f>PIP!Y98</f>
        <v>0</v>
      </c>
      <c r="AL113" s="843">
        <f>PIP!Z98</f>
        <v>0</v>
      </c>
    </row>
    <row r="114" spans="2:38">
      <c r="B114" s="57" t="str">
        <f t="shared" si="24"/>
        <v/>
      </c>
      <c r="C114" s="58" t="str">
        <f t="shared" si="25"/>
        <v/>
      </c>
      <c r="D114" s="28" t="str">
        <f t="shared" si="26"/>
        <v/>
      </c>
      <c r="E114" s="28" t="str">
        <f t="shared" si="27"/>
        <v/>
      </c>
      <c r="F114" s="29" t="str">
        <f t="shared" si="28"/>
        <v/>
      </c>
      <c r="G114" s="60" t="str">
        <f t="shared" si="29"/>
        <v/>
      </c>
      <c r="H114" s="60" t="str">
        <f t="shared" si="30"/>
        <v/>
      </c>
      <c r="I114" s="60" t="str">
        <f t="shared" si="31"/>
        <v/>
      </c>
      <c r="J114" s="60" t="str">
        <f t="shared" si="32"/>
        <v/>
      </c>
      <c r="K114" s="60" t="str">
        <f t="shared" si="33"/>
        <v/>
      </c>
      <c r="L114" s="60" t="str">
        <f t="shared" si="34"/>
        <v/>
      </c>
      <c r="M114" s="60" t="str">
        <f t="shared" si="35"/>
        <v/>
      </c>
      <c r="Q114" s="57" t="str">
        <f t="shared" si="36"/>
        <v/>
      </c>
      <c r="R114" s="58" t="str">
        <f t="shared" si="37"/>
        <v/>
      </c>
      <c r="S114" s="28" t="str">
        <f t="shared" si="38"/>
        <v/>
      </c>
      <c r="T114" s="28" t="str">
        <f t="shared" si="39"/>
        <v/>
      </c>
      <c r="U114" s="29" t="str">
        <f t="shared" si="40"/>
        <v/>
      </c>
      <c r="V114" s="60" t="str">
        <f t="shared" si="41"/>
        <v/>
      </c>
      <c r="W114" s="60" t="str">
        <f t="shared" si="42"/>
        <v/>
      </c>
      <c r="X114" s="60" t="str">
        <f t="shared" si="43"/>
        <v/>
      </c>
      <c r="Y114" s="60" t="str">
        <f t="shared" si="44"/>
        <v/>
      </c>
      <c r="Z114" s="60" t="str">
        <f t="shared" si="45"/>
        <v/>
      </c>
      <c r="AA114" s="60" t="str">
        <f t="shared" si="46"/>
        <v/>
      </c>
      <c r="AB114" s="60" t="str">
        <f t="shared" si="47"/>
        <v/>
      </c>
      <c r="AD114">
        <f>PIP!O99</f>
        <v>7</v>
      </c>
      <c r="AE114">
        <f>PIP!N99</f>
        <v>81</v>
      </c>
      <c r="AF114" s="843">
        <f>PIP!U99</f>
        <v>0</v>
      </c>
      <c r="AG114" s="843">
        <f>PIP!T99</f>
        <v>0</v>
      </c>
      <c r="AH114" s="843">
        <f>PIP!V99</f>
        <v>0</v>
      </c>
      <c r="AI114" s="843">
        <f>PIP!W99</f>
        <v>0</v>
      </c>
      <c r="AJ114" s="843">
        <f>PIP!X99</f>
        <v>0</v>
      </c>
      <c r="AK114" s="843">
        <f>PIP!Y99</f>
        <v>0</v>
      </c>
      <c r="AL114" s="843">
        <f>PIP!Z99</f>
        <v>0</v>
      </c>
    </row>
    <row r="115" spans="2:38">
      <c r="B115" s="57" t="str">
        <f t="shared" si="24"/>
        <v/>
      </c>
      <c r="C115" s="58" t="str">
        <f t="shared" si="25"/>
        <v/>
      </c>
      <c r="D115" s="28" t="str">
        <f t="shared" si="26"/>
        <v/>
      </c>
      <c r="E115" s="28" t="str">
        <f t="shared" si="27"/>
        <v/>
      </c>
      <c r="F115" s="29" t="str">
        <f t="shared" si="28"/>
        <v/>
      </c>
      <c r="G115" s="60" t="str">
        <f t="shared" si="29"/>
        <v/>
      </c>
      <c r="H115" s="60" t="str">
        <f t="shared" si="30"/>
        <v/>
      </c>
      <c r="I115" s="60" t="str">
        <f t="shared" si="31"/>
        <v/>
      </c>
      <c r="J115" s="60" t="str">
        <f t="shared" si="32"/>
        <v/>
      </c>
      <c r="K115" s="60" t="str">
        <f t="shared" si="33"/>
        <v/>
      </c>
      <c r="L115" s="60" t="str">
        <f t="shared" si="34"/>
        <v/>
      </c>
      <c r="M115" s="60" t="str">
        <f t="shared" si="35"/>
        <v/>
      </c>
      <c r="Q115" s="57" t="str">
        <f t="shared" si="36"/>
        <v/>
      </c>
      <c r="R115" s="58" t="str">
        <f t="shared" si="37"/>
        <v/>
      </c>
      <c r="S115" s="28" t="str">
        <f t="shared" si="38"/>
        <v/>
      </c>
      <c r="T115" s="28" t="str">
        <f t="shared" si="39"/>
        <v/>
      </c>
      <c r="U115" s="29" t="str">
        <f t="shared" si="40"/>
        <v/>
      </c>
      <c r="V115" s="60" t="str">
        <f t="shared" si="41"/>
        <v/>
      </c>
      <c r="W115" s="60" t="str">
        <f t="shared" si="42"/>
        <v/>
      </c>
      <c r="X115" s="60" t="str">
        <f t="shared" si="43"/>
        <v/>
      </c>
      <c r="Y115" s="60" t="str">
        <f t="shared" si="44"/>
        <v/>
      </c>
      <c r="Z115" s="60" t="str">
        <f t="shared" si="45"/>
        <v/>
      </c>
      <c r="AA115" s="60" t="str">
        <f t="shared" si="46"/>
        <v/>
      </c>
      <c r="AB115" s="60" t="str">
        <f t="shared" si="47"/>
        <v/>
      </c>
      <c r="AD115">
        <f>PIP!O100</f>
        <v>7</v>
      </c>
      <c r="AE115">
        <f>PIP!N100</f>
        <v>82</v>
      </c>
      <c r="AF115" s="843">
        <f>PIP!U100</f>
        <v>0</v>
      </c>
      <c r="AG115" s="843">
        <f>PIP!T100</f>
        <v>0</v>
      </c>
      <c r="AH115" s="843">
        <f>PIP!V100</f>
        <v>0</v>
      </c>
      <c r="AI115" s="843">
        <f>PIP!W100</f>
        <v>0</v>
      </c>
      <c r="AJ115" s="843">
        <f>PIP!X100</f>
        <v>0</v>
      </c>
      <c r="AK115" s="843">
        <f>PIP!Y100</f>
        <v>0</v>
      </c>
      <c r="AL115" s="843">
        <f>PIP!Z100</f>
        <v>0</v>
      </c>
    </row>
    <row r="116" spans="2:38">
      <c r="B116" s="57" t="str">
        <f t="shared" si="24"/>
        <v/>
      </c>
      <c r="C116" s="58" t="str">
        <f t="shared" si="25"/>
        <v/>
      </c>
      <c r="D116" s="28" t="str">
        <f t="shared" si="26"/>
        <v/>
      </c>
      <c r="E116" s="28" t="str">
        <f t="shared" si="27"/>
        <v/>
      </c>
      <c r="F116" s="29" t="str">
        <f t="shared" si="28"/>
        <v/>
      </c>
      <c r="G116" s="60" t="str">
        <f t="shared" si="29"/>
        <v/>
      </c>
      <c r="H116" s="60" t="str">
        <f t="shared" si="30"/>
        <v/>
      </c>
      <c r="I116" s="60" t="str">
        <f t="shared" si="31"/>
        <v/>
      </c>
      <c r="J116" s="60" t="str">
        <f t="shared" si="32"/>
        <v/>
      </c>
      <c r="K116" s="60" t="str">
        <f t="shared" si="33"/>
        <v/>
      </c>
      <c r="L116" s="60" t="str">
        <f t="shared" si="34"/>
        <v/>
      </c>
      <c r="M116" s="60" t="str">
        <f t="shared" si="35"/>
        <v/>
      </c>
      <c r="Q116" s="57" t="str">
        <f t="shared" si="36"/>
        <v/>
      </c>
      <c r="R116" s="58" t="str">
        <f t="shared" si="37"/>
        <v/>
      </c>
      <c r="S116" s="28" t="str">
        <f t="shared" si="38"/>
        <v/>
      </c>
      <c r="T116" s="28" t="str">
        <f t="shared" si="39"/>
        <v/>
      </c>
      <c r="U116" s="29" t="str">
        <f t="shared" si="40"/>
        <v/>
      </c>
      <c r="V116" s="60" t="str">
        <f t="shared" si="41"/>
        <v/>
      </c>
      <c r="W116" s="60" t="str">
        <f t="shared" si="42"/>
        <v/>
      </c>
      <c r="X116" s="60" t="str">
        <f t="shared" si="43"/>
        <v/>
      </c>
      <c r="Y116" s="60" t="str">
        <f t="shared" si="44"/>
        <v/>
      </c>
      <c r="Z116" s="60" t="str">
        <f t="shared" si="45"/>
        <v/>
      </c>
      <c r="AA116" s="60" t="str">
        <f t="shared" si="46"/>
        <v/>
      </c>
      <c r="AB116" s="60" t="str">
        <f t="shared" si="47"/>
        <v/>
      </c>
      <c r="AD116">
        <f>PIP!O101</f>
        <v>7</v>
      </c>
      <c r="AE116">
        <f>PIP!N101</f>
        <v>83</v>
      </c>
      <c r="AF116" s="843">
        <f>PIP!U101</f>
        <v>0</v>
      </c>
      <c r="AG116" s="843">
        <f>PIP!T101</f>
        <v>0</v>
      </c>
      <c r="AH116" s="843">
        <f>PIP!V101</f>
        <v>0</v>
      </c>
      <c r="AI116" s="843">
        <f>PIP!W101</f>
        <v>0</v>
      </c>
      <c r="AJ116" s="843">
        <f>PIP!X101</f>
        <v>0</v>
      </c>
      <c r="AK116" s="843">
        <f>PIP!Y101</f>
        <v>0</v>
      </c>
      <c r="AL116" s="843">
        <f>PIP!Z101</f>
        <v>0</v>
      </c>
    </row>
    <row r="117" spans="2:38">
      <c r="B117" s="57" t="str">
        <f t="shared" si="24"/>
        <v/>
      </c>
      <c r="C117" s="58" t="str">
        <f t="shared" si="25"/>
        <v/>
      </c>
      <c r="D117" s="28" t="str">
        <f t="shared" si="26"/>
        <v/>
      </c>
      <c r="E117" s="28" t="str">
        <f t="shared" si="27"/>
        <v/>
      </c>
      <c r="F117" s="29" t="str">
        <f t="shared" si="28"/>
        <v/>
      </c>
      <c r="G117" s="60" t="str">
        <f t="shared" si="29"/>
        <v/>
      </c>
      <c r="H117" s="60" t="str">
        <f t="shared" si="30"/>
        <v/>
      </c>
      <c r="I117" s="60" t="str">
        <f t="shared" si="31"/>
        <v/>
      </c>
      <c r="J117" s="60" t="str">
        <f t="shared" si="32"/>
        <v/>
      </c>
      <c r="K117" s="60" t="str">
        <f t="shared" si="33"/>
        <v/>
      </c>
      <c r="L117" s="60" t="str">
        <f t="shared" si="34"/>
        <v/>
      </c>
      <c r="M117" s="60" t="str">
        <f t="shared" si="35"/>
        <v/>
      </c>
      <c r="Q117" s="57" t="str">
        <f t="shared" si="36"/>
        <v/>
      </c>
      <c r="R117" s="58" t="str">
        <f t="shared" si="37"/>
        <v/>
      </c>
      <c r="S117" s="28" t="str">
        <f t="shared" si="38"/>
        <v/>
      </c>
      <c r="T117" s="28" t="str">
        <f t="shared" si="39"/>
        <v/>
      </c>
      <c r="U117" s="29" t="str">
        <f t="shared" si="40"/>
        <v/>
      </c>
      <c r="V117" s="60" t="str">
        <f t="shared" si="41"/>
        <v/>
      </c>
      <c r="W117" s="60" t="str">
        <f t="shared" si="42"/>
        <v/>
      </c>
      <c r="X117" s="60" t="str">
        <f t="shared" si="43"/>
        <v/>
      </c>
      <c r="Y117" s="60" t="str">
        <f t="shared" si="44"/>
        <v/>
      </c>
      <c r="Z117" s="60" t="str">
        <f t="shared" si="45"/>
        <v/>
      </c>
      <c r="AA117" s="60" t="str">
        <f t="shared" si="46"/>
        <v/>
      </c>
      <c r="AB117" s="60" t="str">
        <f t="shared" si="47"/>
        <v/>
      </c>
      <c r="AD117">
        <f>PIP!O102</f>
        <v>7</v>
      </c>
      <c r="AE117">
        <f>PIP!N102</f>
        <v>84</v>
      </c>
      <c r="AF117" s="843">
        <f>PIP!U102</f>
        <v>0</v>
      </c>
      <c r="AG117" s="843">
        <f>PIP!T102</f>
        <v>0</v>
      </c>
      <c r="AH117" s="843">
        <f>PIP!V102</f>
        <v>0</v>
      </c>
      <c r="AI117" s="843">
        <f>PIP!W102</f>
        <v>0</v>
      </c>
      <c r="AJ117" s="843">
        <f>PIP!X102</f>
        <v>0</v>
      </c>
      <c r="AK117" s="843">
        <f>PIP!Y102</f>
        <v>0</v>
      </c>
      <c r="AL117" s="843">
        <f>PIP!Z102</f>
        <v>0</v>
      </c>
    </row>
    <row r="118" spans="2:38">
      <c r="B118" s="57" t="str">
        <f t="shared" si="24"/>
        <v/>
      </c>
      <c r="C118" s="58" t="str">
        <f t="shared" si="25"/>
        <v/>
      </c>
      <c r="D118" s="28" t="str">
        <f t="shared" si="26"/>
        <v/>
      </c>
      <c r="E118" s="28" t="str">
        <f t="shared" si="27"/>
        <v/>
      </c>
      <c r="F118" s="29" t="str">
        <f t="shared" si="28"/>
        <v/>
      </c>
      <c r="G118" s="60" t="str">
        <f t="shared" si="29"/>
        <v/>
      </c>
      <c r="H118" s="60" t="str">
        <f t="shared" si="30"/>
        <v/>
      </c>
      <c r="I118" s="60" t="str">
        <f t="shared" si="31"/>
        <v/>
      </c>
      <c r="J118" s="60" t="str">
        <f t="shared" si="32"/>
        <v/>
      </c>
      <c r="K118" s="60" t="str">
        <f t="shared" si="33"/>
        <v/>
      </c>
      <c r="L118" s="60" t="str">
        <f t="shared" si="34"/>
        <v/>
      </c>
      <c r="M118" s="60" t="str">
        <f t="shared" si="35"/>
        <v/>
      </c>
      <c r="Q118" s="57" t="str">
        <f t="shared" si="36"/>
        <v/>
      </c>
      <c r="R118" s="58" t="str">
        <f t="shared" si="37"/>
        <v/>
      </c>
      <c r="S118" s="28" t="str">
        <f t="shared" si="38"/>
        <v/>
      </c>
      <c r="T118" s="28" t="str">
        <f t="shared" si="39"/>
        <v/>
      </c>
      <c r="U118" s="29" t="str">
        <f t="shared" si="40"/>
        <v/>
      </c>
      <c r="V118" s="60" t="str">
        <f t="shared" si="41"/>
        <v/>
      </c>
      <c r="W118" s="60" t="str">
        <f t="shared" si="42"/>
        <v/>
      </c>
      <c r="X118" s="60" t="str">
        <f t="shared" si="43"/>
        <v/>
      </c>
      <c r="Y118" s="60" t="str">
        <f t="shared" si="44"/>
        <v/>
      </c>
      <c r="Z118" s="60" t="str">
        <f t="shared" si="45"/>
        <v/>
      </c>
      <c r="AA118" s="60" t="str">
        <f t="shared" si="46"/>
        <v/>
      </c>
      <c r="AB118" s="60" t="str">
        <f t="shared" si="47"/>
        <v/>
      </c>
      <c r="AD118">
        <f>PIP!O103</f>
        <v>8</v>
      </c>
      <c r="AE118">
        <f>PIP!N103</f>
        <v>85</v>
      </c>
      <c r="AF118" s="843">
        <f>PIP!U103</f>
        <v>0</v>
      </c>
      <c r="AG118" s="843">
        <f>PIP!T103</f>
        <v>0</v>
      </c>
      <c r="AH118" s="843">
        <f>PIP!V103</f>
        <v>0</v>
      </c>
      <c r="AI118" s="843">
        <f>PIP!W103</f>
        <v>0</v>
      </c>
      <c r="AJ118" s="843">
        <f>PIP!X103</f>
        <v>0</v>
      </c>
      <c r="AK118" s="843">
        <f>PIP!Y103</f>
        <v>0</v>
      </c>
      <c r="AL118" s="843">
        <f>PIP!Z103</f>
        <v>0</v>
      </c>
    </row>
    <row r="119" spans="2:38">
      <c r="B119" s="57" t="str">
        <f t="shared" si="24"/>
        <v/>
      </c>
      <c r="C119" s="58" t="str">
        <f t="shared" si="25"/>
        <v/>
      </c>
      <c r="D119" s="28" t="str">
        <f t="shared" si="26"/>
        <v/>
      </c>
      <c r="E119" s="28" t="str">
        <f t="shared" si="27"/>
        <v/>
      </c>
      <c r="F119" s="29" t="str">
        <f t="shared" si="28"/>
        <v/>
      </c>
      <c r="G119" s="60" t="str">
        <f t="shared" si="29"/>
        <v/>
      </c>
      <c r="H119" s="60" t="str">
        <f t="shared" si="30"/>
        <v/>
      </c>
      <c r="I119" s="60" t="str">
        <f t="shared" si="31"/>
        <v/>
      </c>
      <c r="J119" s="60" t="str">
        <f t="shared" si="32"/>
        <v/>
      </c>
      <c r="K119" s="60" t="str">
        <f t="shared" si="33"/>
        <v/>
      </c>
      <c r="L119" s="60" t="str">
        <f t="shared" si="34"/>
        <v/>
      </c>
      <c r="M119" s="60" t="str">
        <f t="shared" si="35"/>
        <v/>
      </c>
      <c r="Q119" s="57" t="str">
        <f t="shared" si="36"/>
        <v/>
      </c>
      <c r="R119" s="58" t="str">
        <f t="shared" si="37"/>
        <v/>
      </c>
      <c r="S119" s="28" t="str">
        <f t="shared" si="38"/>
        <v/>
      </c>
      <c r="T119" s="28" t="str">
        <f t="shared" si="39"/>
        <v/>
      </c>
      <c r="U119" s="29" t="str">
        <f t="shared" si="40"/>
        <v/>
      </c>
      <c r="V119" s="60" t="str">
        <f t="shared" si="41"/>
        <v/>
      </c>
      <c r="W119" s="60" t="str">
        <f t="shared" si="42"/>
        <v/>
      </c>
      <c r="X119" s="60" t="str">
        <f t="shared" si="43"/>
        <v/>
      </c>
      <c r="Y119" s="60" t="str">
        <f t="shared" si="44"/>
        <v/>
      </c>
      <c r="Z119" s="60" t="str">
        <f t="shared" si="45"/>
        <v/>
      </c>
      <c r="AA119" s="60" t="str">
        <f t="shared" si="46"/>
        <v/>
      </c>
      <c r="AB119" s="60" t="str">
        <f t="shared" si="47"/>
        <v/>
      </c>
      <c r="AD119">
        <f>PIP!O104</f>
        <v>8</v>
      </c>
      <c r="AE119">
        <f>PIP!N104</f>
        <v>86</v>
      </c>
      <c r="AF119" s="843">
        <f>PIP!U104</f>
        <v>0</v>
      </c>
      <c r="AG119" s="843">
        <f>PIP!T104</f>
        <v>0</v>
      </c>
      <c r="AH119" s="843">
        <f>PIP!V104</f>
        <v>0</v>
      </c>
      <c r="AI119" s="843">
        <f>PIP!W104</f>
        <v>0</v>
      </c>
      <c r="AJ119" s="843">
        <f>PIP!X104</f>
        <v>0</v>
      </c>
      <c r="AK119" s="843">
        <f>PIP!Y104</f>
        <v>0</v>
      </c>
      <c r="AL119" s="843">
        <f>PIP!Z104</f>
        <v>0</v>
      </c>
    </row>
    <row r="120" spans="2:38">
      <c r="B120" s="57" t="str">
        <f t="shared" si="24"/>
        <v/>
      </c>
      <c r="C120" s="58" t="str">
        <f t="shared" si="25"/>
        <v/>
      </c>
      <c r="D120" s="28" t="str">
        <f t="shared" si="26"/>
        <v/>
      </c>
      <c r="E120" s="28" t="str">
        <f t="shared" si="27"/>
        <v/>
      </c>
      <c r="F120" s="29" t="str">
        <f t="shared" si="28"/>
        <v/>
      </c>
      <c r="G120" s="60" t="str">
        <f t="shared" si="29"/>
        <v/>
      </c>
      <c r="H120" s="60" t="str">
        <f t="shared" si="30"/>
        <v/>
      </c>
      <c r="I120" s="60" t="str">
        <f t="shared" si="31"/>
        <v/>
      </c>
      <c r="J120" s="60" t="str">
        <f t="shared" si="32"/>
        <v/>
      </c>
      <c r="K120" s="60" t="str">
        <f t="shared" si="33"/>
        <v/>
      </c>
      <c r="L120" s="60" t="str">
        <f t="shared" si="34"/>
        <v/>
      </c>
      <c r="M120" s="60" t="str">
        <f t="shared" si="35"/>
        <v/>
      </c>
      <c r="Q120" s="57" t="str">
        <f t="shared" si="36"/>
        <v/>
      </c>
      <c r="R120" s="58" t="str">
        <f t="shared" si="37"/>
        <v/>
      </c>
      <c r="S120" s="28" t="str">
        <f t="shared" si="38"/>
        <v/>
      </c>
      <c r="T120" s="28" t="str">
        <f t="shared" si="39"/>
        <v/>
      </c>
      <c r="U120" s="29" t="str">
        <f t="shared" si="40"/>
        <v/>
      </c>
      <c r="V120" s="60" t="str">
        <f t="shared" si="41"/>
        <v/>
      </c>
      <c r="W120" s="60" t="str">
        <f t="shared" si="42"/>
        <v/>
      </c>
      <c r="X120" s="60" t="str">
        <f t="shared" si="43"/>
        <v/>
      </c>
      <c r="Y120" s="60" t="str">
        <f t="shared" si="44"/>
        <v/>
      </c>
      <c r="Z120" s="60" t="str">
        <f t="shared" si="45"/>
        <v/>
      </c>
      <c r="AA120" s="60" t="str">
        <f t="shared" si="46"/>
        <v/>
      </c>
      <c r="AB120" s="60" t="str">
        <f t="shared" si="47"/>
        <v/>
      </c>
      <c r="AD120">
        <f>PIP!O105</f>
        <v>8</v>
      </c>
      <c r="AE120">
        <f>PIP!N105</f>
        <v>87</v>
      </c>
      <c r="AF120" s="843">
        <f>PIP!U105</f>
        <v>0</v>
      </c>
      <c r="AG120" s="843">
        <f>PIP!T105</f>
        <v>0</v>
      </c>
      <c r="AH120" s="843">
        <f>PIP!V105</f>
        <v>0</v>
      </c>
      <c r="AI120" s="843">
        <f>PIP!W105</f>
        <v>0</v>
      </c>
      <c r="AJ120" s="843">
        <f>PIP!X105</f>
        <v>0</v>
      </c>
      <c r="AK120" s="843">
        <f>PIP!Y105</f>
        <v>0</v>
      </c>
      <c r="AL120" s="843">
        <f>PIP!Z105</f>
        <v>0</v>
      </c>
    </row>
    <row r="121" spans="2:38">
      <c r="B121" s="57" t="str">
        <f t="shared" si="24"/>
        <v/>
      </c>
      <c r="C121" s="58" t="str">
        <f t="shared" si="25"/>
        <v/>
      </c>
      <c r="D121" s="28" t="str">
        <f t="shared" si="26"/>
        <v/>
      </c>
      <c r="E121" s="28" t="str">
        <f t="shared" si="27"/>
        <v/>
      </c>
      <c r="F121" s="29" t="str">
        <f t="shared" si="28"/>
        <v/>
      </c>
      <c r="G121" s="60" t="str">
        <f t="shared" si="29"/>
        <v/>
      </c>
      <c r="H121" s="60" t="str">
        <f t="shared" si="30"/>
        <v/>
      </c>
      <c r="I121" s="60" t="str">
        <f t="shared" si="31"/>
        <v/>
      </c>
      <c r="J121" s="60" t="str">
        <f t="shared" si="32"/>
        <v/>
      </c>
      <c r="K121" s="60" t="str">
        <f t="shared" si="33"/>
        <v/>
      </c>
      <c r="L121" s="60" t="str">
        <f t="shared" si="34"/>
        <v/>
      </c>
      <c r="M121" s="60" t="str">
        <f t="shared" si="35"/>
        <v/>
      </c>
      <c r="Q121" s="57" t="str">
        <f t="shared" si="36"/>
        <v/>
      </c>
      <c r="R121" s="58" t="str">
        <f t="shared" si="37"/>
        <v/>
      </c>
      <c r="S121" s="28" t="str">
        <f t="shared" si="38"/>
        <v/>
      </c>
      <c r="T121" s="28" t="str">
        <f t="shared" si="39"/>
        <v/>
      </c>
      <c r="U121" s="29" t="str">
        <f t="shared" si="40"/>
        <v/>
      </c>
      <c r="V121" s="60" t="str">
        <f t="shared" si="41"/>
        <v/>
      </c>
      <c r="W121" s="60" t="str">
        <f t="shared" si="42"/>
        <v/>
      </c>
      <c r="X121" s="60" t="str">
        <f t="shared" si="43"/>
        <v/>
      </c>
      <c r="Y121" s="60" t="str">
        <f t="shared" si="44"/>
        <v/>
      </c>
      <c r="Z121" s="60" t="str">
        <f t="shared" si="45"/>
        <v/>
      </c>
      <c r="AA121" s="60" t="str">
        <f t="shared" si="46"/>
        <v/>
      </c>
      <c r="AB121" s="60" t="str">
        <f t="shared" si="47"/>
        <v/>
      </c>
      <c r="AD121">
        <f>PIP!O106</f>
        <v>8</v>
      </c>
      <c r="AE121">
        <f>PIP!N106</f>
        <v>88</v>
      </c>
      <c r="AF121" s="843">
        <f>PIP!U106</f>
        <v>0</v>
      </c>
      <c r="AG121" s="843">
        <f>PIP!T106</f>
        <v>0</v>
      </c>
      <c r="AH121" s="843">
        <f>PIP!V106</f>
        <v>0</v>
      </c>
      <c r="AI121" s="843">
        <f>PIP!W106</f>
        <v>0</v>
      </c>
      <c r="AJ121" s="843">
        <f>PIP!X106</f>
        <v>0</v>
      </c>
      <c r="AK121" s="843">
        <f>PIP!Y106</f>
        <v>0</v>
      </c>
      <c r="AL121" s="843">
        <f>PIP!Z106</f>
        <v>0</v>
      </c>
    </row>
    <row r="122" spans="2:38">
      <c r="B122" s="57" t="str">
        <f t="shared" si="24"/>
        <v/>
      </c>
      <c r="C122" s="58" t="str">
        <f t="shared" si="25"/>
        <v/>
      </c>
      <c r="D122" s="28" t="str">
        <f t="shared" si="26"/>
        <v/>
      </c>
      <c r="E122" s="28" t="str">
        <f t="shared" si="27"/>
        <v/>
      </c>
      <c r="F122" s="29" t="str">
        <f t="shared" si="28"/>
        <v/>
      </c>
      <c r="G122" s="60" t="str">
        <f t="shared" si="29"/>
        <v/>
      </c>
      <c r="H122" s="60" t="str">
        <f t="shared" si="30"/>
        <v/>
      </c>
      <c r="I122" s="60" t="str">
        <f t="shared" si="31"/>
        <v/>
      </c>
      <c r="J122" s="60" t="str">
        <f t="shared" si="32"/>
        <v/>
      </c>
      <c r="K122" s="60" t="str">
        <f t="shared" si="33"/>
        <v/>
      </c>
      <c r="L122" s="60" t="str">
        <f t="shared" si="34"/>
        <v/>
      </c>
      <c r="M122" s="60" t="str">
        <f t="shared" si="35"/>
        <v/>
      </c>
      <c r="Q122" s="57" t="str">
        <f t="shared" si="36"/>
        <v/>
      </c>
      <c r="R122" s="58" t="str">
        <f t="shared" si="37"/>
        <v/>
      </c>
      <c r="S122" s="28" t="str">
        <f t="shared" si="38"/>
        <v/>
      </c>
      <c r="T122" s="28" t="str">
        <f t="shared" si="39"/>
        <v/>
      </c>
      <c r="U122" s="29" t="str">
        <f t="shared" si="40"/>
        <v/>
      </c>
      <c r="V122" s="60" t="str">
        <f t="shared" si="41"/>
        <v/>
      </c>
      <c r="W122" s="60" t="str">
        <f t="shared" si="42"/>
        <v/>
      </c>
      <c r="X122" s="60" t="str">
        <f t="shared" si="43"/>
        <v/>
      </c>
      <c r="Y122" s="60" t="str">
        <f t="shared" si="44"/>
        <v/>
      </c>
      <c r="Z122" s="60" t="str">
        <f t="shared" si="45"/>
        <v/>
      </c>
      <c r="AA122" s="60" t="str">
        <f t="shared" si="46"/>
        <v/>
      </c>
      <c r="AB122" s="60" t="str">
        <f t="shared" si="47"/>
        <v/>
      </c>
      <c r="AD122">
        <f>PIP!O107</f>
        <v>8</v>
      </c>
      <c r="AE122">
        <f>PIP!N107</f>
        <v>89</v>
      </c>
      <c r="AF122" s="843">
        <f>PIP!U107</f>
        <v>0</v>
      </c>
      <c r="AG122" s="843">
        <f>PIP!T107</f>
        <v>0</v>
      </c>
      <c r="AH122" s="843">
        <f>PIP!V107</f>
        <v>0</v>
      </c>
      <c r="AI122" s="843">
        <f>PIP!W107</f>
        <v>0</v>
      </c>
      <c r="AJ122" s="843">
        <f>PIP!X107</f>
        <v>0</v>
      </c>
      <c r="AK122" s="843">
        <f>PIP!Y107</f>
        <v>0</v>
      </c>
      <c r="AL122" s="843">
        <f>PIP!Z107</f>
        <v>0</v>
      </c>
    </row>
    <row r="123" spans="2:38">
      <c r="B123" s="57" t="str">
        <f t="shared" si="24"/>
        <v/>
      </c>
      <c r="C123" s="58" t="str">
        <f t="shared" si="25"/>
        <v/>
      </c>
      <c r="D123" s="28" t="str">
        <f t="shared" si="26"/>
        <v/>
      </c>
      <c r="E123" s="28" t="str">
        <f t="shared" si="27"/>
        <v/>
      </c>
      <c r="F123" s="29" t="str">
        <f t="shared" si="28"/>
        <v/>
      </c>
      <c r="G123" s="60" t="str">
        <f t="shared" si="29"/>
        <v/>
      </c>
      <c r="H123" s="60" t="str">
        <f t="shared" si="30"/>
        <v/>
      </c>
      <c r="I123" s="60" t="str">
        <f t="shared" si="31"/>
        <v/>
      </c>
      <c r="J123" s="60" t="str">
        <f t="shared" si="32"/>
        <v/>
      </c>
      <c r="K123" s="60" t="str">
        <f t="shared" si="33"/>
        <v/>
      </c>
      <c r="L123" s="60" t="str">
        <f t="shared" si="34"/>
        <v/>
      </c>
      <c r="M123" s="60" t="str">
        <f t="shared" si="35"/>
        <v/>
      </c>
      <c r="Q123" s="57" t="str">
        <f t="shared" si="36"/>
        <v/>
      </c>
      <c r="R123" s="58" t="str">
        <f t="shared" si="37"/>
        <v/>
      </c>
      <c r="S123" s="28" t="str">
        <f t="shared" si="38"/>
        <v/>
      </c>
      <c r="T123" s="28" t="str">
        <f t="shared" si="39"/>
        <v/>
      </c>
      <c r="U123" s="29" t="str">
        <f t="shared" si="40"/>
        <v/>
      </c>
      <c r="V123" s="60" t="str">
        <f t="shared" si="41"/>
        <v/>
      </c>
      <c r="W123" s="60" t="str">
        <f t="shared" si="42"/>
        <v/>
      </c>
      <c r="X123" s="60" t="str">
        <f t="shared" si="43"/>
        <v/>
      </c>
      <c r="Y123" s="60" t="str">
        <f t="shared" si="44"/>
        <v/>
      </c>
      <c r="Z123" s="60" t="str">
        <f t="shared" si="45"/>
        <v/>
      </c>
      <c r="AA123" s="60" t="str">
        <f t="shared" si="46"/>
        <v/>
      </c>
      <c r="AB123" s="60" t="str">
        <f t="shared" si="47"/>
        <v/>
      </c>
      <c r="AD123">
        <f>PIP!O108</f>
        <v>8</v>
      </c>
      <c r="AE123">
        <f>PIP!N108</f>
        <v>90</v>
      </c>
      <c r="AF123" s="843">
        <f>PIP!U108</f>
        <v>0</v>
      </c>
      <c r="AG123" s="843">
        <f>PIP!T108</f>
        <v>0</v>
      </c>
      <c r="AH123" s="843">
        <f>PIP!V108</f>
        <v>0</v>
      </c>
      <c r="AI123" s="843">
        <f>PIP!W108</f>
        <v>0</v>
      </c>
      <c r="AJ123" s="843">
        <f>PIP!X108</f>
        <v>0</v>
      </c>
      <c r="AK123" s="843">
        <f>PIP!Y108</f>
        <v>0</v>
      </c>
      <c r="AL123" s="843">
        <f>PIP!Z108</f>
        <v>0</v>
      </c>
    </row>
    <row r="124" spans="2:38">
      <c r="B124" s="57" t="str">
        <f t="shared" si="24"/>
        <v/>
      </c>
      <c r="C124" s="58" t="str">
        <f t="shared" si="25"/>
        <v/>
      </c>
      <c r="D124" s="28" t="str">
        <f t="shared" si="26"/>
        <v/>
      </c>
      <c r="E124" s="28" t="str">
        <f t="shared" si="27"/>
        <v/>
      </c>
      <c r="F124" s="29" t="str">
        <f t="shared" si="28"/>
        <v/>
      </c>
      <c r="G124" s="60" t="str">
        <f t="shared" si="29"/>
        <v/>
      </c>
      <c r="H124" s="60" t="str">
        <f t="shared" si="30"/>
        <v/>
      </c>
      <c r="I124" s="60" t="str">
        <f t="shared" si="31"/>
        <v/>
      </c>
      <c r="J124" s="60" t="str">
        <f t="shared" si="32"/>
        <v/>
      </c>
      <c r="K124" s="60" t="str">
        <f t="shared" si="33"/>
        <v/>
      </c>
      <c r="L124" s="60" t="str">
        <f t="shared" si="34"/>
        <v/>
      </c>
      <c r="M124" s="60" t="str">
        <f t="shared" si="35"/>
        <v/>
      </c>
      <c r="Q124" s="57" t="str">
        <f t="shared" si="36"/>
        <v/>
      </c>
      <c r="R124" s="58" t="str">
        <f t="shared" si="37"/>
        <v/>
      </c>
      <c r="S124" s="28" t="str">
        <f t="shared" si="38"/>
        <v/>
      </c>
      <c r="T124" s="28" t="str">
        <f t="shared" si="39"/>
        <v/>
      </c>
      <c r="U124" s="29" t="str">
        <f t="shared" si="40"/>
        <v/>
      </c>
      <c r="V124" s="60" t="str">
        <f t="shared" si="41"/>
        <v/>
      </c>
      <c r="W124" s="60" t="str">
        <f t="shared" si="42"/>
        <v/>
      </c>
      <c r="X124" s="60" t="str">
        <f t="shared" si="43"/>
        <v/>
      </c>
      <c r="Y124" s="60" t="str">
        <f t="shared" si="44"/>
        <v/>
      </c>
      <c r="Z124" s="60" t="str">
        <f t="shared" si="45"/>
        <v/>
      </c>
      <c r="AA124" s="60" t="str">
        <f t="shared" si="46"/>
        <v/>
      </c>
      <c r="AB124" s="60" t="str">
        <f t="shared" si="47"/>
        <v/>
      </c>
      <c r="AD124">
        <f>PIP!O109</f>
        <v>8</v>
      </c>
      <c r="AE124">
        <f>PIP!N109</f>
        <v>91</v>
      </c>
      <c r="AF124" s="843">
        <f>PIP!U109</f>
        <v>0</v>
      </c>
      <c r="AG124" s="843">
        <f>PIP!T109</f>
        <v>0</v>
      </c>
      <c r="AH124" s="843">
        <f>PIP!V109</f>
        <v>0</v>
      </c>
      <c r="AI124" s="843">
        <f>PIP!W109</f>
        <v>0</v>
      </c>
      <c r="AJ124" s="843">
        <f>PIP!X109</f>
        <v>0</v>
      </c>
      <c r="AK124" s="843">
        <f>PIP!Y109</f>
        <v>0</v>
      </c>
      <c r="AL124" s="843">
        <f>PIP!Z109</f>
        <v>0</v>
      </c>
    </row>
    <row r="125" spans="2:38">
      <c r="B125" s="57" t="str">
        <f t="shared" si="24"/>
        <v/>
      </c>
      <c r="C125" s="58" t="str">
        <f t="shared" si="25"/>
        <v/>
      </c>
      <c r="D125" s="28" t="str">
        <f t="shared" si="26"/>
        <v/>
      </c>
      <c r="E125" s="28" t="str">
        <f t="shared" si="27"/>
        <v/>
      </c>
      <c r="F125" s="29" t="str">
        <f t="shared" si="28"/>
        <v/>
      </c>
      <c r="G125" s="60" t="str">
        <f t="shared" si="29"/>
        <v/>
      </c>
      <c r="H125" s="60" t="str">
        <f t="shared" si="30"/>
        <v/>
      </c>
      <c r="I125" s="60" t="str">
        <f t="shared" si="31"/>
        <v/>
      </c>
      <c r="J125" s="60" t="str">
        <f t="shared" si="32"/>
        <v/>
      </c>
      <c r="K125" s="60" t="str">
        <f t="shared" si="33"/>
        <v/>
      </c>
      <c r="L125" s="60" t="str">
        <f t="shared" si="34"/>
        <v/>
      </c>
      <c r="M125" s="60" t="str">
        <f t="shared" si="35"/>
        <v/>
      </c>
      <c r="Q125" s="57" t="str">
        <f t="shared" si="36"/>
        <v/>
      </c>
      <c r="R125" s="58" t="str">
        <f t="shared" si="37"/>
        <v/>
      </c>
      <c r="S125" s="28" t="str">
        <f t="shared" si="38"/>
        <v/>
      </c>
      <c r="T125" s="28" t="str">
        <f t="shared" si="39"/>
        <v/>
      </c>
      <c r="U125" s="29" t="str">
        <f t="shared" si="40"/>
        <v/>
      </c>
      <c r="V125" s="60" t="str">
        <f t="shared" si="41"/>
        <v/>
      </c>
      <c r="W125" s="60" t="str">
        <f t="shared" si="42"/>
        <v/>
      </c>
      <c r="X125" s="60" t="str">
        <f t="shared" si="43"/>
        <v/>
      </c>
      <c r="Y125" s="60" t="str">
        <f t="shared" si="44"/>
        <v/>
      </c>
      <c r="Z125" s="60" t="str">
        <f t="shared" si="45"/>
        <v/>
      </c>
      <c r="AA125" s="60" t="str">
        <f t="shared" si="46"/>
        <v/>
      </c>
      <c r="AB125" s="60" t="str">
        <f t="shared" si="47"/>
        <v/>
      </c>
      <c r="AD125">
        <f>PIP!O110</f>
        <v>8</v>
      </c>
      <c r="AE125">
        <f>PIP!N110</f>
        <v>92</v>
      </c>
      <c r="AF125" s="843">
        <f>PIP!U110</f>
        <v>0</v>
      </c>
      <c r="AG125" s="843">
        <f>PIP!T110</f>
        <v>0</v>
      </c>
      <c r="AH125" s="843">
        <f>PIP!V110</f>
        <v>0</v>
      </c>
      <c r="AI125" s="843">
        <f>PIP!W110</f>
        <v>0</v>
      </c>
      <c r="AJ125" s="843">
        <f>PIP!X110</f>
        <v>0</v>
      </c>
      <c r="AK125" s="843">
        <f>PIP!Y110</f>
        <v>0</v>
      </c>
      <c r="AL125" s="843">
        <f>PIP!Z110</f>
        <v>0</v>
      </c>
    </row>
    <row r="126" spans="2:38">
      <c r="B126" s="57" t="str">
        <f t="shared" si="24"/>
        <v/>
      </c>
      <c r="C126" s="58" t="str">
        <f t="shared" si="25"/>
        <v/>
      </c>
      <c r="D126" s="28" t="str">
        <f t="shared" si="26"/>
        <v/>
      </c>
      <c r="E126" s="28" t="str">
        <f t="shared" si="27"/>
        <v/>
      </c>
      <c r="F126" s="29" t="str">
        <f t="shared" si="28"/>
        <v/>
      </c>
      <c r="G126" s="60" t="str">
        <f t="shared" si="29"/>
        <v/>
      </c>
      <c r="H126" s="60" t="str">
        <f t="shared" si="30"/>
        <v/>
      </c>
      <c r="I126" s="60" t="str">
        <f t="shared" si="31"/>
        <v/>
      </c>
      <c r="J126" s="60" t="str">
        <f t="shared" si="32"/>
        <v/>
      </c>
      <c r="K126" s="60" t="str">
        <f t="shared" si="33"/>
        <v/>
      </c>
      <c r="L126" s="60" t="str">
        <f t="shared" si="34"/>
        <v/>
      </c>
      <c r="M126" s="60" t="str">
        <f t="shared" si="35"/>
        <v/>
      </c>
      <c r="Q126" s="57" t="str">
        <f t="shared" si="36"/>
        <v/>
      </c>
      <c r="R126" s="58" t="str">
        <f t="shared" si="37"/>
        <v/>
      </c>
      <c r="S126" s="28" t="str">
        <f t="shared" si="38"/>
        <v/>
      </c>
      <c r="T126" s="28" t="str">
        <f t="shared" si="39"/>
        <v/>
      </c>
      <c r="U126" s="29" t="str">
        <f t="shared" si="40"/>
        <v/>
      </c>
      <c r="V126" s="60" t="str">
        <f t="shared" si="41"/>
        <v/>
      </c>
      <c r="W126" s="60" t="str">
        <f t="shared" si="42"/>
        <v/>
      </c>
      <c r="X126" s="60" t="str">
        <f t="shared" si="43"/>
        <v/>
      </c>
      <c r="Y126" s="60" t="str">
        <f t="shared" si="44"/>
        <v/>
      </c>
      <c r="Z126" s="60" t="str">
        <f t="shared" si="45"/>
        <v/>
      </c>
      <c r="AA126" s="60" t="str">
        <f t="shared" si="46"/>
        <v/>
      </c>
      <c r="AB126" s="60" t="str">
        <f t="shared" si="47"/>
        <v/>
      </c>
      <c r="AD126">
        <f>PIP!O111</f>
        <v>8</v>
      </c>
      <c r="AE126">
        <f>PIP!N111</f>
        <v>93</v>
      </c>
      <c r="AF126" s="843">
        <f>PIP!U111</f>
        <v>0</v>
      </c>
      <c r="AG126" s="843">
        <f>PIP!T111</f>
        <v>0</v>
      </c>
      <c r="AH126" s="843">
        <f>PIP!V111</f>
        <v>0</v>
      </c>
      <c r="AI126" s="843">
        <f>PIP!W111</f>
        <v>0</v>
      </c>
      <c r="AJ126" s="843">
        <f>PIP!X111</f>
        <v>0</v>
      </c>
      <c r="AK126" s="843">
        <f>PIP!Y111</f>
        <v>0</v>
      </c>
      <c r="AL126" s="843">
        <f>PIP!Z111</f>
        <v>0</v>
      </c>
    </row>
    <row r="127" spans="2:38">
      <c r="B127" s="57" t="str">
        <f t="shared" si="24"/>
        <v/>
      </c>
      <c r="C127" s="58" t="str">
        <f t="shared" si="25"/>
        <v/>
      </c>
      <c r="D127" s="28" t="str">
        <f t="shared" si="26"/>
        <v/>
      </c>
      <c r="E127" s="28" t="str">
        <f t="shared" si="27"/>
        <v/>
      </c>
      <c r="F127" s="29" t="str">
        <f t="shared" si="28"/>
        <v/>
      </c>
      <c r="G127" s="60" t="str">
        <f t="shared" si="29"/>
        <v/>
      </c>
      <c r="H127" s="60" t="str">
        <f t="shared" si="30"/>
        <v/>
      </c>
      <c r="I127" s="60" t="str">
        <f t="shared" si="31"/>
        <v/>
      </c>
      <c r="J127" s="60" t="str">
        <f t="shared" si="32"/>
        <v/>
      </c>
      <c r="K127" s="60" t="str">
        <f t="shared" si="33"/>
        <v/>
      </c>
      <c r="L127" s="60" t="str">
        <f t="shared" si="34"/>
        <v/>
      </c>
      <c r="M127" s="60" t="str">
        <f t="shared" si="35"/>
        <v/>
      </c>
      <c r="Q127" s="57" t="str">
        <f t="shared" si="36"/>
        <v/>
      </c>
      <c r="R127" s="58" t="str">
        <f t="shared" si="37"/>
        <v/>
      </c>
      <c r="S127" s="28" t="str">
        <f t="shared" si="38"/>
        <v/>
      </c>
      <c r="T127" s="28" t="str">
        <f t="shared" si="39"/>
        <v/>
      </c>
      <c r="U127" s="29" t="str">
        <f t="shared" si="40"/>
        <v/>
      </c>
      <c r="V127" s="60" t="str">
        <f t="shared" si="41"/>
        <v/>
      </c>
      <c r="W127" s="60" t="str">
        <f t="shared" si="42"/>
        <v/>
      </c>
      <c r="X127" s="60" t="str">
        <f t="shared" si="43"/>
        <v/>
      </c>
      <c r="Y127" s="60" t="str">
        <f t="shared" si="44"/>
        <v/>
      </c>
      <c r="Z127" s="60" t="str">
        <f t="shared" si="45"/>
        <v/>
      </c>
      <c r="AA127" s="60" t="str">
        <f t="shared" si="46"/>
        <v/>
      </c>
      <c r="AB127" s="60" t="str">
        <f t="shared" si="47"/>
        <v/>
      </c>
      <c r="AD127">
        <f>PIP!O112</f>
        <v>8</v>
      </c>
      <c r="AE127">
        <f>PIP!N112</f>
        <v>94</v>
      </c>
      <c r="AF127" s="843">
        <f>PIP!U112</f>
        <v>0</v>
      </c>
      <c r="AG127" s="843">
        <f>PIP!T112</f>
        <v>0</v>
      </c>
      <c r="AH127" s="843">
        <f>PIP!V112</f>
        <v>0</v>
      </c>
      <c r="AI127" s="843">
        <f>PIP!W112</f>
        <v>0</v>
      </c>
      <c r="AJ127" s="843">
        <f>PIP!X112</f>
        <v>0</v>
      </c>
      <c r="AK127" s="843">
        <f>PIP!Y112</f>
        <v>0</v>
      </c>
      <c r="AL127" s="843">
        <f>PIP!Z112</f>
        <v>0</v>
      </c>
    </row>
    <row r="128" spans="2:38">
      <c r="B128" s="57" t="str">
        <f t="shared" si="24"/>
        <v/>
      </c>
      <c r="C128" s="58" t="str">
        <f t="shared" si="25"/>
        <v/>
      </c>
      <c r="D128" s="28" t="str">
        <f t="shared" si="26"/>
        <v/>
      </c>
      <c r="E128" s="28" t="str">
        <f t="shared" si="27"/>
        <v/>
      </c>
      <c r="F128" s="29" t="str">
        <f t="shared" si="28"/>
        <v/>
      </c>
      <c r="G128" s="60" t="str">
        <f t="shared" si="29"/>
        <v/>
      </c>
      <c r="H128" s="60" t="str">
        <f t="shared" si="30"/>
        <v/>
      </c>
      <c r="I128" s="60" t="str">
        <f t="shared" si="31"/>
        <v/>
      </c>
      <c r="J128" s="60" t="str">
        <f t="shared" si="32"/>
        <v/>
      </c>
      <c r="K128" s="60" t="str">
        <f t="shared" si="33"/>
        <v/>
      </c>
      <c r="L128" s="60" t="str">
        <f t="shared" si="34"/>
        <v/>
      </c>
      <c r="M128" s="60" t="str">
        <f t="shared" si="35"/>
        <v/>
      </c>
      <c r="Q128" s="57" t="str">
        <f t="shared" si="36"/>
        <v/>
      </c>
      <c r="R128" s="58" t="str">
        <f t="shared" si="37"/>
        <v/>
      </c>
      <c r="S128" s="28" t="str">
        <f t="shared" si="38"/>
        <v/>
      </c>
      <c r="T128" s="28" t="str">
        <f t="shared" si="39"/>
        <v/>
      </c>
      <c r="U128" s="29" t="str">
        <f t="shared" si="40"/>
        <v/>
      </c>
      <c r="V128" s="60" t="str">
        <f t="shared" si="41"/>
        <v/>
      </c>
      <c r="W128" s="60" t="str">
        <f t="shared" si="42"/>
        <v/>
      </c>
      <c r="X128" s="60" t="str">
        <f t="shared" si="43"/>
        <v/>
      </c>
      <c r="Y128" s="60" t="str">
        <f t="shared" si="44"/>
        <v/>
      </c>
      <c r="Z128" s="60" t="str">
        <f t="shared" si="45"/>
        <v/>
      </c>
      <c r="AA128" s="60" t="str">
        <f t="shared" si="46"/>
        <v/>
      </c>
      <c r="AB128" s="60" t="str">
        <f t="shared" si="47"/>
        <v/>
      </c>
      <c r="AD128">
        <f>PIP!O113</f>
        <v>8</v>
      </c>
      <c r="AE128">
        <f>PIP!N113</f>
        <v>95</v>
      </c>
      <c r="AF128" s="843">
        <f>PIP!U113</f>
        <v>0</v>
      </c>
      <c r="AG128" s="843">
        <f>PIP!T113</f>
        <v>0</v>
      </c>
      <c r="AH128" s="843">
        <f>PIP!V113</f>
        <v>0</v>
      </c>
      <c r="AI128" s="843">
        <f>PIP!W113</f>
        <v>0</v>
      </c>
      <c r="AJ128" s="843">
        <f>PIP!X113</f>
        <v>0</v>
      </c>
      <c r="AK128" s="843">
        <f>PIP!Y113</f>
        <v>0</v>
      </c>
      <c r="AL128" s="843">
        <f>PIP!Z113</f>
        <v>0</v>
      </c>
    </row>
    <row r="129" spans="2:38">
      <c r="B129" s="57" t="str">
        <f t="shared" si="24"/>
        <v/>
      </c>
      <c r="C129" s="58" t="str">
        <f t="shared" si="25"/>
        <v/>
      </c>
      <c r="D129" s="28" t="str">
        <f t="shared" si="26"/>
        <v/>
      </c>
      <c r="E129" s="28" t="str">
        <f t="shared" si="27"/>
        <v/>
      </c>
      <c r="F129" s="29" t="str">
        <f t="shared" si="28"/>
        <v/>
      </c>
      <c r="G129" s="60" t="str">
        <f t="shared" si="29"/>
        <v/>
      </c>
      <c r="H129" s="60" t="str">
        <f t="shared" si="30"/>
        <v/>
      </c>
      <c r="I129" s="60" t="str">
        <f t="shared" si="31"/>
        <v/>
      </c>
      <c r="J129" s="60" t="str">
        <f t="shared" si="32"/>
        <v/>
      </c>
      <c r="K129" s="60" t="str">
        <f t="shared" si="33"/>
        <v/>
      </c>
      <c r="L129" s="60" t="str">
        <f t="shared" si="34"/>
        <v/>
      </c>
      <c r="M129" s="60" t="str">
        <f t="shared" si="35"/>
        <v/>
      </c>
      <c r="Q129" s="57" t="str">
        <f t="shared" si="36"/>
        <v/>
      </c>
      <c r="R129" s="58" t="str">
        <f t="shared" si="37"/>
        <v/>
      </c>
      <c r="S129" s="28" t="str">
        <f t="shared" si="38"/>
        <v/>
      </c>
      <c r="T129" s="28" t="str">
        <f t="shared" si="39"/>
        <v/>
      </c>
      <c r="U129" s="29" t="str">
        <f t="shared" si="40"/>
        <v/>
      </c>
      <c r="V129" s="60" t="str">
        <f t="shared" si="41"/>
        <v/>
      </c>
      <c r="W129" s="60" t="str">
        <f t="shared" si="42"/>
        <v/>
      </c>
      <c r="X129" s="60" t="str">
        <f t="shared" si="43"/>
        <v/>
      </c>
      <c r="Y129" s="60" t="str">
        <f t="shared" si="44"/>
        <v/>
      </c>
      <c r="Z129" s="60" t="str">
        <f t="shared" si="45"/>
        <v/>
      </c>
      <c r="AA129" s="60" t="str">
        <f t="shared" si="46"/>
        <v/>
      </c>
      <c r="AB129" s="60" t="str">
        <f t="shared" si="47"/>
        <v/>
      </c>
      <c r="AD129">
        <f>PIP!O114</f>
        <v>8</v>
      </c>
      <c r="AE129">
        <f>PIP!N114</f>
        <v>96</v>
      </c>
      <c r="AF129" s="843">
        <f>PIP!U114</f>
        <v>0</v>
      </c>
      <c r="AG129" s="843">
        <f>PIP!T114</f>
        <v>0</v>
      </c>
      <c r="AH129" s="843">
        <f>PIP!V114</f>
        <v>0</v>
      </c>
      <c r="AI129" s="843">
        <f>PIP!W114</f>
        <v>0</v>
      </c>
      <c r="AJ129" s="843">
        <f>PIP!X114</f>
        <v>0</v>
      </c>
      <c r="AK129" s="843">
        <f>PIP!Y114</f>
        <v>0</v>
      </c>
      <c r="AL129" s="843">
        <f>PIP!Z114</f>
        <v>0</v>
      </c>
    </row>
    <row r="130" spans="2:38">
      <c r="B130" s="57" t="str">
        <f t="shared" si="24"/>
        <v/>
      </c>
      <c r="C130" s="58" t="str">
        <f t="shared" si="25"/>
        <v/>
      </c>
      <c r="D130" s="28" t="str">
        <f t="shared" si="26"/>
        <v/>
      </c>
      <c r="E130" s="28" t="str">
        <f t="shared" si="27"/>
        <v/>
      </c>
      <c r="F130" s="29" t="str">
        <f t="shared" si="28"/>
        <v/>
      </c>
      <c r="G130" s="60" t="str">
        <f t="shared" si="29"/>
        <v/>
      </c>
      <c r="H130" s="60" t="str">
        <f t="shared" si="30"/>
        <v/>
      </c>
      <c r="I130" s="60" t="str">
        <f t="shared" si="31"/>
        <v/>
      </c>
      <c r="J130" s="60" t="str">
        <f t="shared" si="32"/>
        <v/>
      </c>
      <c r="K130" s="60" t="str">
        <f t="shared" si="33"/>
        <v/>
      </c>
      <c r="L130" s="60" t="str">
        <f t="shared" si="34"/>
        <v/>
      </c>
      <c r="M130" s="60" t="str">
        <f t="shared" si="35"/>
        <v/>
      </c>
      <c r="Q130" s="57" t="str">
        <f t="shared" si="36"/>
        <v/>
      </c>
      <c r="R130" s="58" t="str">
        <f t="shared" si="37"/>
        <v/>
      </c>
      <c r="S130" s="28" t="str">
        <f t="shared" si="38"/>
        <v/>
      </c>
      <c r="T130" s="28" t="str">
        <f t="shared" si="39"/>
        <v/>
      </c>
      <c r="U130" s="29" t="str">
        <f t="shared" si="40"/>
        <v/>
      </c>
      <c r="V130" s="60" t="str">
        <f t="shared" si="41"/>
        <v/>
      </c>
      <c r="W130" s="60" t="str">
        <f t="shared" si="42"/>
        <v/>
      </c>
      <c r="X130" s="60" t="str">
        <f t="shared" si="43"/>
        <v/>
      </c>
      <c r="Y130" s="60" t="str">
        <f t="shared" si="44"/>
        <v/>
      </c>
      <c r="Z130" s="60" t="str">
        <f t="shared" si="45"/>
        <v/>
      </c>
      <c r="AA130" s="60" t="str">
        <f t="shared" si="46"/>
        <v/>
      </c>
      <c r="AB130" s="60" t="str">
        <f t="shared" si="47"/>
        <v/>
      </c>
      <c r="AD130">
        <f>PIP!O115</f>
        <v>9</v>
      </c>
      <c r="AE130">
        <f>PIP!N115</f>
        <v>97</v>
      </c>
      <c r="AF130" s="843">
        <f>PIP!U115</f>
        <v>0</v>
      </c>
      <c r="AG130" s="843">
        <f>PIP!T115</f>
        <v>0</v>
      </c>
      <c r="AH130" s="843">
        <f>PIP!V115</f>
        <v>0</v>
      </c>
      <c r="AI130" s="843">
        <f>PIP!W115</f>
        <v>0</v>
      </c>
      <c r="AJ130" s="843">
        <f>PIP!X115</f>
        <v>0</v>
      </c>
      <c r="AK130" s="843">
        <f>PIP!Y115</f>
        <v>0</v>
      </c>
      <c r="AL130" s="843">
        <f>PIP!Z115</f>
        <v>0</v>
      </c>
    </row>
    <row r="131" spans="2:38">
      <c r="B131" s="57" t="str">
        <f t="shared" si="24"/>
        <v/>
      </c>
      <c r="C131" s="58" t="str">
        <f t="shared" si="25"/>
        <v/>
      </c>
      <c r="D131" s="28" t="str">
        <f t="shared" si="26"/>
        <v/>
      </c>
      <c r="E131" s="28" t="str">
        <f t="shared" si="27"/>
        <v/>
      </c>
      <c r="F131" s="29" t="str">
        <f t="shared" si="28"/>
        <v/>
      </c>
      <c r="G131" s="60" t="str">
        <f t="shared" si="29"/>
        <v/>
      </c>
      <c r="H131" s="60" t="str">
        <f t="shared" si="30"/>
        <v/>
      </c>
      <c r="I131" s="60" t="str">
        <f t="shared" si="31"/>
        <v/>
      </c>
      <c r="J131" s="60" t="str">
        <f t="shared" si="32"/>
        <v/>
      </c>
      <c r="K131" s="60" t="str">
        <f t="shared" si="33"/>
        <v/>
      </c>
      <c r="L131" s="60" t="str">
        <f t="shared" si="34"/>
        <v/>
      </c>
      <c r="M131" s="60" t="str">
        <f t="shared" si="35"/>
        <v/>
      </c>
      <c r="Q131" s="57" t="str">
        <f t="shared" si="36"/>
        <v/>
      </c>
      <c r="R131" s="58" t="str">
        <f t="shared" si="37"/>
        <v/>
      </c>
      <c r="S131" s="28" t="str">
        <f t="shared" si="38"/>
        <v/>
      </c>
      <c r="T131" s="28" t="str">
        <f t="shared" si="39"/>
        <v/>
      </c>
      <c r="U131" s="29" t="str">
        <f t="shared" si="40"/>
        <v/>
      </c>
      <c r="V131" s="60" t="str">
        <f t="shared" si="41"/>
        <v/>
      </c>
      <c r="W131" s="60" t="str">
        <f t="shared" si="42"/>
        <v/>
      </c>
      <c r="X131" s="60" t="str">
        <f t="shared" si="43"/>
        <v/>
      </c>
      <c r="Y131" s="60" t="str">
        <f t="shared" si="44"/>
        <v/>
      </c>
      <c r="Z131" s="60" t="str">
        <f t="shared" si="45"/>
        <v/>
      </c>
      <c r="AA131" s="60" t="str">
        <f t="shared" si="46"/>
        <v/>
      </c>
      <c r="AB131" s="60" t="str">
        <f t="shared" si="47"/>
        <v/>
      </c>
      <c r="AD131">
        <f>PIP!O116</f>
        <v>9</v>
      </c>
      <c r="AE131">
        <f>PIP!N116</f>
        <v>98</v>
      </c>
      <c r="AF131" s="843">
        <f>PIP!U116</f>
        <v>0</v>
      </c>
      <c r="AG131" s="843">
        <f>PIP!T116</f>
        <v>0</v>
      </c>
      <c r="AH131" s="843">
        <f>PIP!V116</f>
        <v>0</v>
      </c>
      <c r="AI131" s="843">
        <f>PIP!W116</f>
        <v>0</v>
      </c>
      <c r="AJ131" s="843">
        <f>PIP!X116</f>
        <v>0</v>
      </c>
      <c r="AK131" s="843">
        <f>PIP!Y116</f>
        <v>0</v>
      </c>
      <c r="AL131" s="843">
        <f>PIP!Z116</f>
        <v>0</v>
      </c>
    </row>
    <row r="132" spans="2:38">
      <c r="B132" s="57" t="str">
        <f t="shared" si="24"/>
        <v/>
      </c>
      <c r="C132" s="58" t="str">
        <f t="shared" si="25"/>
        <v/>
      </c>
      <c r="D132" s="28" t="str">
        <f t="shared" si="26"/>
        <v/>
      </c>
      <c r="E132" s="28" t="str">
        <f t="shared" si="27"/>
        <v/>
      </c>
      <c r="F132" s="29" t="str">
        <f t="shared" si="28"/>
        <v/>
      </c>
      <c r="G132" s="60" t="str">
        <f t="shared" si="29"/>
        <v/>
      </c>
      <c r="H132" s="60" t="str">
        <f t="shared" si="30"/>
        <v/>
      </c>
      <c r="I132" s="60" t="str">
        <f t="shared" si="31"/>
        <v/>
      </c>
      <c r="J132" s="60" t="str">
        <f t="shared" si="32"/>
        <v/>
      </c>
      <c r="K132" s="60" t="str">
        <f t="shared" si="33"/>
        <v/>
      </c>
      <c r="L132" s="60" t="str">
        <f t="shared" si="34"/>
        <v/>
      </c>
      <c r="M132" s="60" t="str">
        <f t="shared" si="35"/>
        <v/>
      </c>
      <c r="Q132" s="57" t="str">
        <f t="shared" si="36"/>
        <v/>
      </c>
      <c r="R132" s="58" t="str">
        <f t="shared" si="37"/>
        <v/>
      </c>
      <c r="S132" s="28" t="str">
        <f t="shared" si="38"/>
        <v/>
      </c>
      <c r="T132" s="28" t="str">
        <f t="shared" si="39"/>
        <v/>
      </c>
      <c r="U132" s="29" t="str">
        <f t="shared" si="40"/>
        <v/>
      </c>
      <c r="V132" s="60" t="str">
        <f t="shared" si="41"/>
        <v/>
      </c>
      <c r="W132" s="60" t="str">
        <f t="shared" si="42"/>
        <v/>
      </c>
      <c r="X132" s="60" t="str">
        <f t="shared" si="43"/>
        <v/>
      </c>
      <c r="Y132" s="60" t="str">
        <f t="shared" si="44"/>
        <v/>
      </c>
      <c r="Z132" s="60" t="str">
        <f t="shared" si="45"/>
        <v/>
      </c>
      <c r="AA132" s="60" t="str">
        <f t="shared" si="46"/>
        <v/>
      </c>
      <c r="AB132" s="60" t="str">
        <f t="shared" si="47"/>
        <v/>
      </c>
      <c r="AD132">
        <f>PIP!O117</f>
        <v>9</v>
      </c>
      <c r="AE132">
        <f>PIP!N117</f>
        <v>99</v>
      </c>
      <c r="AF132" s="843">
        <f>PIP!U117</f>
        <v>0</v>
      </c>
      <c r="AG132" s="843">
        <f>PIP!T117</f>
        <v>0</v>
      </c>
      <c r="AH132" s="843">
        <f>PIP!V117</f>
        <v>0</v>
      </c>
      <c r="AI132" s="843">
        <f>PIP!W117</f>
        <v>0</v>
      </c>
      <c r="AJ132" s="843">
        <f>PIP!X117</f>
        <v>0</v>
      </c>
      <c r="AK132" s="843">
        <f>PIP!Y117</f>
        <v>0</v>
      </c>
      <c r="AL132" s="843">
        <f>PIP!Z117</f>
        <v>0</v>
      </c>
    </row>
    <row r="133" spans="2:38">
      <c r="B133" s="57" t="str">
        <f t="shared" si="24"/>
        <v/>
      </c>
      <c r="C133" s="58" t="str">
        <f t="shared" si="25"/>
        <v/>
      </c>
      <c r="D133" s="28" t="str">
        <f t="shared" si="26"/>
        <v/>
      </c>
      <c r="E133" s="28" t="str">
        <f t="shared" si="27"/>
        <v/>
      </c>
      <c r="F133" s="29" t="str">
        <f t="shared" si="28"/>
        <v/>
      </c>
      <c r="G133" s="60" t="str">
        <f t="shared" si="29"/>
        <v/>
      </c>
      <c r="H133" s="60" t="str">
        <f t="shared" si="30"/>
        <v/>
      </c>
      <c r="I133" s="60" t="str">
        <f t="shared" si="31"/>
        <v/>
      </c>
      <c r="J133" s="60" t="str">
        <f t="shared" si="32"/>
        <v/>
      </c>
      <c r="K133" s="60" t="str">
        <f t="shared" si="33"/>
        <v/>
      </c>
      <c r="L133" s="60" t="str">
        <f t="shared" si="34"/>
        <v/>
      </c>
      <c r="M133" s="60" t="str">
        <f t="shared" si="35"/>
        <v/>
      </c>
      <c r="Q133" s="57" t="str">
        <f t="shared" si="36"/>
        <v/>
      </c>
      <c r="R133" s="58" t="str">
        <f t="shared" si="37"/>
        <v/>
      </c>
      <c r="S133" s="28" t="str">
        <f t="shared" si="38"/>
        <v/>
      </c>
      <c r="T133" s="28" t="str">
        <f t="shared" si="39"/>
        <v/>
      </c>
      <c r="U133" s="29" t="str">
        <f t="shared" si="40"/>
        <v/>
      </c>
      <c r="V133" s="60" t="str">
        <f t="shared" si="41"/>
        <v/>
      </c>
      <c r="W133" s="60" t="str">
        <f t="shared" si="42"/>
        <v/>
      </c>
      <c r="X133" s="60" t="str">
        <f t="shared" si="43"/>
        <v/>
      </c>
      <c r="Y133" s="60" t="str">
        <f t="shared" si="44"/>
        <v/>
      </c>
      <c r="Z133" s="60" t="str">
        <f t="shared" si="45"/>
        <v/>
      </c>
      <c r="AA133" s="60" t="str">
        <f t="shared" si="46"/>
        <v/>
      </c>
      <c r="AB133" s="60" t="str">
        <f t="shared" si="47"/>
        <v/>
      </c>
      <c r="AD133">
        <f>PIP!O118</f>
        <v>9</v>
      </c>
      <c r="AE133">
        <f>PIP!N118</f>
        <v>100</v>
      </c>
      <c r="AF133" s="843">
        <f>PIP!U118</f>
        <v>0</v>
      </c>
      <c r="AG133" s="843">
        <f>PIP!T118</f>
        <v>0</v>
      </c>
      <c r="AH133" s="843">
        <f>PIP!V118</f>
        <v>0</v>
      </c>
      <c r="AI133" s="843">
        <f>PIP!W118</f>
        <v>0</v>
      </c>
      <c r="AJ133" s="843">
        <f>PIP!X118</f>
        <v>0</v>
      </c>
      <c r="AK133" s="843">
        <f>PIP!Y118</f>
        <v>0</v>
      </c>
      <c r="AL133" s="843">
        <f>PIP!Z118</f>
        <v>0</v>
      </c>
    </row>
    <row r="134" spans="2:38">
      <c r="B134" s="57" t="str">
        <f t="shared" si="24"/>
        <v/>
      </c>
      <c r="C134" s="58" t="str">
        <f t="shared" si="25"/>
        <v/>
      </c>
      <c r="D134" s="28" t="str">
        <f t="shared" si="26"/>
        <v/>
      </c>
      <c r="E134" s="28" t="str">
        <f t="shared" si="27"/>
        <v/>
      </c>
      <c r="F134" s="29" t="str">
        <f t="shared" si="28"/>
        <v/>
      </c>
      <c r="G134" s="60" t="str">
        <f t="shared" si="29"/>
        <v/>
      </c>
      <c r="H134" s="60" t="str">
        <f t="shared" si="30"/>
        <v/>
      </c>
      <c r="I134" s="60" t="str">
        <f t="shared" si="31"/>
        <v/>
      </c>
      <c r="J134" s="60" t="str">
        <f t="shared" si="32"/>
        <v/>
      </c>
      <c r="K134" s="60" t="str">
        <f t="shared" si="33"/>
        <v/>
      </c>
      <c r="L134" s="60" t="str">
        <f t="shared" si="34"/>
        <v/>
      </c>
      <c r="M134" s="60" t="str">
        <f t="shared" si="35"/>
        <v/>
      </c>
      <c r="Q134" s="57" t="str">
        <f t="shared" si="36"/>
        <v/>
      </c>
      <c r="R134" s="58" t="str">
        <f t="shared" si="37"/>
        <v/>
      </c>
      <c r="S134" s="28" t="str">
        <f t="shared" si="38"/>
        <v/>
      </c>
      <c r="T134" s="28" t="str">
        <f t="shared" si="39"/>
        <v/>
      </c>
      <c r="U134" s="29" t="str">
        <f t="shared" si="40"/>
        <v/>
      </c>
      <c r="V134" s="60" t="str">
        <f t="shared" si="41"/>
        <v/>
      </c>
      <c r="W134" s="60" t="str">
        <f t="shared" si="42"/>
        <v/>
      </c>
      <c r="X134" s="60" t="str">
        <f t="shared" si="43"/>
        <v/>
      </c>
      <c r="Y134" s="60" t="str">
        <f t="shared" si="44"/>
        <v/>
      </c>
      <c r="Z134" s="60" t="str">
        <f t="shared" si="45"/>
        <v/>
      </c>
      <c r="AA134" s="60" t="str">
        <f t="shared" si="46"/>
        <v/>
      </c>
      <c r="AB134" s="60" t="str">
        <f t="shared" si="47"/>
        <v/>
      </c>
      <c r="AD134">
        <f>PIP!O119</f>
        <v>9</v>
      </c>
      <c r="AE134">
        <f>PIP!N119</f>
        <v>101</v>
      </c>
      <c r="AF134" s="843">
        <f>PIP!U119</f>
        <v>0</v>
      </c>
      <c r="AG134" s="843">
        <f>PIP!T119</f>
        <v>0</v>
      </c>
      <c r="AH134" s="843">
        <f>PIP!V119</f>
        <v>0</v>
      </c>
      <c r="AI134" s="843">
        <f>PIP!W119</f>
        <v>0</v>
      </c>
      <c r="AJ134" s="843">
        <f>PIP!X119</f>
        <v>0</v>
      </c>
      <c r="AK134" s="843">
        <f>PIP!Y119</f>
        <v>0</v>
      </c>
      <c r="AL134" s="843">
        <f>PIP!Z119</f>
        <v>0</v>
      </c>
    </row>
    <row r="135" spans="2:38">
      <c r="B135" s="57" t="str">
        <f t="shared" si="24"/>
        <v/>
      </c>
      <c r="C135" s="58" t="str">
        <f t="shared" si="25"/>
        <v/>
      </c>
      <c r="D135" s="28" t="str">
        <f t="shared" si="26"/>
        <v/>
      </c>
      <c r="E135" s="28" t="str">
        <f t="shared" si="27"/>
        <v/>
      </c>
      <c r="F135" s="29" t="str">
        <f t="shared" si="28"/>
        <v/>
      </c>
      <c r="G135" s="60" t="str">
        <f t="shared" si="29"/>
        <v/>
      </c>
      <c r="H135" s="60" t="str">
        <f t="shared" si="30"/>
        <v/>
      </c>
      <c r="I135" s="60" t="str">
        <f t="shared" si="31"/>
        <v/>
      </c>
      <c r="J135" s="60" t="str">
        <f t="shared" si="32"/>
        <v/>
      </c>
      <c r="K135" s="60" t="str">
        <f t="shared" si="33"/>
        <v/>
      </c>
      <c r="L135" s="60" t="str">
        <f t="shared" si="34"/>
        <v/>
      </c>
      <c r="M135" s="60" t="str">
        <f t="shared" si="35"/>
        <v/>
      </c>
      <c r="Q135" s="57" t="str">
        <f t="shared" si="36"/>
        <v/>
      </c>
      <c r="R135" s="58" t="str">
        <f t="shared" si="37"/>
        <v/>
      </c>
      <c r="S135" s="28" t="str">
        <f t="shared" si="38"/>
        <v/>
      </c>
      <c r="T135" s="28" t="str">
        <f t="shared" si="39"/>
        <v/>
      </c>
      <c r="U135" s="29" t="str">
        <f t="shared" si="40"/>
        <v/>
      </c>
      <c r="V135" s="60" t="str">
        <f t="shared" si="41"/>
        <v/>
      </c>
      <c r="W135" s="60" t="str">
        <f t="shared" si="42"/>
        <v/>
      </c>
      <c r="X135" s="60" t="str">
        <f t="shared" si="43"/>
        <v/>
      </c>
      <c r="Y135" s="60" t="str">
        <f t="shared" si="44"/>
        <v/>
      </c>
      <c r="Z135" s="60" t="str">
        <f t="shared" si="45"/>
        <v/>
      </c>
      <c r="AA135" s="60" t="str">
        <f t="shared" si="46"/>
        <v/>
      </c>
      <c r="AB135" s="60" t="str">
        <f t="shared" si="47"/>
        <v/>
      </c>
      <c r="AD135">
        <f>PIP!O120</f>
        <v>9</v>
      </c>
      <c r="AE135">
        <f>PIP!N120</f>
        <v>102</v>
      </c>
      <c r="AF135" s="843">
        <f>PIP!U120</f>
        <v>0</v>
      </c>
      <c r="AG135" s="843">
        <f>PIP!T120</f>
        <v>0</v>
      </c>
      <c r="AH135" s="843">
        <f>PIP!V120</f>
        <v>0</v>
      </c>
      <c r="AI135" s="843">
        <f>PIP!W120</f>
        <v>0</v>
      </c>
      <c r="AJ135" s="843">
        <f>PIP!X120</f>
        <v>0</v>
      </c>
      <c r="AK135" s="843">
        <f>PIP!Y120</f>
        <v>0</v>
      </c>
      <c r="AL135" s="843">
        <f>PIP!Z120</f>
        <v>0</v>
      </c>
    </row>
    <row r="136" spans="2:38">
      <c r="B136" s="57" t="str">
        <f t="shared" si="24"/>
        <v/>
      </c>
      <c r="C136" s="58" t="str">
        <f t="shared" si="25"/>
        <v/>
      </c>
      <c r="D136" s="28" t="str">
        <f t="shared" si="26"/>
        <v/>
      </c>
      <c r="E136" s="28" t="str">
        <f t="shared" si="27"/>
        <v/>
      </c>
      <c r="F136" s="29" t="str">
        <f t="shared" si="28"/>
        <v/>
      </c>
      <c r="G136" s="60" t="str">
        <f t="shared" si="29"/>
        <v/>
      </c>
      <c r="H136" s="60" t="str">
        <f t="shared" si="30"/>
        <v/>
      </c>
      <c r="I136" s="60" t="str">
        <f t="shared" si="31"/>
        <v/>
      </c>
      <c r="J136" s="60" t="str">
        <f t="shared" si="32"/>
        <v/>
      </c>
      <c r="K136" s="60" t="str">
        <f t="shared" si="33"/>
        <v/>
      </c>
      <c r="L136" s="60" t="str">
        <f t="shared" si="34"/>
        <v/>
      </c>
      <c r="M136" s="60" t="str">
        <f t="shared" si="35"/>
        <v/>
      </c>
      <c r="Q136" s="57" t="str">
        <f t="shared" si="36"/>
        <v/>
      </c>
      <c r="R136" s="58" t="str">
        <f t="shared" si="37"/>
        <v/>
      </c>
      <c r="S136" s="28" t="str">
        <f t="shared" si="38"/>
        <v/>
      </c>
      <c r="T136" s="28" t="str">
        <f t="shared" si="39"/>
        <v/>
      </c>
      <c r="U136" s="29" t="str">
        <f t="shared" si="40"/>
        <v/>
      </c>
      <c r="V136" s="60" t="str">
        <f t="shared" si="41"/>
        <v/>
      </c>
      <c r="W136" s="60" t="str">
        <f t="shared" si="42"/>
        <v/>
      </c>
      <c r="X136" s="60" t="str">
        <f t="shared" si="43"/>
        <v/>
      </c>
      <c r="Y136" s="60" t="str">
        <f t="shared" si="44"/>
        <v/>
      </c>
      <c r="Z136" s="60" t="str">
        <f t="shared" si="45"/>
        <v/>
      </c>
      <c r="AA136" s="60" t="str">
        <f t="shared" si="46"/>
        <v/>
      </c>
      <c r="AB136" s="60" t="str">
        <f t="shared" si="47"/>
        <v/>
      </c>
      <c r="AD136">
        <f>PIP!O121</f>
        <v>9</v>
      </c>
      <c r="AE136">
        <f>PIP!N121</f>
        <v>103</v>
      </c>
      <c r="AF136" s="843">
        <f>PIP!U121</f>
        <v>0</v>
      </c>
      <c r="AG136" s="843">
        <f>PIP!T121</f>
        <v>0</v>
      </c>
      <c r="AH136" s="843">
        <f>PIP!V121</f>
        <v>0</v>
      </c>
      <c r="AI136" s="843">
        <f>PIP!W121</f>
        <v>0</v>
      </c>
      <c r="AJ136" s="843">
        <f>PIP!X121</f>
        <v>0</v>
      </c>
      <c r="AK136" s="843">
        <f>PIP!Y121</f>
        <v>0</v>
      </c>
      <c r="AL136" s="843">
        <f>PIP!Z121</f>
        <v>0</v>
      </c>
    </row>
    <row r="137" spans="2:38">
      <c r="B137" s="57" t="str">
        <f t="shared" si="24"/>
        <v/>
      </c>
      <c r="C137" s="58" t="str">
        <f t="shared" si="25"/>
        <v/>
      </c>
      <c r="D137" s="28" t="str">
        <f t="shared" si="26"/>
        <v/>
      </c>
      <c r="E137" s="28" t="str">
        <f t="shared" si="27"/>
        <v/>
      </c>
      <c r="F137" s="29" t="str">
        <f t="shared" si="28"/>
        <v/>
      </c>
      <c r="G137" s="60" t="str">
        <f t="shared" si="29"/>
        <v/>
      </c>
      <c r="H137" s="60" t="str">
        <f t="shared" si="30"/>
        <v/>
      </c>
      <c r="I137" s="60" t="str">
        <f t="shared" si="31"/>
        <v/>
      </c>
      <c r="J137" s="60" t="str">
        <f t="shared" si="32"/>
        <v/>
      </c>
      <c r="K137" s="60" t="str">
        <f t="shared" si="33"/>
        <v/>
      </c>
      <c r="L137" s="60" t="str">
        <f t="shared" si="34"/>
        <v/>
      </c>
      <c r="M137" s="60" t="str">
        <f t="shared" si="35"/>
        <v/>
      </c>
      <c r="Q137" s="57" t="str">
        <f t="shared" si="36"/>
        <v/>
      </c>
      <c r="R137" s="58" t="str">
        <f t="shared" si="37"/>
        <v/>
      </c>
      <c r="S137" s="28" t="str">
        <f t="shared" si="38"/>
        <v/>
      </c>
      <c r="T137" s="28" t="str">
        <f t="shared" si="39"/>
        <v/>
      </c>
      <c r="U137" s="29" t="str">
        <f t="shared" si="40"/>
        <v/>
      </c>
      <c r="V137" s="60" t="str">
        <f t="shared" si="41"/>
        <v/>
      </c>
      <c r="W137" s="60" t="str">
        <f t="shared" si="42"/>
        <v/>
      </c>
      <c r="X137" s="60" t="str">
        <f t="shared" si="43"/>
        <v/>
      </c>
      <c r="Y137" s="60" t="str">
        <f t="shared" si="44"/>
        <v/>
      </c>
      <c r="Z137" s="60" t="str">
        <f t="shared" si="45"/>
        <v/>
      </c>
      <c r="AA137" s="60" t="str">
        <f t="shared" si="46"/>
        <v/>
      </c>
      <c r="AB137" s="60" t="str">
        <f t="shared" si="47"/>
        <v/>
      </c>
      <c r="AD137">
        <f>PIP!O122</f>
        <v>9</v>
      </c>
      <c r="AE137">
        <f>PIP!N122</f>
        <v>104</v>
      </c>
      <c r="AF137" s="843">
        <f>PIP!U122</f>
        <v>0</v>
      </c>
      <c r="AG137" s="843">
        <f>PIP!T122</f>
        <v>0</v>
      </c>
      <c r="AH137" s="843">
        <f>PIP!V122</f>
        <v>0</v>
      </c>
      <c r="AI137" s="843">
        <f>PIP!W122</f>
        <v>0</v>
      </c>
      <c r="AJ137" s="843">
        <f>PIP!X122</f>
        <v>0</v>
      </c>
      <c r="AK137" s="843">
        <f>PIP!Y122</f>
        <v>0</v>
      </c>
      <c r="AL137" s="843">
        <f>PIP!Z122</f>
        <v>0</v>
      </c>
    </row>
    <row r="138" spans="2:38">
      <c r="B138" s="57" t="str">
        <f t="shared" si="24"/>
        <v/>
      </c>
      <c r="C138" s="58" t="str">
        <f t="shared" si="25"/>
        <v/>
      </c>
      <c r="D138" s="28" t="str">
        <f t="shared" si="26"/>
        <v/>
      </c>
      <c r="E138" s="28" t="str">
        <f t="shared" si="27"/>
        <v/>
      </c>
      <c r="F138" s="29" t="str">
        <f t="shared" si="28"/>
        <v/>
      </c>
      <c r="G138" s="60" t="str">
        <f t="shared" si="29"/>
        <v/>
      </c>
      <c r="H138" s="60" t="str">
        <f t="shared" si="30"/>
        <v/>
      </c>
      <c r="I138" s="60" t="str">
        <f t="shared" si="31"/>
        <v/>
      </c>
      <c r="J138" s="60" t="str">
        <f t="shared" si="32"/>
        <v/>
      </c>
      <c r="K138" s="60" t="str">
        <f t="shared" si="33"/>
        <v/>
      </c>
      <c r="L138" s="60" t="str">
        <f t="shared" si="34"/>
        <v/>
      </c>
      <c r="M138" s="60" t="str">
        <f t="shared" si="35"/>
        <v/>
      </c>
      <c r="Q138" s="57" t="str">
        <f t="shared" si="36"/>
        <v/>
      </c>
      <c r="R138" s="58" t="str">
        <f t="shared" si="37"/>
        <v/>
      </c>
      <c r="S138" s="28" t="str">
        <f t="shared" si="38"/>
        <v/>
      </c>
      <c r="T138" s="28" t="str">
        <f t="shared" si="39"/>
        <v/>
      </c>
      <c r="U138" s="29" t="str">
        <f t="shared" si="40"/>
        <v/>
      </c>
      <c r="V138" s="60" t="str">
        <f t="shared" si="41"/>
        <v/>
      </c>
      <c r="W138" s="60" t="str">
        <f t="shared" si="42"/>
        <v/>
      </c>
      <c r="X138" s="60" t="str">
        <f t="shared" si="43"/>
        <v/>
      </c>
      <c r="Y138" s="60" t="str">
        <f t="shared" si="44"/>
        <v/>
      </c>
      <c r="Z138" s="60" t="str">
        <f t="shared" si="45"/>
        <v/>
      </c>
      <c r="AA138" s="60" t="str">
        <f t="shared" si="46"/>
        <v/>
      </c>
      <c r="AB138" s="60" t="str">
        <f t="shared" si="47"/>
        <v/>
      </c>
      <c r="AD138">
        <f>PIP!O123</f>
        <v>9</v>
      </c>
      <c r="AE138">
        <f>PIP!N123</f>
        <v>105</v>
      </c>
      <c r="AF138" s="843">
        <f>PIP!U123</f>
        <v>0</v>
      </c>
      <c r="AG138" s="843">
        <f>PIP!T123</f>
        <v>0</v>
      </c>
      <c r="AH138" s="843">
        <f>PIP!V123</f>
        <v>0</v>
      </c>
      <c r="AI138" s="843">
        <f>PIP!W123</f>
        <v>0</v>
      </c>
      <c r="AJ138" s="843">
        <f>PIP!X123</f>
        <v>0</v>
      </c>
      <c r="AK138" s="843">
        <f>PIP!Y123</f>
        <v>0</v>
      </c>
      <c r="AL138" s="843">
        <f>PIP!Z123</f>
        <v>0</v>
      </c>
    </row>
    <row r="139" spans="2:38">
      <c r="B139" s="57" t="str">
        <f t="shared" si="24"/>
        <v/>
      </c>
      <c r="C139" s="58" t="str">
        <f t="shared" si="25"/>
        <v/>
      </c>
      <c r="D139" s="28" t="str">
        <f t="shared" si="26"/>
        <v/>
      </c>
      <c r="E139" s="28" t="str">
        <f t="shared" si="27"/>
        <v/>
      </c>
      <c r="F139" s="29" t="str">
        <f t="shared" si="28"/>
        <v/>
      </c>
      <c r="G139" s="60" t="str">
        <f t="shared" si="29"/>
        <v/>
      </c>
      <c r="H139" s="60" t="str">
        <f t="shared" si="30"/>
        <v/>
      </c>
      <c r="I139" s="60" t="str">
        <f t="shared" si="31"/>
        <v/>
      </c>
      <c r="J139" s="60" t="str">
        <f t="shared" si="32"/>
        <v/>
      </c>
      <c r="K139" s="60" t="str">
        <f t="shared" si="33"/>
        <v/>
      </c>
      <c r="L139" s="60" t="str">
        <f t="shared" si="34"/>
        <v/>
      </c>
      <c r="M139" s="60" t="str">
        <f t="shared" si="35"/>
        <v/>
      </c>
      <c r="Q139" s="57" t="str">
        <f t="shared" si="36"/>
        <v/>
      </c>
      <c r="R139" s="58" t="str">
        <f t="shared" si="37"/>
        <v/>
      </c>
      <c r="S139" s="28" t="str">
        <f t="shared" si="38"/>
        <v/>
      </c>
      <c r="T139" s="28" t="str">
        <f t="shared" si="39"/>
        <v/>
      </c>
      <c r="U139" s="29" t="str">
        <f t="shared" si="40"/>
        <v/>
      </c>
      <c r="V139" s="60" t="str">
        <f t="shared" si="41"/>
        <v/>
      </c>
      <c r="W139" s="60" t="str">
        <f t="shared" si="42"/>
        <v/>
      </c>
      <c r="X139" s="60" t="str">
        <f t="shared" si="43"/>
        <v/>
      </c>
      <c r="Y139" s="60" t="str">
        <f t="shared" si="44"/>
        <v/>
      </c>
      <c r="Z139" s="60" t="str">
        <f t="shared" si="45"/>
        <v/>
      </c>
      <c r="AA139" s="60" t="str">
        <f t="shared" si="46"/>
        <v/>
      </c>
      <c r="AB139" s="60" t="str">
        <f t="shared" si="47"/>
        <v/>
      </c>
      <c r="AD139">
        <f>PIP!O124</f>
        <v>9</v>
      </c>
      <c r="AE139">
        <f>PIP!N124</f>
        <v>106</v>
      </c>
      <c r="AF139" s="843">
        <f>PIP!U124</f>
        <v>0</v>
      </c>
      <c r="AG139" s="843">
        <f>PIP!T124</f>
        <v>0</v>
      </c>
      <c r="AH139" s="843">
        <f>PIP!V124</f>
        <v>0</v>
      </c>
      <c r="AI139" s="843">
        <f>PIP!W124</f>
        <v>0</v>
      </c>
      <c r="AJ139" s="843">
        <f>PIP!X124</f>
        <v>0</v>
      </c>
      <c r="AK139" s="843">
        <f>PIP!Y124</f>
        <v>0</v>
      </c>
      <c r="AL139" s="843">
        <f>PIP!Z124</f>
        <v>0</v>
      </c>
    </row>
    <row r="140" spans="2:38">
      <c r="B140" s="57" t="str">
        <f t="shared" si="24"/>
        <v/>
      </c>
      <c r="C140" s="58" t="str">
        <f t="shared" si="25"/>
        <v/>
      </c>
      <c r="D140" s="28" t="str">
        <f t="shared" si="26"/>
        <v/>
      </c>
      <c r="E140" s="28" t="str">
        <f t="shared" si="27"/>
        <v/>
      </c>
      <c r="F140" s="29" t="str">
        <f t="shared" si="28"/>
        <v/>
      </c>
      <c r="G140" s="60" t="str">
        <f t="shared" si="29"/>
        <v/>
      </c>
      <c r="H140" s="60" t="str">
        <f t="shared" si="30"/>
        <v/>
      </c>
      <c r="I140" s="60" t="str">
        <f t="shared" si="31"/>
        <v/>
      </c>
      <c r="J140" s="60" t="str">
        <f t="shared" si="32"/>
        <v/>
      </c>
      <c r="K140" s="60" t="str">
        <f t="shared" si="33"/>
        <v/>
      </c>
      <c r="L140" s="60" t="str">
        <f t="shared" si="34"/>
        <v/>
      </c>
      <c r="M140" s="60" t="str">
        <f t="shared" si="35"/>
        <v/>
      </c>
      <c r="Q140" s="57" t="str">
        <f t="shared" si="36"/>
        <v/>
      </c>
      <c r="R140" s="58" t="str">
        <f t="shared" si="37"/>
        <v/>
      </c>
      <c r="S140" s="28" t="str">
        <f t="shared" si="38"/>
        <v/>
      </c>
      <c r="T140" s="28" t="str">
        <f t="shared" si="39"/>
        <v/>
      </c>
      <c r="U140" s="29" t="str">
        <f t="shared" si="40"/>
        <v/>
      </c>
      <c r="V140" s="60" t="str">
        <f t="shared" si="41"/>
        <v/>
      </c>
      <c r="W140" s="60" t="str">
        <f t="shared" si="42"/>
        <v/>
      </c>
      <c r="X140" s="60" t="str">
        <f t="shared" si="43"/>
        <v/>
      </c>
      <c r="Y140" s="60" t="str">
        <f t="shared" si="44"/>
        <v/>
      </c>
      <c r="Z140" s="60" t="str">
        <f t="shared" si="45"/>
        <v/>
      </c>
      <c r="AA140" s="60" t="str">
        <f t="shared" si="46"/>
        <v/>
      </c>
      <c r="AB140" s="60" t="str">
        <f t="shared" si="47"/>
        <v/>
      </c>
      <c r="AD140">
        <f>PIP!O125</f>
        <v>9</v>
      </c>
      <c r="AE140">
        <f>PIP!N125</f>
        <v>107</v>
      </c>
      <c r="AF140" s="843">
        <f>PIP!U125</f>
        <v>0</v>
      </c>
      <c r="AG140" s="843">
        <f>PIP!T125</f>
        <v>0</v>
      </c>
      <c r="AH140" s="843">
        <f>PIP!V125</f>
        <v>0</v>
      </c>
      <c r="AI140" s="843">
        <f>PIP!W125</f>
        <v>0</v>
      </c>
      <c r="AJ140" s="843">
        <f>PIP!X125</f>
        <v>0</v>
      </c>
      <c r="AK140" s="843">
        <f>PIP!Y125</f>
        <v>0</v>
      </c>
      <c r="AL140" s="843">
        <f>PIP!Z125</f>
        <v>0</v>
      </c>
    </row>
    <row r="141" spans="2:38">
      <c r="B141" s="57" t="str">
        <f t="shared" si="24"/>
        <v/>
      </c>
      <c r="C141" s="58" t="str">
        <f t="shared" si="25"/>
        <v/>
      </c>
      <c r="D141" s="28" t="str">
        <f t="shared" si="26"/>
        <v/>
      </c>
      <c r="E141" s="28" t="str">
        <f t="shared" si="27"/>
        <v/>
      </c>
      <c r="F141" s="29" t="str">
        <f t="shared" si="28"/>
        <v/>
      </c>
      <c r="G141" s="60" t="str">
        <f t="shared" si="29"/>
        <v/>
      </c>
      <c r="H141" s="60" t="str">
        <f t="shared" si="30"/>
        <v/>
      </c>
      <c r="I141" s="60" t="str">
        <f t="shared" si="31"/>
        <v/>
      </c>
      <c r="J141" s="60" t="str">
        <f t="shared" si="32"/>
        <v/>
      </c>
      <c r="K141" s="60" t="str">
        <f t="shared" si="33"/>
        <v/>
      </c>
      <c r="L141" s="60" t="str">
        <f t="shared" si="34"/>
        <v/>
      </c>
      <c r="M141" s="60" t="str">
        <f t="shared" si="35"/>
        <v/>
      </c>
      <c r="Q141" s="57" t="str">
        <f t="shared" si="36"/>
        <v/>
      </c>
      <c r="R141" s="58" t="str">
        <f t="shared" si="37"/>
        <v/>
      </c>
      <c r="S141" s="28" t="str">
        <f t="shared" si="38"/>
        <v/>
      </c>
      <c r="T141" s="28" t="str">
        <f t="shared" si="39"/>
        <v/>
      </c>
      <c r="U141" s="29" t="str">
        <f t="shared" si="40"/>
        <v/>
      </c>
      <c r="V141" s="60" t="str">
        <f t="shared" si="41"/>
        <v/>
      </c>
      <c r="W141" s="60" t="str">
        <f t="shared" si="42"/>
        <v/>
      </c>
      <c r="X141" s="60" t="str">
        <f t="shared" si="43"/>
        <v/>
      </c>
      <c r="Y141" s="60" t="str">
        <f t="shared" si="44"/>
        <v/>
      </c>
      <c r="Z141" s="60" t="str">
        <f t="shared" si="45"/>
        <v/>
      </c>
      <c r="AA141" s="60" t="str">
        <f t="shared" si="46"/>
        <v/>
      </c>
      <c r="AB141" s="60" t="str">
        <f t="shared" si="47"/>
        <v/>
      </c>
      <c r="AD141">
        <f>PIP!O126</f>
        <v>9</v>
      </c>
      <c r="AE141">
        <f>PIP!N126</f>
        <v>108</v>
      </c>
      <c r="AF141" s="843">
        <f>PIP!U126</f>
        <v>0</v>
      </c>
      <c r="AG141" s="843">
        <f>PIP!T126</f>
        <v>0</v>
      </c>
      <c r="AH141" s="843">
        <f>PIP!V126</f>
        <v>0</v>
      </c>
      <c r="AI141" s="843">
        <f>PIP!W126</f>
        <v>0</v>
      </c>
      <c r="AJ141" s="843">
        <f>PIP!X126</f>
        <v>0</v>
      </c>
      <c r="AK141" s="843">
        <f>PIP!Y126</f>
        <v>0</v>
      </c>
      <c r="AL141" s="843">
        <f>PIP!Z126</f>
        <v>0</v>
      </c>
    </row>
    <row r="142" spans="2:38">
      <c r="B142" s="57" t="str">
        <f t="shared" si="24"/>
        <v/>
      </c>
      <c r="C142" s="58" t="str">
        <f t="shared" si="25"/>
        <v/>
      </c>
      <c r="D142" s="28" t="str">
        <f t="shared" si="26"/>
        <v/>
      </c>
      <c r="E142" s="28" t="str">
        <f t="shared" si="27"/>
        <v/>
      </c>
      <c r="F142" s="29" t="str">
        <f t="shared" si="28"/>
        <v/>
      </c>
      <c r="G142" s="60" t="str">
        <f t="shared" si="29"/>
        <v/>
      </c>
      <c r="H142" s="60" t="str">
        <f t="shared" si="30"/>
        <v/>
      </c>
      <c r="I142" s="60" t="str">
        <f t="shared" si="31"/>
        <v/>
      </c>
      <c r="J142" s="60" t="str">
        <f t="shared" si="32"/>
        <v/>
      </c>
      <c r="K142" s="60" t="str">
        <f t="shared" si="33"/>
        <v/>
      </c>
      <c r="L142" s="60" t="str">
        <f t="shared" si="34"/>
        <v/>
      </c>
      <c r="M142" s="60" t="str">
        <f t="shared" si="35"/>
        <v/>
      </c>
      <c r="Q142" s="57" t="str">
        <f t="shared" si="36"/>
        <v/>
      </c>
      <c r="R142" s="58" t="str">
        <f t="shared" si="37"/>
        <v/>
      </c>
      <c r="S142" s="28" t="str">
        <f t="shared" si="38"/>
        <v/>
      </c>
      <c r="T142" s="28" t="str">
        <f t="shared" si="39"/>
        <v/>
      </c>
      <c r="U142" s="29" t="str">
        <f t="shared" si="40"/>
        <v/>
      </c>
      <c r="V142" s="60" t="str">
        <f t="shared" si="41"/>
        <v/>
      </c>
      <c r="W142" s="60" t="str">
        <f t="shared" si="42"/>
        <v/>
      </c>
      <c r="X142" s="60" t="str">
        <f t="shared" si="43"/>
        <v/>
      </c>
      <c r="Y142" s="60" t="str">
        <f t="shared" si="44"/>
        <v/>
      </c>
      <c r="Z142" s="60" t="str">
        <f t="shared" si="45"/>
        <v/>
      </c>
      <c r="AA142" s="60" t="str">
        <f t="shared" si="46"/>
        <v/>
      </c>
      <c r="AB142" s="60" t="str">
        <f t="shared" si="47"/>
        <v/>
      </c>
      <c r="AD142">
        <f>PIP!O127</f>
        <v>10</v>
      </c>
      <c r="AE142">
        <f>PIP!N127</f>
        <v>109</v>
      </c>
      <c r="AF142" s="843">
        <f>PIP!U127</f>
        <v>0</v>
      </c>
      <c r="AG142" s="843">
        <f>PIP!T127</f>
        <v>0</v>
      </c>
      <c r="AH142" s="843">
        <f>PIP!V127</f>
        <v>0</v>
      </c>
      <c r="AI142" s="843">
        <f>PIP!W127</f>
        <v>0</v>
      </c>
      <c r="AJ142" s="843">
        <f>PIP!X127</f>
        <v>0</v>
      </c>
      <c r="AK142" s="843">
        <f>PIP!Y127</f>
        <v>0</v>
      </c>
      <c r="AL142" s="843">
        <f>PIP!Z127</f>
        <v>0</v>
      </c>
    </row>
    <row r="143" spans="2:38">
      <c r="B143" s="57" t="str">
        <f t="shared" si="24"/>
        <v/>
      </c>
      <c r="C143" s="58" t="str">
        <f t="shared" si="25"/>
        <v/>
      </c>
      <c r="D143" s="28" t="str">
        <f t="shared" si="26"/>
        <v/>
      </c>
      <c r="E143" s="28" t="str">
        <f t="shared" si="27"/>
        <v/>
      </c>
      <c r="F143" s="29" t="str">
        <f t="shared" si="28"/>
        <v/>
      </c>
      <c r="G143" s="60" t="str">
        <f t="shared" si="29"/>
        <v/>
      </c>
      <c r="H143" s="60" t="str">
        <f t="shared" si="30"/>
        <v/>
      </c>
      <c r="I143" s="60" t="str">
        <f t="shared" si="31"/>
        <v/>
      </c>
      <c r="J143" s="60" t="str">
        <f t="shared" si="32"/>
        <v/>
      </c>
      <c r="K143" s="60" t="str">
        <f t="shared" si="33"/>
        <v/>
      </c>
      <c r="L143" s="60" t="str">
        <f t="shared" si="34"/>
        <v/>
      </c>
      <c r="M143" s="60" t="str">
        <f t="shared" si="35"/>
        <v/>
      </c>
      <c r="Q143" s="57" t="str">
        <f t="shared" si="36"/>
        <v/>
      </c>
      <c r="R143" s="58" t="str">
        <f t="shared" si="37"/>
        <v/>
      </c>
      <c r="S143" s="28" t="str">
        <f t="shared" si="38"/>
        <v/>
      </c>
      <c r="T143" s="28" t="str">
        <f t="shared" si="39"/>
        <v/>
      </c>
      <c r="U143" s="29" t="str">
        <f t="shared" si="40"/>
        <v/>
      </c>
      <c r="V143" s="60" t="str">
        <f t="shared" si="41"/>
        <v/>
      </c>
      <c r="W143" s="60" t="str">
        <f t="shared" si="42"/>
        <v/>
      </c>
      <c r="X143" s="60" t="str">
        <f t="shared" si="43"/>
        <v/>
      </c>
      <c r="Y143" s="60" t="str">
        <f t="shared" si="44"/>
        <v/>
      </c>
      <c r="Z143" s="60" t="str">
        <f t="shared" si="45"/>
        <v/>
      </c>
      <c r="AA143" s="60" t="str">
        <f t="shared" si="46"/>
        <v/>
      </c>
      <c r="AB143" s="60" t="str">
        <f t="shared" si="47"/>
        <v/>
      </c>
      <c r="AD143">
        <f>PIP!O128</f>
        <v>10</v>
      </c>
      <c r="AE143">
        <f>PIP!N128</f>
        <v>110</v>
      </c>
      <c r="AF143" s="843">
        <f>PIP!U128</f>
        <v>0</v>
      </c>
      <c r="AG143" s="843">
        <f>PIP!T128</f>
        <v>0</v>
      </c>
      <c r="AH143" s="843">
        <f>PIP!V128</f>
        <v>0</v>
      </c>
      <c r="AI143" s="843">
        <f>PIP!W128</f>
        <v>0</v>
      </c>
      <c r="AJ143" s="843">
        <f>PIP!X128</f>
        <v>0</v>
      </c>
      <c r="AK143" s="843">
        <f>PIP!Y128</f>
        <v>0</v>
      </c>
      <c r="AL143" s="843">
        <f>PIP!Z128</f>
        <v>0</v>
      </c>
    </row>
    <row r="144" spans="2:38">
      <c r="B144" s="57" t="str">
        <f t="shared" si="24"/>
        <v/>
      </c>
      <c r="C144" s="58" t="str">
        <f t="shared" si="25"/>
        <v/>
      </c>
      <c r="D144" s="28" t="str">
        <f t="shared" si="26"/>
        <v/>
      </c>
      <c r="E144" s="28" t="str">
        <f t="shared" si="27"/>
        <v/>
      </c>
      <c r="F144" s="29" t="str">
        <f t="shared" si="28"/>
        <v/>
      </c>
      <c r="G144" s="60" t="str">
        <f t="shared" si="29"/>
        <v/>
      </c>
      <c r="H144" s="60" t="str">
        <f t="shared" si="30"/>
        <v/>
      </c>
      <c r="I144" s="60" t="str">
        <f t="shared" si="31"/>
        <v/>
      </c>
      <c r="J144" s="60" t="str">
        <f t="shared" si="32"/>
        <v/>
      </c>
      <c r="K144" s="60" t="str">
        <f t="shared" si="33"/>
        <v/>
      </c>
      <c r="L144" s="60" t="str">
        <f t="shared" si="34"/>
        <v/>
      </c>
      <c r="M144" s="60" t="str">
        <f t="shared" si="35"/>
        <v/>
      </c>
      <c r="Q144" s="57" t="str">
        <f t="shared" si="36"/>
        <v/>
      </c>
      <c r="R144" s="58" t="str">
        <f t="shared" si="37"/>
        <v/>
      </c>
      <c r="S144" s="28" t="str">
        <f t="shared" si="38"/>
        <v/>
      </c>
      <c r="T144" s="28" t="str">
        <f t="shared" si="39"/>
        <v/>
      </c>
      <c r="U144" s="29" t="str">
        <f t="shared" si="40"/>
        <v/>
      </c>
      <c r="V144" s="60" t="str">
        <f t="shared" si="41"/>
        <v/>
      </c>
      <c r="W144" s="60" t="str">
        <f t="shared" si="42"/>
        <v/>
      </c>
      <c r="X144" s="60" t="str">
        <f t="shared" si="43"/>
        <v/>
      </c>
      <c r="Y144" s="60" t="str">
        <f t="shared" si="44"/>
        <v/>
      </c>
      <c r="Z144" s="60" t="str">
        <f t="shared" si="45"/>
        <v/>
      </c>
      <c r="AA144" s="60" t="str">
        <f t="shared" si="46"/>
        <v/>
      </c>
      <c r="AB144" s="60" t="str">
        <f t="shared" si="47"/>
        <v/>
      </c>
      <c r="AD144">
        <f>PIP!O129</f>
        <v>10</v>
      </c>
      <c r="AE144">
        <f>PIP!N129</f>
        <v>111</v>
      </c>
      <c r="AF144" s="843">
        <f>PIP!U129</f>
        <v>0</v>
      </c>
      <c r="AG144" s="843">
        <f>PIP!T129</f>
        <v>0</v>
      </c>
      <c r="AH144" s="843">
        <f>PIP!V129</f>
        <v>0</v>
      </c>
      <c r="AI144" s="843">
        <f>PIP!W129</f>
        <v>0</v>
      </c>
      <c r="AJ144" s="843">
        <f>PIP!X129</f>
        <v>0</v>
      </c>
      <c r="AK144" s="843">
        <f>PIP!Y129</f>
        <v>0</v>
      </c>
      <c r="AL144" s="843">
        <f>PIP!Z129</f>
        <v>0</v>
      </c>
    </row>
    <row r="145" spans="2:38">
      <c r="B145" s="57" t="str">
        <f t="shared" si="24"/>
        <v/>
      </c>
      <c r="C145" s="58" t="str">
        <f t="shared" si="25"/>
        <v/>
      </c>
      <c r="D145" s="28" t="str">
        <f t="shared" si="26"/>
        <v/>
      </c>
      <c r="E145" s="28" t="str">
        <f t="shared" si="27"/>
        <v/>
      </c>
      <c r="F145" s="29" t="str">
        <f t="shared" si="28"/>
        <v/>
      </c>
      <c r="G145" s="60" t="str">
        <f t="shared" si="29"/>
        <v/>
      </c>
      <c r="H145" s="60" t="str">
        <f t="shared" si="30"/>
        <v/>
      </c>
      <c r="I145" s="60" t="str">
        <f t="shared" si="31"/>
        <v/>
      </c>
      <c r="J145" s="60" t="str">
        <f t="shared" si="32"/>
        <v/>
      </c>
      <c r="K145" s="60" t="str">
        <f t="shared" si="33"/>
        <v/>
      </c>
      <c r="L145" s="60" t="str">
        <f t="shared" si="34"/>
        <v/>
      </c>
      <c r="M145" s="60" t="str">
        <f t="shared" si="35"/>
        <v/>
      </c>
      <c r="Q145" s="57" t="str">
        <f t="shared" si="36"/>
        <v/>
      </c>
      <c r="R145" s="58" t="str">
        <f t="shared" si="37"/>
        <v/>
      </c>
      <c r="S145" s="28" t="str">
        <f t="shared" si="38"/>
        <v/>
      </c>
      <c r="T145" s="28" t="str">
        <f t="shared" si="39"/>
        <v/>
      </c>
      <c r="U145" s="29" t="str">
        <f t="shared" si="40"/>
        <v/>
      </c>
      <c r="V145" s="60" t="str">
        <f t="shared" si="41"/>
        <v/>
      </c>
      <c r="W145" s="60" t="str">
        <f t="shared" si="42"/>
        <v/>
      </c>
      <c r="X145" s="60" t="str">
        <f t="shared" si="43"/>
        <v/>
      </c>
      <c r="Y145" s="60" t="str">
        <f t="shared" si="44"/>
        <v/>
      </c>
      <c r="Z145" s="60" t="str">
        <f t="shared" si="45"/>
        <v/>
      </c>
      <c r="AA145" s="60" t="str">
        <f t="shared" si="46"/>
        <v/>
      </c>
      <c r="AB145" s="60" t="str">
        <f t="shared" si="47"/>
        <v/>
      </c>
      <c r="AD145">
        <f>PIP!O130</f>
        <v>10</v>
      </c>
      <c r="AE145">
        <f>PIP!N130</f>
        <v>112</v>
      </c>
      <c r="AF145" s="843">
        <f>PIP!U130</f>
        <v>0</v>
      </c>
      <c r="AG145" s="843">
        <f>PIP!T130</f>
        <v>0</v>
      </c>
      <c r="AH145" s="843">
        <f>PIP!V130</f>
        <v>0</v>
      </c>
      <c r="AI145" s="843">
        <f>PIP!W130</f>
        <v>0</v>
      </c>
      <c r="AJ145" s="843">
        <f>PIP!X130</f>
        <v>0</v>
      </c>
      <c r="AK145" s="843">
        <f>PIP!Y130</f>
        <v>0</v>
      </c>
      <c r="AL145" s="843">
        <f>PIP!Z130</f>
        <v>0</v>
      </c>
    </row>
    <row r="146" spans="2:38">
      <c r="B146" s="57" t="str">
        <f t="shared" si="24"/>
        <v/>
      </c>
      <c r="C146" s="58" t="str">
        <f t="shared" si="25"/>
        <v/>
      </c>
      <c r="D146" s="28" t="str">
        <f t="shared" si="26"/>
        <v/>
      </c>
      <c r="E146" s="28" t="str">
        <f t="shared" si="27"/>
        <v/>
      </c>
      <c r="F146" s="29" t="str">
        <f t="shared" si="28"/>
        <v/>
      </c>
      <c r="G146" s="60" t="str">
        <f t="shared" si="29"/>
        <v/>
      </c>
      <c r="H146" s="60" t="str">
        <f t="shared" si="30"/>
        <v/>
      </c>
      <c r="I146" s="60" t="str">
        <f t="shared" si="31"/>
        <v/>
      </c>
      <c r="J146" s="60" t="str">
        <f t="shared" si="32"/>
        <v/>
      </c>
      <c r="K146" s="60" t="str">
        <f t="shared" si="33"/>
        <v/>
      </c>
      <c r="L146" s="60" t="str">
        <f t="shared" si="34"/>
        <v/>
      </c>
      <c r="M146" s="60" t="str">
        <f t="shared" si="35"/>
        <v/>
      </c>
      <c r="Q146" s="57" t="str">
        <f t="shared" si="36"/>
        <v/>
      </c>
      <c r="R146" s="58" t="str">
        <f t="shared" si="37"/>
        <v/>
      </c>
      <c r="S146" s="28" t="str">
        <f t="shared" si="38"/>
        <v/>
      </c>
      <c r="T146" s="28" t="str">
        <f t="shared" si="39"/>
        <v/>
      </c>
      <c r="U146" s="29" t="str">
        <f t="shared" si="40"/>
        <v/>
      </c>
      <c r="V146" s="60" t="str">
        <f t="shared" si="41"/>
        <v/>
      </c>
      <c r="W146" s="60" t="str">
        <f t="shared" si="42"/>
        <v/>
      </c>
      <c r="X146" s="60" t="str">
        <f t="shared" si="43"/>
        <v/>
      </c>
      <c r="Y146" s="60" t="str">
        <f t="shared" si="44"/>
        <v/>
      </c>
      <c r="Z146" s="60" t="str">
        <f t="shared" si="45"/>
        <v/>
      </c>
      <c r="AA146" s="60" t="str">
        <f t="shared" si="46"/>
        <v/>
      </c>
      <c r="AB146" s="60" t="str">
        <f t="shared" si="47"/>
        <v/>
      </c>
      <c r="AD146">
        <f>PIP!O131</f>
        <v>10</v>
      </c>
      <c r="AE146">
        <f>PIP!N131</f>
        <v>113</v>
      </c>
      <c r="AF146" s="843">
        <f>PIP!U131</f>
        <v>0</v>
      </c>
      <c r="AG146" s="843">
        <f>PIP!T131</f>
        <v>0</v>
      </c>
      <c r="AH146" s="843">
        <f>PIP!V131</f>
        <v>0</v>
      </c>
      <c r="AI146" s="843">
        <f>PIP!W131</f>
        <v>0</v>
      </c>
      <c r="AJ146" s="843">
        <f>PIP!X131</f>
        <v>0</v>
      </c>
      <c r="AK146" s="843">
        <f>PIP!Y131</f>
        <v>0</v>
      </c>
      <c r="AL146" s="843">
        <f>PIP!Z131</f>
        <v>0</v>
      </c>
    </row>
    <row r="147" spans="2:38">
      <c r="B147" s="57" t="str">
        <f t="shared" ref="B147:B210" si="48">IF(C147="","",ROUNDUP(C147/12,0))</f>
        <v/>
      </c>
      <c r="C147" s="58" t="str">
        <f t="shared" si="25"/>
        <v/>
      </c>
      <c r="D147" s="28" t="str">
        <f t="shared" si="26"/>
        <v/>
      </c>
      <c r="E147" s="28" t="str">
        <f t="shared" si="27"/>
        <v/>
      </c>
      <c r="F147" s="29" t="str">
        <f t="shared" si="28"/>
        <v/>
      </c>
      <c r="G147" s="60" t="str">
        <f t="shared" si="29"/>
        <v/>
      </c>
      <c r="H147" s="60" t="str">
        <f t="shared" si="30"/>
        <v/>
      </c>
      <c r="I147" s="60" t="str">
        <f t="shared" si="31"/>
        <v/>
      </c>
      <c r="J147" s="60" t="str">
        <f t="shared" si="32"/>
        <v/>
      </c>
      <c r="K147" s="60" t="str">
        <f t="shared" si="33"/>
        <v/>
      </c>
      <c r="L147" s="60" t="str">
        <f t="shared" si="34"/>
        <v/>
      </c>
      <c r="M147" s="60" t="str">
        <f t="shared" si="35"/>
        <v/>
      </c>
      <c r="Q147" s="57" t="str">
        <f t="shared" si="36"/>
        <v/>
      </c>
      <c r="R147" s="58" t="str">
        <f t="shared" si="37"/>
        <v/>
      </c>
      <c r="S147" s="28" t="str">
        <f t="shared" si="38"/>
        <v/>
      </c>
      <c r="T147" s="28" t="str">
        <f t="shared" si="39"/>
        <v/>
      </c>
      <c r="U147" s="29" t="str">
        <f t="shared" si="40"/>
        <v/>
      </c>
      <c r="V147" s="60" t="str">
        <f t="shared" si="41"/>
        <v/>
      </c>
      <c r="W147" s="60" t="str">
        <f t="shared" si="42"/>
        <v/>
      </c>
      <c r="X147" s="60" t="str">
        <f t="shared" si="43"/>
        <v/>
      </c>
      <c r="Y147" s="60" t="str">
        <f t="shared" si="44"/>
        <v/>
      </c>
      <c r="Z147" s="60" t="str">
        <f t="shared" si="45"/>
        <v/>
      </c>
      <c r="AA147" s="60" t="str">
        <f t="shared" si="46"/>
        <v/>
      </c>
      <c r="AB147" s="60" t="str">
        <f t="shared" si="47"/>
        <v/>
      </c>
      <c r="AD147">
        <f>PIP!O132</f>
        <v>10</v>
      </c>
      <c r="AE147">
        <f>PIP!N132</f>
        <v>114</v>
      </c>
      <c r="AF147" s="843">
        <f>PIP!U132</f>
        <v>0</v>
      </c>
      <c r="AG147" s="843">
        <f>PIP!T132</f>
        <v>0</v>
      </c>
      <c r="AH147" s="843">
        <f>PIP!V132</f>
        <v>0</v>
      </c>
      <c r="AI147" s="843">
        <f>PIP!W132</f>
        <v>0</v>
      </c>
      <c r="AJ147" s="843">
        <f>PIP!X132</f>
        <v>0</v>
      </c>
      <c r="AK147" s="843">
        <f>PIP!Y132</f>
        <v>0</v>
      </c>
      <c r="AL147" s="843">
        <f>PIP!Z132</f>
        <v>0</v>
      </c>
    </row>
    <row r="148" spans="2:38">
      <c r="B148" s="57" t="str">
        <f t="shared" si="48"/>
        <v/>
      </c>
      <c r="C148" s="58" t="str">
        <f t="shared" ref="C148:C211" si="49">IF(OR(C147="",C147&gt;=$I$13),"",C147+1)</f>
        <v/>
      </c>
      <c r="D148" s="28" t="str">
        <f t="shared" ref="D148:D211" si="50">IF(B148="","",EOMONTH(D147,1))</f>
        <v/>
      </c>
      <c r="E148" s="28" t="str">
        <f t="shared" ref="E148:E211" si="51">IF(B148="","",$M$15)</f>
        <v/>
      </c>
      <c r="F148" s="29" t="str">
        <f t="shared" ref="F148:F211" si="52">IF(B148="","",IF($M$16="Actual",D148-D147,30))</f>
        <v/>
      </c>
      <c r="G148" s="60" t="str">
        <f t="shared" ref="G148:G211" si="53">IF(B148="","",L147)</f>
        <v/>
      </c>
      <c r="H148" s="60" t="str">
        <f t="shared" ref="H148:H211" si="54">IF(B148="","",(C148&lt;=$I$14)*I148+(C148&gt;$I$14)*PMT($I$11/(E148/F148),$I$12+$I$14-C147,-G148))</f>
        <v/>
      </c>
      <c r="I148" s="60" t="str">
        <f t="shared" ref="I148:I211" si="55">IF(B148="","",G148*$I$11/E148*F148)</f>
        <v/>
      </c>
      <c r="J148" s="60" t="str">
        <f t="shared" ref="J148:J211" si="56">IF(B148="","",H148-I148)</f>
        <v/>
      </c>
      <c r="K148" s="60" t="str">
        <f t="shared" ref="K148:K211" si="57">IF(B148="","",(C148=$I$13)*(G148-J148))</f>
        <v/>
      </c>
      <c r="L148" s="60" t="str">
        <f t="shared" ref="L148:L211" si="58">IF(B148="","",G148-J148-K148)</f>
        <v/>
      </c>
      <c r="M148" s="60" t="str">
        <f t="shared" ref="M148:M211" si="59">IF(B148="","",I148+J148+K148)</f>
        <v/>
      </c>
      <c r="Q148" s="57" t="str">
        <f t="shared" ref="Q148:Q211" si="60">IF(R148="","",ROUNDUP(R148/12,0))</f>
        <v/>
      </c>
      <c r="R148" s="58" t="str">
        <f t="shared" si="37"/>
        <v/>
      </c>
      <c r="S148" s="28" t="str">
        <f t="shared" si="38"/>
        <v/>
      </c>
      <c r="T148" s="28" t="str">
        <f t="shared" si="39"/>
        <v/>
      </c>
      <c r="U148" s="29" t="str">
        <f t="shared" si="40"/>
        <v/>
      </c>
      <c r="V148" s="60" t="str">
        <f t="shared" si="41"/>
        <v/>
      </c>
      <c r="W148" s="60" t="str">
        <f t="shared" si="42"/>
        <v/>
      </c>
      <c r="X148" s="60" t="str">
        <f t="shared" si="43"/>
        <v/>
      </c>
      <c r="Y148" s="60" t="str">
        <f t="shared" si="44"/>
        <v/>
      </c>
      <c r="Z148" s="60" t="str">
        <f t="shared" si="45"/>
        <v/>
      </c>
      <c r="AA148" s="60" t="str">
        <f t="shared" si="46"/>
        <v/>
      </c>
      <c r="AB148" s="60" t="str">
        <f t="shared" si="47"/>
        <v/>
      </c>
      <c r="AD148">
        <f>PIP!O133</f>
        <v>10</v>
      </c>
      <c r="AE148">
        <f>PIP!N133</f>
        <v>115</v>
      </c>
      <c r="AF148" s="843">
        <f>PIP!U133</f>
        <v>0</v>
      </c>
      <c r="AG148" s="843">
        <f>PIP!T133</f>
        <v>0</v>
      </c>
      <c r="AH148" s="843">
        <f>PIP!V133</f>
        <v>0</v>
      </c>
      <c r="AI148" s="843">
        <f>PIP!W133</f>
        <v>0</v>
      </c>
      <c r="AJ148" s="843">
        <f>PIP!X133</f>
        <v>0</v>
      </c>
      <c r="AK148" s="843">
        <f>PIP!Y133</f>
        <v>0</v>
      </c>
      <c r="AL148" s="843">
        <f>PIP!Z133</f>
        <v>0</v>
      </c>
    </row>
    <row r="149" spans="2:38">
      <c r="B149" s="57" t="str">
        <f t="shared" si="48"/>
        <v/>
      </c>
      <c r="C149" s="58" t="str">
        <f t="shared" si="49"/>
        <v/>
      </c>
      <c r="D149" s="28" t="str">
        <f t="shared" si="50"/>
        <v/>
      </c>
      <c r="E149" s="28" t="str">
        <f t="shared" si="51"/>
        <v/>
      </c>
      <c r="F149" s="29" t="str">
        <f t="shared" si="52"/>
        <v/>
      </c>
      <c r="G149" s="60" t="str">
        <f t="shared" si="53"/>
        <v/>
      </c>
      <c r="H149" s="60" t="str">
        <f t="shared" si="54"/>
        <v/>
      </c>
      <c r="I149" s="60" t="str">
        <f t="shared" si="55"/>
        <v/>
      </c>
      <c r="J149" s="60" t="str">
        <f t="shared" si="56"/>
        <v/>
      </c>
      <c r="K149" s="60" t="str">
        <f t="shared" si="57"/>
        <v/>
      </c>
      <c r="L149" s="60" t="str">
        <f t="shared" si="58"/>
        <v/>
      </c>
      <c r="M149" s="60" t="str">
        <f t="shared" si="59"/>
        <v/>
      </c>
      <c r="Q149" s="57" t="str">
        <f t="shared" si="60"/>
        <v/>
      </c>
      <c r="R149" s="58" t="str">
        <f t="shared" ref="R149:R212" si="61">IF(OR(R148="",R148&gt;=$I$13),"",R148+1)</f>
        <v/>
      </c>
      <c r="S149" s="28" t="str">
        <f t="shared" ref="S149:S203" si="62">IF(Q149="","",EOMONTH(S148,1))</f>
        <v/>
      </c>
      <c r="T149" s="28" t="str">
        <f t="shared" ref="T149:T212" si="63">IF(Q149="","",$M$15)</f>
        <v/>
      </c>
      <c r="U149" s="29" t="str">
        <f t="shared" ref="U149:U212" si="64">IF(Q149="","",IF($M$16="Actual",S149-S148,30))</f>
        <v/>
      </c>
      <c r="V149" s="60" t="str">
        <f t="shared" ref="V149:V203" si="65">IF(Q149="","",AA148)</f>
        <v/>
      </c>
      <c r="W149" s="60" t="str">
        <f t="shared" ref="W149:W212" si="66">IF(Q149="","",(R149&lt;=$I$14)*X149+(R149&gt;$I$14)*PMT($I$11/(T149/U149),$I$12+$I$14-R148,-V149))</f>
        <v/>
      </c>
      <c r="X149" s="60" t="str">
        <f t="shared" ref="X149:X212" si="67">IF(Q149="","",V149*$I$11/T149*U149)</f>
        <v/>
      </c>
      <c r="Y149" s="60" t="str">
        <f t="shared" ref="Y149:Y212" si="68">IF(Q149="","",W149-X149)</f>
        <v/>
      </c>
      <c r="Z149" s="60" t="str">
        <f t="shared" ref="Z149:Z212" si="69">IF(Q149="","",(R149=$I$13)*(V149-Y149))</f>
        <v/>
      </c>
      <c r="AA149" s="60" t="str">
        <f t="shared" ref="AA149:AA212" si="70">IF(Q149="","",V149-Y149-Z149)</f>
        <v/>
      </c>
      <c r="AB149" s="60" t="str">
        <f t="shared" ref="AB149:AB212" si="71">IF(Q149="","",X149+Y149+Z149)</f>
        <v/>
      </c>
      <c r="AD149">
        <f>PIP!O134</f>
        <v>10</v>
      </c>
      <c r="AE149">
        <f>PIP!N134</f>
        <v>116</v>
      </c>
      <c r="AF149" s="843">
        <f>PIP!U134</f>
        <v>0</v>
      </c>
      <c r="AG149" s="843">
        <f>PIP!T134</f>
        <v>0</v>
      </c>
      <c r="AH149" s="843">
        <f>PIP!V134</f>
        <v>0</v>
      </c>
      <c r="AI149" s="843">
        <f>PIP!W134</f>
        <v>0</v>
      </c>
      <c r="AJ149" s="843">
        <f>PIP!X134</f>
        <v>0</v>
      </c>
      <c r="AK149" s="843">
        <f>PIP!Y134</f>
        <v>0</v>
      </c>
      <c r="AL149" s="843">
        <f>PIP!Z134</f>
        <v>0</v>
      </c>
    </row>
    <row r="150" spans="2:38">
      <c r="B150" s="57" t="str">
        <f t="shared" si="48"/>
        <v/>
      </c>
      <c r="C150" s="58" t="str">
        <f t="shared" si="49"/>
        <v/>
      </c>
      <c r="D150" s="28" t="str">
        <f t="shared" si="50"/>
        <v/>
      </c>
      <c r="E150" s="28" t="str">
        <f t="shared" si="51"/>
        <v/>
      </c>
      <c r="F150" s="29" t="str">
        <f t="shared" si="52"/>
        <v/>
      </c>
      <c r="G150" s="60" t="str">
        <f t="shared" si="53"/>
        <v/>
      </c>
      <c r="H150" s="60" t="str">
        <f t="shared" si="54"/>
        <v/>
      </c>
      <c r="I150" s="60" t="str">
        <f t="shared" si="55"/>
        <v/>
      </c>
      <c r="J150" s="60" t="str">
        <f t="shared" si="56"/>
        <v/>
      </c>
      <c r="K150" s="60" t="str">
        <f t="shared" si="57"/>
        <v/>
      </c>
      <c r="L150" s="60" t="str">
        <f t="shared" si="58"/>
        <v/>
      </c>
      <c r="M150" s="60" t="str">
        <f t="shared" si="59"/>
        <v/>
      </c>
      <c r="Q150" s="57" t="str">
        <f t="shared" si="60"/>
        <v/>
      </c>
      <c r="R150" s="58" t="str">
        <f t="shared" si="61"/>
        <v/>
      </c>
      <c r="S150" s="28" t="str">
        <f t="shared" si="62"/>
        <v/>
      </c>
      <c r="T150" s="28" t="str">
        <f t="shared" si="63"/>
        <v/>
      </c>
      <c r="U150" s="29" t="str">
        <f t="shared" si="64"/>
        <v/>
      </c>
      <c r="V150" s="60" t="str">
        <f t="shared" si="65"/>
        <v/>
      </c>
      <c r="W150" s="60" t="str">
        <f t="shared" si="66"/>
        <v/>
      </c>
      <c r="X150" s="60" t="str">
        <f t="shared" si="67"/>
        <v/>
      </c>
      <c r="Y150" s="60" t="str">
        <f t="shared" si="68"/>
        <v/>
      </c>
      <c r="Z150" s="60" t="str">
        <f t="shared" si="69"/>
        <v/>
      </c>
      <c r="AA150" s="60" t="str">
        <f t="shared" si="70"/>
        <v/>
      </c>
      <c r="AB150" s="60" t="str">
        <f t="shared" si="71"/>
        <v/>
      </c>
      <c r="AD150">
        <f>PIP!O135</f>
        <v>10</v>
      </c>
      <c r="AE150">
        <f>PIP!N135</f>
        <v>117</v>
      </c>
      <c r="AF150" s="843">
        <f>PIP!U135</f>
        <v>0</v>
      </c>
      <c r="AG150" s="843">
        <f>PIP!T135</f>
        <v>0</v>
      </c>
      <c r="AH150" s="843">
        <f>PIP!V135</f>
        <v>0</v>
      </c>
      <c r="AI150" s="843">
        <f>PIP!W135</f>
        <v>0</v>
      </c>
      <c r="AJ150" s="843">
        <f>PIP!X135</f>
        <v>0</v>
      </c>
      <c r="AK150" s="843">
        <f>PIP!Y135</f>
        <v>0</v>
      </c>
      <c r="AL150" s="843">
        <f>PIP!Z135</f>
        <v>0</v>
      </c>
    </row>
    <row r="151" spans="2:38">
      <c r="B151" s="57" t="str">
        <f t="shared" si="48"/>
        <v/>
      </c>
      <c r="C151" s="58" t="str">
        <f t="shared" si="49"/>
        <v/>
      </c>
      <c r="D151" s="28" t="str">
        <f t="shared" si="50"/>
        <v/>
      </c>
      <c r="E151" s="28" t="str">
        <f t="shared" si="51"/>
        <v/>
      </c>
      <c r="F151" s="29" t="str">
        <f t="shared" si="52"/>
        <v/>
      </c>
      <c r="G151" s="60" t="str">
        <f t="shared" si="53"/>
        <v/>
      </c>
      <c r="H151" s="60" t="str">
        <f t="shared" si="54"/>
        <v/>
      </c>
      <c r="I151" s="60" t="str">
        <f t="shared" si="55"/>
        <v/>
      </c>
      <c r="J151" s="60" t="str">
        <f t="shared" si="56"/>
        <v/>
      </c>
      <c r="K151" s="60" t="str">
        <f t="shared" si="57"/>
        <v/>
      </c>
      <c r="L151" s="60" t="str">
        <f t="shared" si="58"/>
        <v/>
      </c>
      <c r="M151" s="60" t="str">
        <f t="shared" si="59"/>
        <v/>
      </c>
      <c r="Q151" s="57" t="str">
        <f t="shared" si="60"/>
        <v/>
      </c>
      <c r="R151" s="58" t="str">
        <f t="shared" si="61"/>
        <v/>
      </c>
      <c r="S151" s="28" t="str">
        <f t="shared" si="62"/>
        <v/>
      </c>
      <c r="T151" s="28" t="str">
        <f t="shared" si="63"/>
        <v/>
      </c>
      <c r="U151" s="29" t="str">
        <f t="shared" si="64"/>
        <v/>
      </c>
      <c r="V151" s="60" t="str">
        <f t="shared" si="65"/>
        <v/>
      </c>
      <c r="W151" s="60" t="str">
        <f t="shared" si="66"/>
        <v/>
      </c>
      <c r="X151" s="60" t="str">
        <f t="shared" si="67"/>
        <v/>
      </c>
      <c r="Y151" s="60" t="str">
        <f t="shared" si="68"/>
        <v/>
      </c>
      <c r="Z151" s="60" t="str">
        <f t="shared" si="69"/>
        <v/>
      </c>
      <c r="AA151" s="60" t="str">
        <f t="shared" si="70"/>
        <v/>
      </c>
      <c r="AB151" s="60" t="str">
        <f t="shared" si="71"/>
        <v/>
      </c>
      <c r="AD151">
        <f>PIP!O136</f>
        <v>10</v>
      </c>
      <c r="AE151">
        <f>PIP!N136</f>
        <v>118</v>
      </c>
      <c r="AF151" s="843">
        <f>PIP!U136</f>
        <v>0</v>
      </c>
      <c r="AG151" s="843">
        <f>PIP!T136</f>
        <v>0</v>
      </c>
      <c r="AH151" s="843">
        <f>PIP!V136</f>
        <v>0</v>
      </c>
      <c r="AI151" s="843">
        <f>PIP!W136</f>
        <v>0</v>
      </c>
      <c r="AJ151" s="843">
        <f>PIP!X136</f>
        <v>0</v>
      </c>
      <c r="AK151" s="843">
        <f>PIP!Y136</f>
        <v>0</v>
      </c>
      <c r="AL151" s="843">
        <f>PIP!Z136</f>
        <v>0</v>
      </c>
    </row>
    <row r="152" spans="2:38">
      <c r="B152" s="57" t="str">
        <f t="shared" si="48"/>
        <v/>
      </c>
      <c r="C152" s="58" t="str">
        <f t="shared" si="49"/>
        <v/>
      </c>
      <c r="D152" s="28" t="str">
        <f t="shared" si="50"/>
        <v/>
      </c>
      <c r="E152" s="28" t="str">
        <f t="shared" si="51"/>
        <v/>
      </c>
      <c r="F152" s="29" t="str">
        <f t="shared" si="52"/>
        <v/>
      </c>
      <c r="G152" s="60" t="str">
        <f t="shared" si="53"/>
        <v/>
      </c>
      <c r="H152" s="60" t="str">
        <f t="shared" si="54"/>
        <v/>
      </c>
      <c r="I152" s="60" t="str">
        <f t="shared" si="55"/>
        <v/>
      </c>
      <c r="J152" s="60" t="str">
        <f t="shared" si="56"/>
        <v/>
      </c>
      <c r="K152" s="60" t="str">
        <f t="shared" si="57"/>
        <v/>
      </c>
      <c r="L152" s="60" t="str">
        <f t="shared" si="58"/>
        <v/>
      </c>
      <c r="M152" s="60" t="str">
        <f t="shared" si="59"/>
        <v/>
      </c>
      <c r="Q152" s="57" t="str">
        <f t="shared" si="60"/>
        <v/>
      </c>
      <c r="R152" s="58" t="str">
        <f t="shared" si="61"/>
        <v/>
      </c>
      <c r="S152" s="28" t="str">
        <f t="shared" si="62"/>
        <v/>
      </c>
      <c r="T152" s="28" t="str">
        <f t="shared" si="63"/>
        <v/>
      </c>
      <c r="U152" s="29" t="str">
        <f t="shared" si="64"/>
        <v/>
      </c>
      <c r="V152" s="60" t="str">
        <f t="shared" si="65"/>
        <v/>
      </c>
      <c r="W152" s="60" t="str">
        <f t="shared" si="66"/>
        <v/>
      </c>
      <c r="X152" s="60" t="str">
        <f t="shared" si="67"/>
        <v/>
      </c>
      <c r="Y152" s="60" t="str">
        <f t="shared" si="68"/>
        <v/>
      </c>
      <c r="Z152" s="60" t="str">
        <f t="shared" si="69"/>
        <v/>
      </c>
      <c r="AA152" s="60" t="str">
        <f t="shared" si="70"/>
        <v/>
      </c>
      <c r="AB152" s="60" t="str">
        <f t="shared" si="71"/>
        <v/>
      </c>
      <c r="AD152">
        <f>PIP!O137</f>
        <v>10</v>
      </c>
      <c r="AE152">
        <f>PIP!N137</f>
        <v>119</v>
      </c>
      <c r="AF152" s="843">
        <f>PIP!U137</f>
        <v>0</v>
      </c>
      <c r="AG152" s="843">
        <f>PIP!T137</f>
        <v>0</v>
      </c>
      <c r="AH152" s="843">
        <f>PIP!V137</f>
        <v>0</v>
      </c>
      <c r="AI152" s="843">
        <f>PIP!W137</f>
        <v>0</v>
      </c>
      <c r="AJ152" s="843">
        <f>PIP!X137</f>
        <v>0</v>
      </c>
      <c r="AK152" s="843">
        <f>PIP!Y137</f>
        <v>0</v>
      </c>
      <c r="AL152" s="843">
        <f>PIP!Z137</f>
        <v>0</v>
      </c>
    </row>
    <row r="153" spans="2:38">
      <c r="B153" s="57" t="str">
        <f t="shared" si="48"/>
        <v/>
      </c>
      <c r="C153" s="58" t="str">
        <f t="shared" si="49"/>
        <v/>
      </c>
      <c r="D153" s="28" t="str">
        <f t="shared" si="50"/>
        <v/>
      </c>
      <c r="E153" s="28" t="str">
        <f t="shared" si="51"/>
        <v/>
      </c>
      <c r="F153" s="29" t="str">
        <f t="shared" si="52"/>
        <v/>
      </c>
      <c r="G153" s="60" t="str">
        <f t="shared" si="53"/>
        <v/>
      </c>
      <c r="H153" s="60" t="str">
        <f t="shared" si="54"/>
        <v/>
      </c>
      <c r="I153" s="60" t="str">
        <f t="shared" si="55"/>
        <v/>
      </c>
      <c r="J153" s="60" t="str">
        <f t="shared" si="56"/>
        <v/>
      </c>
      <c r="K153" s="60" t="str">
        <f t="shared" si="57"/>
        <v/>
      </c>
      <c r="L153" s="60" t="str">
        <f t="shared" si="58"/>
        <v/>
      </c>
      <c r="M153" s="60" t="str">
        <f t="shared" si="59"/>
        <v/>
      </c>
      <c r="Q153" s="57" t="str">
        <f t="shared" si="60"/>
        <v/>
      </c>
      <c r="R153" s="58" t="str">
        <f t="shared" si="61"/>
        <v/>
      </c>
      <c r="S153" s="28" t="str">
        <f t="shared" si="62"/>
        <v/>
      </c>
      <c r="T153" s="28" t="str">
        <f t="shared" si="63"/>
        <v/>
      </c>
      <c r="U153" s="29" t="str">
        <f t="shared" si="64"/>
        <v/>
      </c>
      <c r="V153" s="60" t="str">
        <f t="shared" si="65"/>
        <v/>
      </c>
      <c r="W153" s="60" t="str">
        <f t="shared" si="66"/>
        <v/>
      </c>
      <c r="X153" s="60" t="str">
        <f t="shared" si="67"/>
        <v/>
      </c>
      <c r="Y153" s="60" t="str">
        <f t="shared" si="68"/>
        <v/>
      </c>
      <c r="Z153" s="60" t="str">
        <f t="shared" si="69"/>
        <v/>
      </c>
      <c r="AA153" s="60" t="str">
        <f t="shared" si="70"/>
        <v/>
      </c>
      <c r="AB153" s="60" t="str">
        <f t="shared" si="71"/>
        <v/>
      </c>
      <c r="AD153">
        <f>PIP!O138</f>
        <v>10</v>
      </c>
      <c r="AE153">
        <f>PIP!N138</f>
        <v>120</v>
      </c>
      <c r="AF153" s="843">
        <f>PIP!U138</f>
        <v>0</v>
      </c>
      <c r="AG153" s="843">
        <f>PIP!T138</f>
        <v>0</v>
      </c>
      <c r="AH153" s="843">
        <f>PIP!V138</f>
        <v>0</v>
      </c>
      <c r="AI153" s="843">
        <f>PIP!W138</f>
        <v>0</v>
      </c>
      <c r="AJ153" s="843">
        <f>PIP!X138</f>
        <v>0</v>
      </c>
      <c r="AK153" s="843">
        <f>PIP!Y138</f>
        <v>0</v>
      </c>
      <c r="AL153" s="843">
        <f>PIP!Z138</f>
        <v>0</v>
      </c>
    </row>
    <row r="154" spans="2:38">
      <c r="B154" s="57" t="str">
        <f t="shared" si="48"/>
        <v/>
      </c>
      <c r="C154" s="58" t="str">
        <f t="shared" si="49"/>
        <v/>
      </c>
      <c r="D154" s="28" t="str">
        <f t="shared" si="50"/>
        <v/>
      </c>
      <c r="E154" s="28" t="str">
        <f t="shared" si="51"/>
        <v/>
      </c>
      <c r="F154" s="29" t="str">
        <f t="shared" si="52"/>
        <v/>
      </c>
      <c r="G154" s="60" t="str">
        <f t="shared" si="53"/>
        <v/>
      </c>
      <c r="H154" s="60" t="str">
        <f t="shared" si="54"/>
        <v/>
      </c>
      <c r="I154" s="60" t="str">
        <f t="shared" si="55"/>
        <v/>
      </c>
      <c r="J154" s="60" t="str">
        <f t="shared" si="56"/>
        <v/>
      </c>
      <c r="K154" s="60" t="str">
        <f t="shared" si="57"/>
        <v/>
      </c>
      <c r="L154" s="60" t="str">
        <f t="shared" si="58"/>
        <v/>
      </c>
      <c r="M154" s="60" t="str">
        <f t="shared" si="59"/>
        <v/>
      </c>
      <c r="Q154" s="57" t="str">
        <f t="shared" si="60"/>
        <v/>
      </c>
      <c r="R154" s="58" t="str">
        <f t="shared" si="61"/>
        <v/>
      </c>
      <c r="S154" s="28" t="str">
        <f t="shared" si="62"/>
        <v/>
      </c>
      <c r="T154" s="28" t="str">
        <f t="shared" si="63"/>
        <v/>
      </c>
      <c r="U154" s="29" t="str">
        <f t="shared" si="64"/>
        <v/>
      </c>
      <c r="V154" s="60" t="str">
        <f t="shared" si="65"/>
        <v/>
      </c>
      <c r="W154" s="60" t="str">
        <f t="shared" si="66"/>
        <v/>
      </c>
      <c r="X154" s="60" t="str">
        <f t="shared" si="67"/>
        <v/>
      </c>
      <c r="Y154" s="60" t="str">
        <f t="shared" si="68"/>
        <v/>
      </c>
      <c r="Z154" s="60" t="str">
        <f t="shared" si="69"/>
        <v/>
      </c>
      <c r="AA154" s="60" t="str">
        <f t="shared" si="70"/>
        <v/>
      </c>
      <c r="AB154" s="60" t="str">
        <f t="shared" si="71"/>
        <v/>
      </c>
    </row>
    <row r="155" spans="2:38">
      <c r="B155" s="57" t="str">
        <f t="shared" si="48"/>
        <v/>
      </c>
      <c r="C155" s="58" t="str">
        <f t="shared" si="49"/>
        <v/>
      </c>
      <c r="D155" s="28" t="str">
        <f t="shared" si="50"/>
        <v/>
      </c>
      <c r="E155" s="28" t="str">
        <f t="shared" si="51"/>
        <v/>
      </c>
      <c r="F155" s="29" t="str">
        <f t="shared" si="52"/>
        <v/>
      </c>
      <c r="G155" s="60" t="str">
        <f t="shared" si="53"/>
        <v/>
      </c>
      <c r="H155" s="60" t="str">
        <f t="shared" si="54"/>
        <v/>
      </c>
      <c r="I155" s="60" t="str">
        <f t="shared" si="55"/>
        <v/>
      </c>
      <c r="J155" s="60" t="str">
        <f t="shared" si="56"/>
        <v/>
      </c>
      <c r="K155" s="60" t="str">
        <f t="shared" si="57"/>
        <v/>
      </c>
      <c r="L155" s="60" t="str">
        <f t="shared" si="58"/>
        <v/>
      </c>
      <c r="M155" s="60" t="str">
        <f t="shared" si="59"/>
        <v/>
      </c>
      <c r="Q155" s="57" t="str">
        <f t="shared" si="60"/>
        <v/>
      </c>
      <c r="R155" s="58" t="str">
        <f t="shared" si="61"/>
        <v/>
      </c>
      <c r="S155" s="28" t="str">
        <f t="shared" si="62"/>
        <v/>
      </c>
      <c r="T155" s="28" t="str">
        <f t="shared" si="63"/>
        <v/>
      </c>
      <c r="U155" s="29" t="str">
        <f t="shared" si="64"/>
        <v/>
      </c>
      <c r="V155" s="60" t="str">
        <f t="shared" si="65"/>
        <v/>
      </c>
      <c r="W155" s="60" t="str">
        <f t="shared" si="66"/>
        <v/>
      </c>
      <c r="X155" s="60" t="str">
        <f t="shared" si="67"/>
        <v/>
      </c>
      <c r="Y155" s="60" t="str">
        <f t="shared" si="68"/>
        <v/>
      </c>
      <c r="Z155" s="60" t="str">
        <f t="shared" si="69"/>
        <v/>
      </c>
      <c r="AA155" s="60" t="str">
        <f t="shared" si="70"/>
        <v/>
      </c>
      <c r="AB155" s="60" t="str">
        <f t="shared" si="71"/>
        <v/>
      </c>
    </row>
    <row r="156" spans="2:38">
      <c r="B156" s="57" t="str">
        <f t="shared" si="48"/>
        <v/>
      </c>
      <c r="C156" s="58" t="str">
        <f t="shared" si="49"/>
        <v/>
      </c>
      <c r="D156" s="28" t="str">
        <f t="shared" si="50"/>
        <v/>
      </c>
      <c r="E156" s="28" t="str">
        <f t="shared" si="51"/>
        <v/>
      </c>
      <c r="F156" s="29" t="str">
        <f t="shared" si="52"/>
        <v/>
      </c>
      <c r="G156" s="60" t="str">
        <f t="shared" si="53"/>
        <v/>
      </c>
      <c r="H156" s="60" t="str">
        <f t="shared" si="54"/>
        <v/>
      </c>
      <c r="I156" s="60" t="str">
        <f t="shared" si="55"/>
        <v/>
      </c>
      <c r="J156" s="60" t="str">
        <f t="shared" si="56"/>
        <v/>
      </c>
      <c r="K156" s="60" t="str">
        <f t="shared" si="57"/>
        <v/>
      </c>
      <c r="L156" s="60" t="str">
        <f t="shared" si="58"/>
        <v/>
      </c>
      <c r="M156" s="60" t="str">
        <f t="shared" si="59"/>
        <v/>
      </c>
      <c r="Q156" s="57" t="str">
        <f t="shared" si="60"/>
        <v/>
      </c>
      <c r="R156" s="58" t="str">
        <f t="shared" si="61"/>
        <v/>
      </c>
      <c r="S156" s="28" t="str">
        <f t="shared" si="62"/>
        <v/>
      </c>
      <c r="T156" s="28" t="str">
        <f t="shared" si="63"/>
        <v/>
      </c>
      <c r="U156" s="29" t="str">
        <f t="shared" si="64"/>
        <v/>
      </c>
      <c r="V156" s="60" t="str">
        <f t="shared" si="65"/>
        <v/>
      </c>
      <c r="W156" s="60" t="str">
        <f t="shared" si="66"/>
        <v/>
      </c>
      <c r="X156" s="60" t="str">
        <f t="shared" si="67"/>
        <v/>
      </c>
      <c r="Y156" s="60" t="str">
        <f t="shared" si="68"/>
        <v/>
      </c>
      <c r="Z156" s="60" t="str">
        <f t="shared" si="69"/>
        <v/>
      </c>
      <c r="AA156" s="60" t="str">
        <f t="shared" si="70"/>
        <v/>
      </c>
      <c r="AB156" s="60" t="str">
        <f t="shared" si="71"/>
        <v/>
      </c>
    </row>
    <row r="157" spans="2:38">
      <c r="B157" s="57" t="str">
        <f t="shared" si="48"/>
        <v/>
      </c>
      <c r="C157" s="58" t="str">
        <f t="shared" si="49"/>
        <v/>
      </c>
      <c r="D157" s="28" t="str">
        <f t="shared" si="50"/>
        <v/>
      </c>
      <c r="E157" s="28" t="str">
        <f t="shared" si="51"/>
        <v/>
      </c>
      <c r="F157" s="29" t="str">
        <f t="shared" si="52"/>
        <v/>
      </c>
      <c r="G157" s="60" t="str">
        <f t="shared" si="53"/>
        <v/>
      </c>
      <c r="H157" s="60" t="str">
        <f t="shared" si="54"/>
        <v/>
      </c>
      <c r="I157" s="60" t="str">
        <f t="shared" si="55"/>
        <v/>
      </c>
      <c r="J157" s="60" t="str">
        <f t="shared" si="56"/>
        <v/>
      </c>
      <c r="K157" s="60" t="str">
        <f t="shared" si="57"/>
        <v/>
      </c>
      <c r="L157" s="60" t="str">
        <f t="shared" si="58"/>
        <v/>
      </c>
      <c r="M157" s="60" t="str">
        <f t="shared" si="59"/>
        <v/>
      </c>
      <c r="Q157" s="57" t="str">
        <f t="shared" si="60"/>
        <v/>
      </c>
      <c r="R157" s="58" t="str">
        <f t="shared" si="61"/>
        <v/>
      </c>
      <c r="S157" s="28" t="str">
        <f t="shared" si="62"/>
        <v/>
      </c>
      <c r="T157" s="28" t="str">
        <f t="shared" si="63"/>
        <v/>
      </c>
      <c r="U157" s="29" t="str">
        <f t="shared" si="64"/>
        <v/>
      </c>
      <c r="V157" s="60" t="str">
        <f t="shared" si="65"/>
        <v/>
      </c>
      <c r="W157" s="60" t="str">
        <f t="shared" si="66"/>
        <v/>
      </c>
      <c r="X157" s="60" t="str">
        <f t="shared" si="67"/>
        <v/>
      </c>
      <c r="Y157" s="60" t="str">
        <f t="shared" si="68"/>
        <v/>
      </c>
      <c r="Z157" s="60" t="str">
        <f t="shared" si="69"/>
        <v/>
      </c>
      <c r="AA157" s="60" t="str">
        <f t="shared" si="70"/>
        <v/>
      </c>
      <c r="AB157" s="60" t="str">
        <f t="shared" si="71"/>
        <v/>
      </c>
    </row>
    <row r="158" spans="2:38">
      <c r="B158" s="57" t="str">
        <f t="shared" si="48"/>
        <v/>
      </c>
      <c r="C158" s="58" t="str">
        <f t="shared" si="49"/>
        <v/>
      </c>
      <c r="D158" s="28" t="str">
        <f t="shared" si="50"/>
        <v/>
      </c>
      <c r="E158" s="28" t="str">
        <f t="shared" si="51"/>
        <v/>
      </c>
      <c r="F158" s="29" t="str">
        <f t="shared" si="52"/>
        <v/>
      </c>
      <c r="G158" s="60" t="str">
        <f t="shared" si="53"/>
        <v/>
      </c>
      <c r="H158" s="60" t="str">
        <f t="shared" si="54"/>
        <v/>
      </c>
      <c r="I158" s="60" t="str">
        <f t="shared" si="55"/>
        <v/>
      </c>
      <c r="J158" s="60" t="str">
        <f t="shared" si="56"/>
        <v/>
      </c>
      <c r="K158" s="60" t="str">
        <f t="shared" si="57"/>
        <v/>
      </c>
      <c r="L158" s="60" t="str">
        <f t="shared" si="58"/>
        <v/>
      </c>
      <c r="M158" s="60" t="str">
        <f t="shared" si="59"/>
        <v/>
      </c>
      <c r="Q158" s="57" t="str">
        <f t="shared" si="60"/>
        <v/>
      </c>
      <c r="R158" s="58" t="str">
        <f t="shared" si="61"/>
        <v/>
      </c>
      <c r="S158" s="28" t="str">
        <f t="shared" si="62"/>
        <v/>
      </c>
      <c r="T158" s="28" t="str">
        <f t="shared" si="63"/>
        <v/>
      </c>
      <c r="U158" s="29" t="str">
        <f t="shared" si="64"/>
        <v/>
      </c>
      <c r="V158" s="60" t="str">
        <f t="shared" si="65"/>
        <v/>
      </c>
      <c r="W158" s="60" t="str">
        <f t="shared" si="66"/>
        <v/>
      </c>
      <c r="X158" s="60" t="str">
        <f t="shared" si="67"/>
        <v/>
      </c>
      <c r="Y158" s="60" t="str">
        <f t="shared" si="68"/>
        <v/>
      </c>
      <c r="Z158" s="60" t="str">
        <f t="shared" si="69"/>
        <v/>
      </c>
      <c r="AA158" s="60" t="str">
        <f t="shared" si="70"/>
        <v/>
      </c>
      <c r="AB158" s="60" t="str">
        <f t="shared" si="71"/>
        <v/>
      </c>
    </row>
    <row r="159" spans="2:38">
      <c r="B159" s="57" t="str">
        <f t="shared" si="48"/>
        <v/>
      </c>
      <c r="C159" s="58" t="str">
        <f t="shared" si="49"/>
        <v/>
      </c>
      <c r="D159" s="28" t="str">
        <f t="shared" si="50"/>
        <v/>
      </c>
      <c r="E159" s="28" t="str">
        <f t="shared" si="51"/>
        <v/>
      </c>
      <c r="F159" s="29" t="str">
        <f t="shared" si="52"/>
        <v/>
      </c>
      <c r="G159" s="60" t="str">
        <f t="shared" si="53"/>
        <v/>
      </c>
      <c r="H159" s="60" t="str">
        <f t="shared" si="54"/>
        <v/>
      </c>
      <c r="I159" s="60" t="str">
        <f t="shared" si="55"/>
        <v/>
      </c>
      <c r="J159" s="60" t="str">
        <f t="shared" si="56"/>
        <v/>
      </c>
      <c r="K159" s="60" t="str">
        <f t="shared" si="57"/>
        <v/>
      </c>
      <c r="L159" s="60" t="str">
        <f t="shared" si="58"/>
        <v/>
      </c>
      <c r="M159" s="60" t="str">
        <f t="shared" si="59"/>
        <v/>
      </c>
      <c r="Q159" s="57" t="str">
        <f t="shared" si="60"/>
        <v/>
      </c>
      <c r="R159" s="58" t="str">
        <f t="shared" si="61"/>
        <v/>
      </c>
      <c r="S159" s="28" t="str">
        <f t="shared" si="62"/>
        <v/>
      </c>
      <c r="T159" s="28" t="str">
        <f t="shared" si="63"/>
        <v/>
      </c>
      <c r="U159" s="29" t="str">
        <f t="shared" si="64"/>
        <v/>
      </c>
      <c r="V159" s="60" t="str">
        <f t="shared" si="65"/>
        <v/>
      </c>
      <c r="W159" s="60" t="str">
        <f t="shared" si="66"/>
        <v/>
      </c>
      <c r="X159" s="60" t="str">
        <f t="shared" si="67"/>
        <v/>
      </c>
      <c r="Y159" s="60" t="str">
        <f t="shared" si="68"/>
        <v/>
      </c>
      <c r="Z159" s="60" t="str">
        <f t="shared" si="69"/>
        <v/>
      </c>
      <c r="AA159" s="60" t="str">
        <f t="shared" si="70"/>
        <v/>
      </c>
      <c r="AB159" s="60" t="str">
        <f t="shared" si="71"/>
        <v/>
      </c>
    </row>
    <row r="160" spans="2:38">
      <c r="B160" s="57" t="str">
        <f t="shared" si="48"/>
        <v/>
      </c>
      <c r="C160" s="58" t="str">
        <f t="shared" si="49"/>
        <v/>
      </c>
      <c r="D160" s="28" t="str">
        <f t="shared" si="50"/>
        <v/>
      </c>
      <c r="E160" s="28" t="str">
        <f t="shared" si="51"/>
        <v/>
      </c>
      <c r="F160" s="29" t="str">
        <f t="shared" si="52"/>
        <v/>
      </c>
      <c r="G160" s="60" t="str">
        <f t="shared" si="53"/>
        <v/>
      </c>
      <c r="H160" s="60" t="str">
        <f t="shared" si="54"/>
        <v/>
      </c>
      <c r="I160" s="60" t="str">
        <f t="shared" si="55"/>
        <v/>
      </c>
      <c r="J160" s="60" t="str">
        <f t="shared" si="56"/>
        <v/>
      </c>
      <c r="K160" s="60" t="str">
        <f t="shared" si="57"/>
        <v/>
      </c>
      <c r="L160" s="60" t="str">
        <f t="shared" si="58"/>
        <v/>
      </c>
      <c r="M160" s="60" t="str">
        <f t="shared" si="59"/>
        <v/>
      </c>
      <c r="Q160" s="57" t="str">
        <f t="shared" si="60"/>
        <v/>
      </c>
      <c r="R160" s="58" t="str">
        <f t="shared" si="61"/>
        <v/>
      </c>
      <c r="S160" s="28" t="str">
        <f t="shared" si="62"/>
        <v/>
      </c>
      <c r="T160" s="28" t="str">
        <f t="shared" si="63"/>
        <v/>
      </c>
      <c r="U160" s="29" t="str">
        <f t="shared" si="64"/>
        <v/>
      </c>
      <c r="V160" s="60" t="str">
        <f t="shared" si="65"/>
        <v/>
      </c>
      <c r="W160" s="60" t="str">
        <f t="shared" si="66"/>
        <v/>
      </c>
      <c r="X160" s="60" t="str">
        <f t="shared" si="67"/>
        <v/>
      </c>
      <c r="Y160" s="60" t="str">
        <f t="shared" si="68"/>
        <v/>
      </c>
      <c r="Z160" s="60" t="str">
        <f t="shared" si="69"/>
        <v/>
      </c>
      <c r="AA160" s="60" t="str">
        <f t="shared" si="70"/>
        <v/>
      </c>
      <c r="AB160" s="60" t="str">
        <f t="shared" si="71"/>
        <v/>
      </c>
    </row>
    <row r="161" spans="2:28">
      <c r="B161" s="57" t="str">
        <f t="shared" si="48"/>
        <v/>
      </c>
      <c r="C161" s="58" t="str">
        <f t="shared" si="49"/>
        <v/>
      </c>
      <c r="D161" s="28" t="str">
        <f t="shared" si="50"/>
        <v/>
      </c>
      <c r="E161" s="28" t="str">
        <f t="shared" si="51"/>
        <v/>
      </c>
      <c r="F161" s="29" t="str">
        <f t="shared" si="52"/>
        <v/>
      </c>
      <c r="G161" s="60" t="str">
        <f t="shared" si="53"/>
        <v/>
      </c>
      <c r="H161" s="60" t="str">
        <f t="shared" si="54"/>
        <v/>
      </c>
      <c r="I161" s="60" t="str">
        <f t="shared" si="55"/>
        <v/>
      </c>
      <c r="J161" s="60" t="str">
        <f t="shared" si="56"/>
        <v/>
      </c>
      <c r="K161" s="60" t="str">
        <f t="shared" si="57"/>
        <v/>
      </c>
      <c r="L161" s="60" t="str">
        <f t="shared" si="58"/>
        <v/>
      </c>
      <c r="M161" s="60" t="str">
        <f t="shared" si="59"/>
        <v/>
      </c>
      <c r="Q161" s="57" t="str">
        <f t="shared" si="60"/>
        <v/>
      </c>
      <c r="R161" s="58" t="str">
        <f t="shared" si="61"/>
        <v/>
      </c>
      <c r="S161" s="28" t="str">
        <f t="shared" si="62"/>
        <v/>
      </c>
      <c r="T161" s="28" t="str">
        <f t="shared" si="63"/>
        <v/>
      </c>
      <c r="U161" s="29" t="str">
        <f t="shared" si="64"/>
        <v/>
      </c>
      <c r="V161" s="60" t="str">
        <f t="shared" si="65"/>
        <v/>
      </c>
      <c r="W161" s="60" t="str">
        <f t="shared" si="66"/>
        <v/>
      </c>
      <c r="X161" s="60" t="str">
        <f t="shared" si="67"/>
        <v/>
      </c>
      <c r="Y161" s="60" t="str">
        <f t="shared" si="68"/>
        <v/>
      </c>
      <c r="Z161" s="60" t="str">
        <f t="shared" si="69"/>
        <v/>
      </c>
      <c r="AA161" s="60" t="str">
        <f t="shared" si="70"/>
        <v/>
      </c>
      <c r="AB161" s="60" t="str">
        <f t="shared" si="71"/>
        <v/>
      </c>
    </row>
    <row r="162" spans="2:28">
      <c r="B162" s="57" t="str">
        <f t="shared" si="48"/>
        <v/>
      </c>
      <c r="C162" s="58" t="str">
        <f t="shared" si="49"/>
        <v/>
      </c>
      <c r="D162" s="28" t="str">
        <f t="shared" si="50"/>
        <v/>
      </c>
      <c r="E162" s="28" t="str">
        <f t="shared" si="51"/>
        <v/>
      </c>
      <c r="F162" s="29" t="str">
        <f t="shared" si="52"/>
        <v/>
      </c>
      <c r="G162" s="60" t="str">
        <f t="shared" si="53"/>
        <v/>
      </c>
      <c r="H162" s="60" t="str">
        <f t="shared" si="54"/>
        <v/>
      </c>
      <c r="I162" s="60" t="str">
        <f t="shared" si="55"/>
        <v/>
      </c>
      <c r="J162" s="60" t="str">
        <f t="shared" si="56"/>
        <v/>
      </c>
      <c r="K162" s="60" t="str">
        <f t="shared" si="57"/>
        <v/>
      </c>
      <c r="L162" s="60" t="str">
        <f t="shared" si="58"/>
        <v/>
      </c>
      <c r="M162" s="60" t="str">
        <f t="shared" si="59"/>
        <v/>
      </c>
      <c r="Q162" s="57" t="str">
        <f t="shared" si="60"/>
        <v/>
      </c>
      <c r="R162" s="58" t="str">
        <f t="shared" si="61"/>
        <v/>
      </c>
      <c r="S162" s="28" t="str">
        <f t="shared" si="62"/>
        <v/>
      </c>
      <c r="T162" s="28" t="str">
        <f t="shared" si="63"/>
        <v/>
      </c>
      <c r="U162" s="29" t="str">
        <f t="shared" si="64"/>
        <v/>
      </c>
      <c r="V162" s="60" t="str">
        <f t="shared" si="65"/>
        <v/>
      </c>
      <c r="W162" s="60" t="str">
        <f t="shared" si="66"/>
        <v/>
      </c>
      <c r="X162" s="60" t="str">
        <f t="shared" si="67"/>
        <v/>
      </c>
      <c r="Y162" s="60" t="str">
        <f t="shared" si="68"/>
        <v/>
      </c>
      <c r="Z162" s="60" t="str">
        <f t="shared" si="69"/>
        <v/>
      </c>
      <c r="AA162" s="60" t="str">
        <f t="shared" si="70"/>
        <v/>
      </c>
      <c r="AB162" s="60" t="str">
        <f t="shared" si="71"/>
        <v/>
      </c>
    </row>
    <row r="163" spans="2:28">
      <c r="B163" s="57" t="str">
        <f t="shared" si="48"/>
        <v/>
      </c>
      <c r="C163" s="58" t="str">
        <f t="shared" si="49"/>
        <v/>
      </c>
      <c r="D163" s="28" t="str">
        <f t="shared" si="50"/>
        <v/>
      </c>
      <c r="E163" s="28" t="str">
        <f t="shared" si="51"/>
        <v/>
      </c>
      <c r="F163" s="29" t="str">
        <f t="shared" si="52"/>
        <v/>
      </c>
      <c r="G163" s="60" t="str">
        <f t="shared" si="53"/>
        <v/>
      </c>
      <c r="H163" s="60" t="str">
        <f t="shared" si="54"/>
        <v/>
      </c>
      <c r="I163" s="60" t="str">
        <f t="shared" si="55"/>
        <v/>
      </c>
      <c r="J163" s="60" t="str">
        <f t="shared" si="56"/>
        <v/>
      </c>
      <c r="K163" s="60" t="str">
        <f t="shared" si="57"/>
        <v/>
      </c>
      <c r="L163" s="60" t="str">
        <f t="shared" si="58"/>
        <v/>
      </c>
      <c r="M163" s="60" t="str">
        <f t="shared" si="59"/>
        <v/>
      </c>
      <c r="Q163" s="57" t="str">
        <f t="shared" si="60"/>
        <v/>
      </c>
      <c r="R163" s="58" t="str">
        <f t="shared" si="61"/>
        <v/>
      </c>
      <c r="S163" s="28" t="str">
        <f t="shared" si="62"/>
        <v/>
      </c>
      <c r="T163" s="28" t="str">
        <f t="shared" si="63"/>
        <v/>
      </c>
      <c r="U163" s="29" t="str">
        <f t="shared" si="64"/>
        <v/>
      </c>
      <c r="V163" s="60" t="str">
        <f t="shared" si="65"/>
        <v/>
      </c>
      <c r="W163" s="60" t="str">
        <f t="shared" si="66"/>
        <v/>
      </c>
      <c r="X163" s="60" t="str">
        <f t="shared" si="67"/>
        <v/>
      </c>
      <c r="Y163" s="60" t="str">
        <f t="shared" si="68"/>
        <v/>
      </c>
      <c r="Z163" s="60" t="str">
        <f t="shared" si="69"/>
        <v/>
      </c>
      <c r="AA163" s="60" t="str">
        <f t="shared" si="70"/>
        <v/>
      </c>
      <c r="AB163" s="60" t="str">
        <f t="shared" si="71"/>
        <v/>
      </c>
    </row>
    <row r="164" spans="2:28">
      <c r="B164" s="57" t="str">
        <f t="shared" si="48"/>
        <v/>
      </c>
      <c r="C164" s="58" t="str">
        <f t="shared" si="49"/>
        <v/>
      </c>
      <c r="D164" s="28" t="str">
        <f t="shared" si="50"/>
        <v/>
      </c>
      <c r="E164" s="28" t="str">
        <f t="shared" si="51"/>
        <v/>
      </c>
      <c r="F164" s="29" t="str">
        <f t="shared" si="52"/>
        <v/>
      </c>
      <c r="G164" s="60" t="str">
        <f t="shared" si="53"/>
        <v/>
      </c>
      <c r="H164" s="60" t="str">
        <f t="shared" si="54"/>
        <v/>
      </c>
      <c r="I164" s="60" t="str">
        <f t="shared" si="55"/>
        <v/>
      </c>
      <c r="J164" s="60" t="str">
        <f t="shared" si="56"/>
        <v/>
      </c>
      <c r="K164" s="60" t="str">
        <f t="shared" si="57"/>
        <v/>
      </c>
      <c r="L164" s="60" t="str">
        <f t="shared" si="58"/>
        <v/>
      </c>
      <c r="M164" s="60" t="str">
        <f t="shared" si="59"/>
        <v/>
      </c>
      <c r="Q164" s="57" t="str">
        <f t="shared" si="60"/>
        <v/>
      </c>
      <c r="R164" s="58" t="str">
        <f t="shared" si="61"/>
        <v/>
      </c>
      <c r="S164" s="28" t="str">
        <f t="shared" si="62"/>
        <v/>
      </c>
      <c r="T164" s="28" t="str">
        <f t="shared" si="63"/>
        <v/>
      </c>
      <c r="U164" s="29" t="str">
        <f t="shared" si="64"/>
        <v/>
      </c>
      <c r="V164" s="60" t="str">
        <f t="shared" si="65"/>
        <v/>
      </c>
      <c r="W164" s="60" t="str">
        <f t="shared" si="66"/>
        <v/>
      </c>
      <c r="X164" s="60" t="str">
        <f t="shared" si="67"/>
        <v/>
      </c>
      <c r="Y164" s="60" t="str">
        <f t="shared" si="68"/>
        <v/>
      </c>
      <c r="Z164" s="60" t="str">
        <f t="shared" si="69"/>
        <v/>
      </c>
      <c r="AA164" s="60" t="str">
        <f t="shared" si="70"/>
        <v/>
      </c>
      <c r="AB164" s="60" t="str">
        <f t="shared" si="71"/>
        <v/>
      </c>
    </row>
    <row r="165" spans="2:28">
      <c r="B165" s="57" t="str">
        <f t="shared" si="48"/>
        <v/>
      </c>
      <c r="C165" s="58" t="str">
        <f t="shared" si="49"/>
        <v/>
      </c>
      <c r="D165" s="28" t="str">
        <f t="shared" si="50"/>
        <v/>
      </c>
      <c r="E165" s="28" t="str">
        <f t="shared" si="51"/>
        <v/>
      </c>
      <c r="F165" s="29" t="str">
        <f t="shared" si="52"/>
        <v/>
      </c>
      <c r="G165" s="60" t="str">
        <f t="shared" si="53"/>
        <v/>
      </c>
      <c r="H165" s="60" t="str">
        <f t="shared" si="54"/>
        <v/>
      </c>
      <c r="I165" s="60" t="str">
        <f t="shared" si="55"/>
        <v/>
      </c>
      <c r="J165" s="60" t="str">
        <f t="shared" si="56"/>
        <v/>
      </c>
      <c r="K165" s="60" t="str">
        <f t="shared" si="57"/>
        <v/>
      </c>
      <c r="L165" s="60" t="str">
        <f t="shared" si="58"/>
        <v/>
      </c>
      <c r="M165" s="60" t="str">
        <f t="shared" si="59"/>
        <v/>
      </c>
      <c r="Q165" s="57" t="str">
        <f t="shared" si="60"/>
        <v/>
      </c>
      <c r="R165" s="58" t="str">
        <f t="shared" si="61"/>
        <v/>
      </c>
      <c r="S165" s="28" t="str">
        <f t="shared" si="62"/>
        <v/>
      </c>
      <c r="T165" s="28" t="str">
        <f t="shared" si="63"/>
        <v/>
      </c>
      <c r="U165" s="29" t="str">
        <f t="shared" si="64"/>
        <v/>
      </c>
      <c r="V165" s="60" t="str">
        <f t="shared" si="65"/>
        <v/>
      </c>
      <c r="W165" s="60" t="str">
        <f t="shared" si="66"/>
        <v/>
      </c>
      <c r="X165" s="60" t="str">
        <f t="shared" si="67"/>
        <v/>
      </c>
      <c r="Y165" s="60" t="str">
        <f t="shared" si="68"/>
        <v/>
      </c>
      <c r="Z165" s="60" t="str">
        <f t="shared" si="69"/>
        <v/>
      </c>
      <c r="AA165" s="60" t="str">
        <f t="shared" si="70"/>
        <v/>
      </c>
      <c r="AB165" s="60" t="str">
        <f t="shared" si="71"/>
        <v/>
      </c>
    </row>
    <row r="166" spans="2:28">
      <c r="B166" s="57" t="str">
        <f t="shared" si="48"/>
        <v/>
      </c>
      <c r="C166" s="58" t="str">
        <f t="shared" si="49"/>
        <v/>
      </c>
      <c r="D166" s="28" t="str">
        <f t="shared" si="50"/>
        <v/>
      </c>
      <c r="E166" s="28" t="str">
        <f t="shared" si="51"/>
        <v/>
      </c>
      <c r="F166" s="29" t="str">
        <f t="shared" si="52"/>
        <v/>
      </c>
      <c r="G166" s="60" t="str">
        <f t="shared" si="53"/>
        <v/>
      </c>
      <c r="H166" s="60" t="str">
        <f t="shared" si="54"/>
        <v/>
      </c>
      <c r="I166" s="60" t="str">
        <f t="shared" si="55"/>
        <v/>
      </c>
      <c r="J166" s="60" t="str">
        <f t="shared" si="56"/>
        <v/>
      </c>
      <c r="K166" s="60" t="str">
        <f t="shared" si="57"/>
        <v/>
      </c>
      <c r="L166" s="60" t="str">
        <f t="shared" si="58"/>
        <v/>
      </c>
      <c r="M166" s="60" t="str">
        <f t="shared" si="59"/>
        <v/>
      </c>
      <c r="Q166" s="57" t="str">
        <f t="shared" si="60"/>
        <v/>
      </c>
      <c r="R166" s="58" t="str">
        <f t="shared" si="61"/>
        <v/>
      </c>
      <c r="S166" s="28" t="str">
        <f t="shared" si="62"/>
        <v/>
      </c>
      <c r="T166" s="28" t="str">
        <f t="shared" si="63"/>
        <v/>
      </c>
      <c r="U166" s="29" t="str">
        <f t="shared" si="64"/>
        <v/>
      </c>
      <c r="V166" s="60" t="str">
        <f t="shared" si="65"/>
        <v/>
      </c>
      <c r="W166" s="60" t="str">
        <f t="shared" si="66"/>
        <v/>
      </c>
      <c r="X166" s="60" t="str">
        <f t="shared" si="67"/>
        <v/>
      </c>
      <c r="Y166" s="60" t="str">
        <f t="shared" si="68"/>
        <v/>
      </c>
      <c r="Z166" s="60" t="str">
        <f t="shared" si="69"/>
        <v/>
      </c>
      <c r="AA166" s="60" t="str">
        <f t="shared" si="70"/>
        <v/>
      </c>
      <c r="AB166" s="60" t="str">
        <f t="shared" si="71"/>
        <v/>
      </c>
    </row>
    <row r="167" spans="2:28">
      <c r="B167" s="57" t="str">
        <f t="shared" si="48"/>
        <v/>
      </c>
      <c r="C167" s="58" t="str">
        <f t="shared" si="49"/>
        <v/>
      </c>
      <c r="D167" s="28" t="str">
        <f t="shared" si="50"/>
        <v/>
      </c>
      <c r="E167" s="28" t="str">
        <f t="shared" si="51"/>
        <v/>
      </c>
      <c r="F167" s="29" t="str">
        <f t="shared" si="52"/>
        <v/>
      </c>
      <c r="G167" s="60" t="str">
        <f t="shared" si="53"/>
        <v/>
      </c>
      <c r="H167" s="60" t="str">
        <f t="shared" si="54"/>
        <v/>
      </c>
      <c r="I167" s="60" t="str">
        <f t="shared" si="55"/>
        <v/>
      </c>
      <c r="J167" s="60" t="str">
        <f t="shared" si="56"/>
        <v/>
      </c>
      <c r="K167" s="60" t="str">
        <f t="shared" si="57"/>
        <v/>
      </c>
      <c r="L167" s="60" t="str">
        <f t="shared" si="58"/>
        <v/>
      </c>
      <c r="M167" s="60" t="str">
        <f t="shared" si="59"/>
        <v/>
      </c>
      <c r="Q167" s="57" t="str">
        <f t="shared" si="60"/>
        <v/>
      </c>
      <c r="R167" s="58" t="str">
        <f t="shared" si="61"/>
        <v/>
      </c>
      <c r="S167" s="28" t="str">
        <f t="shared" si="62"/>
        <v/>
      </c>
      <c r="T167" s="28" t="str">
        <f t="shared" si="63"/>
        <v/>
      </c>
      <c r="U167" s="29" t="str">
        <f t="shared" si="64"/>
        <v/>
      </c>
      <c r="V167" s="60" t="str">
        <f t="shared" si="65"/>
        <v/>
      </c>
      <c r="W167" s="60" t="str">
        <f t="shared" si="66"/>
        <v/>
      </c>
      <c r="X167" s="60" t="str">
        <f t="shared" si="67"/>
        <v/>
      </c>
      <c r="Y167" s="60" t="str">
        <f t="shared" si="68"/>
        <v/>
      </c>
      <c r="Z167" s="60" t="str">
        <f t="shared" si="69"/>
        <v/>
      </c>
      <c r="AA167" s="60" t="str">
        <f t="shared" si="70"/>
        <v/>
      </c>
      <c r="AB167" s="60" t="str">
        <f t="shared" si="71"/>
        <v/>
      </c>
    </row>
    <row r="168" spans="2:28">
      <c r="B168" s="57" t="str">
        <f t="shared" si="48"/>
        <v/>
      </c>
      <c r="C168" s="58" t="str">
        <f t="shared" si="49"/>
        <v/>
      </c>
      <c r="D168" s="28" t="str">
        <f t="shared" si="50"/>
        <v/>
      </c>
      <c r="E168" s="28" t="str">
        <f t="shared" si="51"/>
        <v/>
      </c>
      <c r="F168" s="29" t="str">
        <f t="shared" si="52"/>
        <v/>
      </c>
      <c r="G168" s="60" t="str">
        <f t="shared" si="53"/>
        <v/>
      </c>
      <c r="H168" s="60" t="str">
        <f t="shared" si="54"/>
        <v/>
      </c>
      <c r="I168" s="60" t="str">
        <f t="shared" si="55"/>
        <v/>
      </c>
      <c r="J168" s="60" t="str">
        <f t="shared" si="56"/>
        <v/>
      </c>
      <c r="K168" s="60" t="str">
        <f t="shared" si="57"/>
        <v/>
      </c>
      <c r="L168" s="60" t="str">
        <f t="shared" si="58"/>
        <v/>
      </c>
      <c r="M168" s="60" t="str">
        <f t="shared" si="59"/>
        <v/>
      </c>
      <c r="Q168" s="57" t="str">
        <f t="shared" si="60"/>
        <v/>
      </c>
      <c r="R168" s="58" t="str">
        <f t="shared" si="61"/>
        <v/>
      </c>
      <c r="S168" s="28" t="str">
        <f t="shared" si="62"/>
        <v/>
      </c>
      <c r="T168" s="28" t="str">
        <f t="shared" si="63"/>
        <v/>
      </c>
      <c r="U168" s="29" t="str">
        <f t="shared" si="64"/>
        <v/>
      </c>
      <c r="V168" s="60" t="str">
        <f t="shared" si="65"/>
        <v/>
      </c>
      <c r="W168" s="60" t="str">
        <f t="shared" si="66"/>
        <v/>
      </c>
      <c r="X168" s="60" t="str">
        <f t="shared" si="67"/>
        <v/>
      </c>
      <c r="Y168" s="60" t="str">
        <f t="shared" si="68"/>
        <v/>
      </c>
      <c r="Z168" s="60" t="str">
        <f t="shared" si="69"/>
        <v/>
      </c>
      <c r="AA168" s="60" t="str">
        <f t="shared" si="70"/>
        <v/>
      </c>
      <c r="AB168" s="60" t="str">
        <f t="shared" si="71"/>
        <v/>
      </c>
    </row>
    <row r="169" spans="2:28">
      <c r="B169" s="57" t="str">
        <f t="shared" si="48"/>
        <v/>
      </c>
      <c r="C169" s="58" t="str">
        <f t="shared" si="49"/>
        <v/>
      </c>
      <c r="D169" s="28" t="str">
        <f t="shared" si="50"/>
        <v/>
      </c>
      <c r="E169" s="28" t="str">
        <f t="shared" si="51"/>
        <v/>
      </c>
      <c r="F169" s="29" t="str">
        <f t="shared" si="52"/>
        <v/>
      </c>
      <c r="G169" s="60" t="str">
        <f t="shared" si="53"/>
        <v/>
      </c>
      <c r="H169" s="60" t="str">
        <f t="shared" si="54"/>
        <v/>
      </c>
      <c r="I169" s="60" t="str">
        <f t="shared" si="55"/>
        <v/>
      </c>
      <c r="J169" s="60" t="str">
        <f t="shared" si="56"/>
        <v/>
      </c>
      <c r="K169" s="60" t="str">
        <f t="shared" si="57"/>
        <v/>
      </c>
      <c r="L169" s="60" t="str">
        <f t="shared" si="58"/>
        <v/>
      </c>
      <c r="M169" s="60" t="str">
        <f t="shared" si="59"/>
        <v/>
      </c>
      <c r="Q169" s="57" t="str">
        <f t="shared" si="60"/>
        <v/>
      </c>
      <c r="R169" s="58" t="str">
        <f t="shared" si="61"/>
        <v/>
      </c>
      <c r="S169" s="28" t="str">
        <f t="shared" si="62"/>
        <v/>
      </c>
      <c r="T169" s="28" t="str">
        <f t="shared" si="63"/>
        <v/>
      </c>
      <c r="U169" s="29" t="str">
        <f t="shared" si="64"/>
        <v/>
      </c>
      <c r="V169" s="60" t="str">
        <f t="shared" si="65"/>
        <v/>
      </c>
      <c r="W169" s="60" t="str">
        <f t="shared" si="66"/>
        <v/>
      </c>
      <c r="X169" s="60" t="str">
        <f t="shared" si="67"/>
        <v/>
      </c>
      <c r="Y169" s="60" t="str">
        <f t="shared" si="68"/>
        <v/>
      </c>
      <c r="Z169" s="60" t="str">
        <f t="shared" si="69"/>
        <v/>
      </c>
      <c r="AA169" s="60" t="str">
        <f t="shared" si="70"/>
        <v/>
      </c>
      <c r="AB169" s="60" t="str">
        <f t="shared" si="71"/>
        <v/>
      </c>
    </row>
    <row r="170" spans="2:28">
      <c r="B170" s="57" t="str">
        <f t="shared" si="48"/>
        <v/>
      </c>
      <c r="C170" s="58" t="str">
        <f t="shared" si="49"/>
        <v/>
      </c>
      <c r="D170" s="28" t="str">
        <f t="shared" si="50"/>
        <v/>
      </c>
      <c r="E170" s="28" t="str">
        <f t="shared" si="51"/>
        <v/>
      </c>
      <c r="F170" s="29" t="str">
        <f t="shared" si="52"/>
        <v/>
      </c>
      <c r="G170" s="60" t="str">
        <f t="shared" si="53"/>
        <v/>
      </c>
      <c r="H170" s="60" t="str">
        <f t="shared" si="54"/>
        <v/>
      </c>
      <c r="I170" s="60" t="str">
        <f t="shared" si="55"/>
        <v/>
      </c>
      <c r="J170" s="60" t="str">
        <f t="shared" si="56"/>
        <v/>
      </c>
      <c r="K170" s="60" t="str">
        <f t="shared" si="57"/>
        <v/>
      </c>
      <c r="L170" s="60" t="str">
        <f t="shared" si="58"/>
        <v/>
      </c>
      <c r="M170" s="60" t="str">
        <f t="shared" si="59"/>
        <v/>
      </c>
      <c r="Q170" s="57" t="str">
        <f t="shared" si="60"/>
        <v/>
      </c>
      <c r="R170" s="58" t="str">
        <f t="shared" si="61"/>
        <v/>
      </c>
      <c r="S170" s="28" t="str">
        <f t="shared" si="62"/>
        <v/>
      </c>
      <c r="T170" s="28" t="str">
        <f t="shared" si="63"/>
        <v/>
      </c>
      <c r="U170" s="29" t="str">
        <f t="shared" si="64"/>
        <v/>
      </c>
      <c r="V170" s="60" t="str">
        <f t="shared" si="65"/>
        <v/>
      </c>
      <c r="W170" s="60" t="str">
        <f t="shared" si="66"/>
        <v/>
      </c>
      <c r="X170" s="60" t="str">
        <f t="shared" si="67"/>
        <v/>
      </c>
      <c r="Y170" s="60" t="str">
        <f t="shared" si="68"/>
        <v/>
      </c>
      <c r="Z170" s="60" t="str">
        <f t="shared" si="69"/>
        <v/>
      </c>
      <c r="AA170" s="60" t="str">
        <f t="shared" si="70"/>
        <v/>
      </c>
      <c r="AB170" s="60" t="str">
        <f t="shared" si="71"/>
        <v/>
      </c>
    </row>
    <row r="171" spans="2:28">
      <c r="B171" s="57" t="str">
        <f t="shared" si="48"/>
        <v/>
      </c>
      <c r="C171" s="58" t="str">
        <f t="shared" si="49"/>
        <v/>
      </c>
      <c r="D171" s="28" t="str">
        <f t="shared" si="50"/>
        <v/>
      </c>
      <c r="E171" s="28" t="str">
        <f t="shared" si="51"/>
        <v/>
      </c>
      <c r="F171" s="29" t="str">
        <f t="shared" si="52"/>
        <v/>
      </c>
      <c r="G171" s="60" t="str">
        <f t="shared" si="53"/>
        <v/>
      </c>
      <c r="H171" s="60" t="str">
        <f t="shared" si="54"/>
        <v/>
      </c>
      <c r="I171" s="60" t="str">
        <f t="shared" si="55"/>
        <v/>
      </c>
      <c r="J171" s="60" t="str">
        <f t="shared" si="56"/>
        <v/>
      </c>
      <c r="K171" s="60" t="str">
        <f t="shared" si="57"/>
        <v/>
      </c>
      <c r="L171" s="60" t="str">
        <f t="shared" si="58"/>
        <v/>
      </c>
      <c r="M171" s="60" t="str">
        <f t="shared" si="59"/>
        <v/>
      </c>
      <c r="Q171" s="57" t="str">
        <f t="shared" si="60"/>
        <v/>
      </c>
      <c r="R171" s="58" t="str">
        <f t="shared" si="61"/>
        <v/>
      </c>
      <c r="S171" s="28" t="str">
        <f t="shared" si="62"/>
        <v/>
      </c>
      <c r="T171" s="28" t="str">
        <f t="shared" si="63"/>
        <v/>
      </c>
      <c r="U171" s="29" t="str">
        <f t="shared" si="64"/>
        <v/>
      </c>
      <c r="V171" s="60" t="str">
        <f t="shared" si="65"/>
        <v/>
      </c>
      <c r="W171" s="60" t="str">
        <f t="shared" si="66"/>
        <v/>
      </c>
      <c r="X171" s="60" t="str">
        <f t="shared" si="67"/>
        <v/>
      </c>
      <c r="Y171" s="60" t="str">
        <f t="shared" si="68"/>
        <v/>
      </c>
      <c r="Z171" s="60" t="str">
        <f t="shared" si="69"/>
        <v/>
      </c>
      <c r="AA171" s="60" t="str">
        <f t="shared" si="70"/>
        <v/>
      </c>
      <c r="AB171" s="60" t="str">
        <f t="shared" si="71"/>
        <v/>
      </c>
    </row>
    <row r="172" spans="2:28">
      <c r="B172" s="57" t="str">
        <f t="shared" si="48"/>
        <v/>
      </c>
      <c r="C172" s="58" t="str">
        <f t="shared" si="49"/>
        <v/>
      </c>
      <c r="D172" s="28" t="str">
        <f t="shared" si="50"/>
        <v/>
      </c>
      <c r="E172" s="28" t="str">
        <f t="shared" si="51"/>
        <v/>
      </c>
      <c r="F172" s="29" t="str">
        <f t="shared" si="52"/>
        <v/>
      </c>
      <c r="G172" s="60" t="str">
        <f t="shared" si="53"/>
        <v/>
      </c>
      <c r="H172" s="60" t="str">
        <f t="shared" si="54"/>
        <v/>
      </c>
      <c r="I172" s="60" t="str">
        <f t="shared" si="55"/>
        <v/>
      </c>
      <c r="J172" s="60" t="str">
        <f t="shared" si="56"/>
        <v/>
      </c>
      <c r="K172" s="60" t="str">
        <f t="shared" si="57"/>
        <v/>
      </c>
      <c r="L172" s="60" t="str">
        <f t="shared" si="58"/>
        <v/>
      </c>
      <c r="M172" s="60" t="str">
        <f t="shared" si="59"/>
        <v/>
      </c>
      <c r="Q172" s="57" t="str">
        <f t="shared" si="60"/>
        <v/>
      </c>
      <c r="R172" s="58" t="str">
        <f t="shared" si="61"/>
        <v/>
      </c>
      <c r="S172" s="28" t="str">
        <f t="shared" si="62"/>
        <v/>
      </c>
      <c r="T172" s="28" t="str">
        <f t="shared" si="63"/>
        <v/>
      </c>
      <c r="U172" s="29" t="str">
        <f t="shared" si="64"/>
        <v/>
      </c>
      <c r="V172" s="60" t="str">
        <f t="shared" si="65"/>
        <v/>
      </c>
      <c r="W172" s="60" t="str">
        <f t="shared" si="66"/>
        <v/>
      </c>
      <c r="X172" s="60" t="str">
        <f t="shared" si="67"/>
        <v/>
      </c>
      <c r="Y172" s="60" t="str">
        <f t="shared" si="68"/>
        <v/>
      </c>
      <c r="Z172" s="60" t="str">
        <f t="shared" si="69"/>
        <v/>
      </c>
      <c r="AA172" s="60" t="str">
        <f t="shared" si="70"/>
        <v/>
      </c>
      <c r="AB172" s="60" t="str">
        <f t="shared" si="71"/>
        <v/>
      </c>
    </row>
    <row r="173" spans="2:28">
      <c r="B173" s="57" t="str">
        <f t="shared" si="48"/>
        <v/>
      </c>
      <c r="C173" s="58" t="str">
        <f t="shared" si="49"/>
        <v/>
      </c>
      <c r="D173" s="28" t="str">
        <f t="shared" si="50"/>
        <v/>
      </c>
      <c r="E173" s="28" t="str">
        <f t="shared" si="51"/>
        <v/>
      </c>
      <c r="F173" s="29" t="str">
        <f t="shared" si="52"/>
        <v/>
      </c>
      <c r="G173" s="60" t="str">
        <f t="shared" si="53"/>
        <v/>
      </c>
      <c r="H173" s="60" t="str">
        <f t="shared" si="54"/>
        <v/>
      </c>
      <c r="I173" s="60" t="str">
        <f t="shared" si="55"/>
        <v/>
      </c>
      <c r="J173" s="60" t="str">
        <f t="shared" si="56"/>
        <v/>
      </c>
      <c r="K173" s="60" t="str">
        <f t="shared" si="57"/>
        <v/>
      </c>
      <c r="L173" s="60" t="str">
        <f t="shared" si="58"/>
        <v/>
      </c>
      <c r="M173" s="60" t="str">
        <f t="shared" si="59"/>
        <v/>
      </c>
      <c r="Q173" s="57" t="str">
        <f t="shared" si="60"/>
        <v/>
      </c>
      <c r="R173" s="58" t="str">
        <f t="shared" si="61"/>
        <v/>
      </c>
      <c r="S173" s="28" t="str">
        <f t="shared" si="62"/>
        <v/>
      </c>
      <c r="T173" s="28" t="str">
        <f t="shared" si="63"/>
        <v/>
      </c>
      <c r="U173" s="29" t="str">
        <f t="shared" si="64"/>
        <v/>
      </c>
      <c r="V173" s="60" t="str">
        <f t="shared" si="65"/>
        <v/>
      </c>
      <c r="W173" s="60" t="str">
        <f t="shared" si="66"/>
        <v/>
      </c>
      <c r="X173" s="60" t="str">
        <f t="shared" si="67"/>
        <v/>
      </c>
      <c r="Y173" s="60" t="str">
        <f t="shared" si="68"/>
        <v/>
      </c>
      <c r="Z173" s="60" t="str">
        <f t="shared" si="69"/>
        <v/>
      </c>
      <c r="AA173" s="60" t="str">
        <f t="shared" si="70"/>
        <v/>
      </c>
      <c r="AB173" s="60" t="str">
        <f t="shared" si="71"/>
        <v/>
      </c>
    </row>
    <row r="174" spans="2:28">
      <c r="B174" s="57" t="str">
        <f t="shared" si="48"/>
        <v/>
      </c>
      <c r="C174" s="58" t="str">
        <f t="shared" si="49"/>
        <v/>
      </c>
      <c r="D174" s="28" t="str">
        <f t="shared" si="50"/>
        <v/>
      </c>
      <c r="E174" s="28" t="str">
        <f t="shared" si="51"/>
        <v/>
      </c>
      <c r="F174" s="29" t="str">
        <f t="shared" si="52"/>
        <v/>
      </c>
      <c r="G174" s="60" t="str">
        <f t="shared" si="53"/>
        <v/>
      </c>
      <c r="H174" s="60" t="str">
        <f t="shared" si="54"/>
        <v/>
      </c>
      <c r="I174" s="60" t="str">
        <f t="shared" si="55"/>
        <v/>
      </c>
      <c r="J174" s="60" t="str">
        <f t="shared" si="56"/>
        <v/>
      </c>
      <c r="K174" s="60" t="str">
        <f t="shared" si="57"/>
        <v/>
      </c>
      <c r="L174" s="60" t="str">
        <f t="shared" si="58"/>
        <v/>
      </c>
      <c r="M174" s="60" t="str">
        <f t="shared" si="59"/>
        <v/>
      </c>
      <c r="Q174" s="57" t="str">
        <f t="shared" si="60"/>
        <v/>
      </c>
      <c r="R174" s="58" t="str">
        <f t="shared" si="61"/>
        <v/>
      </c>
      <c r="S174" s="28" t="str">
        <f t="shared" si="62"/>
        <v/>
      </c>
      <c r="T174" s="28" t="str">
        <f t="shared" si="63"/>
        <v/>
      </c>
      <c r="U174" s="29" t="str">
        <f t="shared" si="64"/>
        <v/>
      </c>
      <c r="V174" s="60" t="str">
        <f t="shared" si="65"/>
        <v/>
      </c>
      <c r="W174" s="60" t="str">
        <f t="shared" si="66"/>
        <v/>
      </c>
      <c r="X174" s="60" t="str">
        <f t="shared" si="67"/>
        <v/>
      </c>
      <c r="Y174" s="60" t="str">
        <f t="shared" si="68"/>
        <v/>
      </c>
      <c r="Z174" s="60" t="str">
        <f t="shared" si="69"/>
        <v/>
      </c>
      <c r="AA174" s="60" t="str">
        <f t="shared" si="70"/>
        <v/>
      </c>
      <c r="AB174" s="60" t="str">
        <f t="shared" si="71"/>
        <v/>
      </c>
    </row>
    <row r="175" spans="2:28">
      <c r="B175" s="57" t="str">
        <f t="shared" si="48"/>
        <v/>
      </c>
      <c r="C175" s="58" t="str">
        <f t="shared" si="49"/>
        <v/>
      </c>
      <c r="D175" s="28" t="str">
        <f t="shared" si="50"/>
        <v/>
      </c>
      <c r="E175" s="28" t="str">
        <f t="shared" si="51"/>
        <v/>
      </c>
      <c r="F175" s="29" t="str">
        <f t="shared" si="52"/>
        <v/>
      </c>
      <c r="G175" s="60" t="str">
        <f t="shared" si="53"/>
        <v/>
      </c>
      <c r="H175" s="60" t="str">
        <f t="shared" si="54"/>
        <v/>
      </c>
      <c r="I175" s="60" t="str">
        <f t="shared" si="55"/>
        <v/>
      </c>
      <c r="J175" s="60" t="str">
        <f t="shared" si="56"/>
        <v/>
      </c>
      <c r="K175" s="60" t="str">
        <f t="shared" si="57"/>
        <v/>
      </c>
      <c r="L175" s="60" t="str">
        <f t="shared" si="58"/>
        <v/>
      </c>
      <c r="M175" s="60" t="str">
        <f t="shared" si="59"/>
        <v/>
      </c>
      <c r="Q175" s="57" t="str">
        <f t="shared" si="60"/>
        <v/>
      </c>
      <c r="R175" s="58" t="str">
        <f t="shared" si="61"/>
        <v/>
      </c>
      <c r="S175" s="28" t="str">
        <f t="shared" si="62"/>
        <v/>
      </c>
      <c r="T175" s="28" t="str">
        <f t="shared" si="63"/>
        <v/>
      </c>
      <c r="U175" s="29" t="str">
        <f t="shared" si="64"/>
        <v/>
      </c>
      <c r="V175" s="60" t="str">
        <f t="shared" si="65"/>
        <v/>
      </c>
      <c r="W175" s="60" t="str">
        <f t="shared" si="66"/>
        <v/>
      </c>
      <c r="X175" s="60" t="str">
        <f t="shared" si="67"/>
        <v/>
      </c>
      <c r="Y175" s="60" t="str">
        <f t="shared" si="68"/>
        <v/>
      </c>
      <c r="Z175" s="60" t="str">
        <f t="shared" si="69"/>
        <v/>
      </c>
      <c r="AA175" s="60" t="str">
        <f t="shared" si="70"/>
        <v/>
      </c>
      <c r="AB175" s="60" t="str">
        <f t="shared" si="71"/>
        <v/>
      </c>
    </row>
    <row r="176" spans="2:28">
      <c r="B176" s="57" t="str">
        <f t="shared" si="48"/>
        <v/>
      </c>
      <c r="C176" s="58" t="str">
        <f t="shared" si="49"/>
        <v/>
      </c>
      <c r="D176" s="28" t="str">
        <f t="shared" si="50"/>
        <v/>
      </c>
      <c r="E176" s="28" t="str">
        <f t="shared" si="51"/>
        <v/>
      </c>
      <c r="F176" s="29" t="str">
        <f t="shared" si="52"/>
        <v/>
      </c>
      <c r="G176" s="60" t="str">
        <f t="shared" si="53"/>
        <v/>
      </c>
      <c r="H176" s="60" t="str">
        <f t="shared" si="54"/>
        <v/>
      </c>
      <c r="I176" s="60" t="str">
        <f t="shared" si="55"/>
        <v/>
      </c>
      <c r="J176" s="60" t="str">
        <f t="shared" si="56"/>
        <v/>
      </c>
      <c r="K176" s="60" t="str">
        <f t="shared" si="57"/>
        <v/>
      </c>
      <c r="L176" s="60" t="str">
        <f t="shared" si="58"/>
        <v/>
      </c>
      <c r="M176" s="60" t="str">
        <f t="shared" si="59"/>
        <v/>
      </c>
      <c r="Q176" s="57" t="str">
        <f t="shared" si="60"/>
        <v/>
      </c>
      <c r="R176" s="58" t="str">
        <f t="shared" si="61"/>
        <v/>
      </c>
      <c r="S176" s="28" t="str">
        <f t="shared" si="62"/>
        <v/>
      </c>
      <c r="T176" s="28" t="str">
        <f t="shared" si="63"/>
        <v/>
      </c>
      <c r="U176" s="29" t="str">
        <f t="shared" si="64"/>
        <v/>
      </c>
      <c r="V176" s="60" t="str">
        <f t="shared" si="65"/>
        <v/>
      </c>
      <c r="W176" s="60" t="str">
        <f t="shared" si="66"/>
        <v/>
      </c>
      <c r="X176" s="60" t="str">
        <f t="shared" si="67"/>
        <v/>
      </c>
      <c r="Y176" s="60" t="str">
        <f t="shared" si="68"/>
        <v/>
      </c>
      <c r="Z176" s="60" t="str">
        <f t="shared" si="69"/>
        <v/>
      </c>
      <c r="AA176" s="60" t="str">
        <f t="shared" si="70"/>
        <v/>
      </c>
      <c r="AB176" s="60" t="str">
        <f t="shared" si="71"/>
        <v/>
      </c>
    </row>
    <row r="177" spans="2:28">
      <c r="B177" s="57" t="str">
        <f t="shared" si="48"/>
        <v/>
      </c>
      <c r="C177" s="58" t="str">
        <f t="shared" si="49"/>
        <v/>
      </c>
      <c r="D177" s="28" t="str">
        <f t="shared" si="50"/>
        <v/>
      </c>
      <c r="E177" s="28" t="str">
        <f t="shared" si="51"/>
        <v/>
      </c>
      <c r="F177" s="29" t="str">
        <f t="shared" si="52"/>
        <v/>
      </c>
      <c r="G177" s="60" t="str">
        <f t="shared" si="53"/>
        <v/>
      </c>
      <c r="H177" s="60" t="str">
        <f t="shared" si="54"/>
        <v/>
      </c>
      <c r="I177" s="60" t="str">
        <f t="shared" si="55"/>
        <v/>
      </c>
      <c r="J177" s="60" t="str">
        <f t="shared" si="56"/>
        <v/>
      </c>
      <c r="K177" s="60" t="str">
        <f t="shared" si="57"/>
        <v/>
      </c>
      <c r="L177" s="60" t="str">
        <f t="shared" si="58"/>
        <v/>
      </c>
      <c r="M177" s="60" t="str">
        <f t="shared" si="59"/>
        <v/>
      </c>
      <c r="Q177" s="57" t="str">
        <f t="shared" si="60"/>
        <v/>
      </c>
      <c r="R177" s="58" t="str">
        <f t="shared" si="61"/>
        <v/>
      </c>
      <c r="S177" s="28" t="str">
        <f t="shared" si="62"/>
        <v/>
      </c>
      <c r="T177" s="28" t="str">
        <f t="shared" si="63"/>
        <v/>
      </c>
      <c r="U177" s="29" t="str">
        <f t="shared" si="64"/>
        <v/>
      </c>
      <c r="V177" s="60" t="str">
        <f t="shared" si="65"/>
        <v/>
      </c>
      <c r="W177" s="60" t="str">
        <f t="shared" si="66"/>
        <v/>
      </c>
      <c r="X177" s="60" t="str">
        <f t="shared" si="67"/>
        <v/>
      </c>
      <c r="Y177" s="60" t="str">
        <f t="shared" si="68"/>
        <v/>
      </c>
      <c r="Z177" s="60" t="str">
        <f t="shared" si="69"/>
        <v/>
      </c>
      <c r="AA177" s="60" t="str">
        <f t="shared" si="70"/>
        <v/>
      </c>
      <c r="AB177" s="60" t="str">
        <f t="shared" si="71"/>
        <v/>
      </c>
    </row>
    <row r="178" spans="2:28">
      <c r="B178" s="57" t="str">
        <f t="shared" si="48"/>
        <v/>
      </c>
      <c r="C178" s="58" t="str">
        <f t="shared" si="49"/>
        <v/>
      </c>
      <c r="D178" s="28" t="str">
        <f t="shared" si="50"/>
        <v/>
      </c>
      <c r="E178" s="28" t="str">
        <f t="shared" si="51"/>
        <v/>
      </c>
      <c r="F178" s="29" t="str">
        <f t="shared" si="52"/>
        <v/>
      </c>
      <c r="G178" s="60" t="str">
        <f t="shared" si="53"/>
        <v/>
      </c>
      <c r="H178" s="60" t="str">
        <f t="shared" si="54"/>
        <v/>
      </c>
      <c r="I178" s="60" t="str">
        <f t="shared" si="55"/>
        <v/>
      </c>
      <c r="J178" s="60" t="str">
        <f t="shared" si="56"/>
        <v/>
      </c>
      <c r="K178" s="60" t="str">
        <f t="shared" si="57"/>
        <v/>
      </c>
      <c r="L178" s="60" t="str">
        <f t="shared" si="58"/>
        <v/>
      </c>
      <c r="M178" s="60" t="str">
        <f t="shared" si="59"/>
        <v/>
      </c>
      <c r="Q178" s="57" t="str">
        <f t="shared" si="60"/>
        <v/>
      </c>
      <c r="R178" s="58" t="str">
        <f t="shared" si="61"/>
        <v/>
      </c>
      <c r="S178" s="28" t="str">
        <f t="shared" si="62"/>
        <v/>
      </c>
      <c r="T178" s="28" t="str">
        <f t="shared" si="63"/>
        <v/>
      </c>
      <c r="U178" s="29" t="str">
        <f t="shared" si="64"/>
        <v/>
      </c>
      <c r="V178" s="60" t="str">
        <f t="shared" si="65"/>
        <v/>
      </c>
      <c r="W178" s="60" t="str">
        <f t="shared" si="66"/>
        <v/>
      </c>
      <c r="X178" s="60" t="str">
        <f t="shared" si="67"/>
        <v/>
      </c>
      <c r="Y178" s="60" t="str">
        <f t="shared" si="68"/>
        <v/>
      </c>
      <c r="Z178" s="60" t="str">
        <f t="shared" si="69"/>
        <v/>
      </c>
      <c r="AA178" s="60" t="str">
        <f t="shared" si="70"/>
        <v/>
      </c>
      <c r="AB178" s="60" t="str">
        <f t="shared" si="71"/>
        <v/>
      </c>
    </row>
    <row r="179" spans="2:28">
      <c r="B179" s="57" t="str">
        <f t="shared" si="48"/>
        <v/>
      </c>
      <c r="C179" s="58" t="str">
        <f t="shared" si="49"/>
        <v/>
      </c>
      <c r="D179" s="28" t="str">
        <f t="shared" si="50"/>
        <v/>
      </c>
      <c r="E179" s="28" t="str">
        <f t="shared" si="51"/>
        <v/>
      </c>
      <c r="F179" s="29" t="str">
        <f t="shared" si="52"/>
        <v/>
      </c>
      <c r="G179" s="60" t="str">
        <f t="shared" si="53"/>
        <v/>
      </c>
      <c r="H179" s="60" t="str">
        <f t="shared" si="54"/>
        <v/>
      </c>
      <c r="I179" s="60" t="str">
        <f t="shared" si="55"/>
        <v/>
      </c>
      <c r="J179" s="60" t="str">
        <f t="shared" si="56"/>
        <v/>
      </c>
      <c r="K179" s="60" t="str">
        <f t="shared" si="57"/>
        <v/>
      </c>
      <c r="L179" s="60" t="str">
        <f t="shared" si="58"/>
        <v/>
      </c>
      <c r="M179" s="60" t="str">
        <f t="shared" si="59"/>
        <v/>
      </c>
      <c r="Q179" s="57" t="str">
        <f t="shared" si="60"/>
        <v/>
      </c>
      <c r="R179" s="58" t="str">
        <f t="shared" si="61"/>
        <v/>
      </c>
      <c r="S179" s="28" t="str">
        <f t="shared" si="62"/>
        <v/>
      </c>
      <c r="T179" s="28" t="str">
        <f t="shared" si="63"/>
        <v/>
      </c>
      <c r="U179" s="29" t="str">
        <f t="shared" si="64"/>
        <v/>
      </c>
      <c r="V179" s="60" t="str">
        <f t="shared" si="65"/>
        <v/>
      </c>
      <c r="W179" s="60" t="str">
        <f t="shared" si="66"/>
        <v/>
      </c>
      <c r="X179" s="60" t="str">
        <f t="shared" si="67"/>
        <v/>
      </c>
      <c r="Y179" s="60" t="str">
        <f t="shared" si="68"/>
        <v/>
      </c>
      <c r="Z179" s="60" t="str">
        <f t="shared" si="69"/>
        <v/>
      </c>
      <c r="AA179" s="60" t="str">
        <f t="shared" si="70"/>
        <v/>
      </c>
      <c r="AB179" s="60" t="str">
        <f t="shared" si="71"/>
        <v/>
      </c>
    </row>
    <row r="180" spans="2:28">
      <c r="B180" s="57" t="str">
        <f t="shared" si="48"/>
        <v/>
      </c>
      <c r="C180" s="58" t="str">
        <f t="shared" si="49"/>
        <v/>
      </c>
      <c r="D180" s="28" t="str">
        <f t="shared" si="50"/>
        <v/>
      </c>
      <c r="E180" s="28" t="str">
        <f t="shared" si="51"/>
        <v/>
      </c>
      <c r="F180" s="29" t="str">
        <f t="shared" si="52"/>
        <v/>
      </c>
      <c r="G180" s="60" t="str">
        <f t="shared" si="53"/>
        <v/>
      </c>
      <c r="H180" s="60" t="str">
        <f t="shared" si="54"/>
        <v/>
      </c>
      <c r="I180" s="60" t="str">
        <f t="shared" si="55"/>
        <v/>
      </c>
      <c r="J180" s="60" t="str">
        <f t="shared" si="56"/>
        <v/>
      </c>
      <c r="K180" s="60" t="str">
        <f t="shared" si="57"/>
        <v/>
      </c>
      <c r="L180" s="60" t="str">
        <f t="shared" si="58"/>
        <v/>
      </c>
      <c r="M180" s="60" t="str">
        <f t="shared" si="59"/>
        <v/>
      </c>
      <c r="Q180" s="57" t="str">
        <f t="shared" si="60"/>
        <v/>
      </c>
      <c r="R180" s="58" t="str">
        <f t="shared" si="61"/>
        <v/>
      </c>
      <c r="S180" s="28" t="str">
        <f t="shared" si="62"/>
        <v/>
      </c>
      <c r="T180" s="28" t="str">
        <f t="shared" si="63"/>
        <v/>
      </c>
      <c r="U180" s="29" t="str">
        <f t="shared" si="64"/>
        <v/>
      </c>
      <c r="V180" s="60" t="str">
        <f t="shared" si="65"/>
        <v/>
      </c>
      <c r="W180" s="60" t="str">
        <f t="shared" si="66"/>
        <v/>
      </c>
      <c r="X180" s="60" t="str">
        <f t="shared" si="67"/>
        <v/>
      </c>
      <c r="Y180" s="60" t="str">
        <f t="shared" si="68"/>
        <v/>
      </c>
      <c r="Z180" s="60" t="str">
        <f t="shared" si="69"/>
        <v/>
      </c>
      <c r="AA180" s="60" t="str">
        <f t="shared" si="70"/>
        <v/>
      </c>
      <c r="AB180" s="60" t="str">
        <f t="shared" si="71"/>
        <v/>
      </c>
    </row>
    <row r="181" spans="2:28">
      <c r="B181" s="57" t="str">
        <f t="shared" si="48"/>
        <v/>
      </c>
      <c r="C181" s="58" t="str">
        <f t="shared" si="49"/>
        <v/>
      </c>
      <c r="D181" s="28" t="str">
        <f t="shared" si="50"/>
        <v/>
      </c>
      <c r="E181" s="28" t="str">
        <f t="shared" si="51"/>
        <v/>
      </c>
      <c r="F181" s="29" t="str">
        <f t="shared" si="52"/>
        <v/>
      </c>
      <c r="G181" s="60" t="str">
        <f t="shared" si="53"/>
        <v/>
      </c>
      <c r="H181" s="60" t="str">
        <f t="shared" si="54"/>
        <v/>
      </c>
      <c r="I181" s="60" t="str">
        <f t="shared" si="55"/>
        <v/>
      </c>
      <c r="J181" s="60" t="str">
        <f t="shared" si="56"/>
        <v/>
      </c>
      <c r="K181" s="60" t="str">
        <f t="shared" si="57"/>
        <v/>
      </c>
      <c r="L181" s="60" t="str">
        <f t="shared" si="58"/>
        <v/>
      </c>
      <c r="M181" s="60" t="str">
        <f t="shared" si="59"/>
        <v/>
      </c>
      <c r="Q181" s="57" t="str">
        <f t="shared" si="60"/>
        <v/>
      </c>
      <c r="R181" s="58" t="str">
        <f t="shared" si="61"/>
        <v/>
      </c>
      <c r="S181" s="28" t="str">
        <f t="shared" si="62"/>
        <v/>
      </c>
      <c r="T181" s="28" t="str">
        <f t="shared" si="63"/>
        <v/>
      </c>
      <c r="U181" s="29" t="str">
        <f t="shared" si="64"/>
        <v/>
      </c>
      <c r="V181" s="60" t="str">
        <f t="shared" si="65"/>
        <v/>
      </c>
      <c r="W181" s="60" t="str">
        <f t="shared" si="66"/>
        <v/>
      </c>
      <c r="X181" s="60" t="str">
        <f t="shared" si="67"/>
        <v/>
      </c>
      <c r="Y181" s="60" t="str">
        <f t="shared" si="68"/>
        <v/>
      </c>
      <c r="Z181" s="60" t="str">
        <f t="shared" si="69"/>
        <v/>
      </c>
      <c r="AA181" s="60" t="str">
        <f t="shared" si="70"/>
        <v/>
      </c>
      <c r="AB181" s="60" t="str">
        <f t="shared" si="71"/>
        <v/>
      </c>
    </row>
    <row r="182" spans="2:28">
      <c r="B182" s="57" t="str">
        <f t="shared" si="48"/>
        <v/>
      </c>
      <c r="C182" s="58" t="str">
        <f t="shared" si="49"/>
        <v/>
      </c>
      <c r="D182" s="28" t="str">
        <f t="shared" si="50"/>
        <v/>
      </c>
      <c r="E182" s="28" t="str">
        <f t="shared" si="51"/>
        <v/>
      </c>
      <c r="F182" s="29" t="str">
        <f t="shared" si="52"/>
        <v/>
      </c>
      <c r="G182" s="60" t="str">
        <f t="shared" si="53"/>
        <v/>
      </c>
      <c r="H182" s="60" t="str">
        <f t="shared" si="54"/>
        <v/>
      </c>
      <c r="I182" s="60" t="str">
        <f t="shared" si="55"/>
        <v/>
      </c>
      <c r="J182" s="60" t="str">
        <f t="shared" si="56"/>
        <v/>
      </c>
      <c r="K182" s="60" t="str">
        <f t="shared" si="57"/>
        <v/>
      </c>
      <c r="L182" s="60" t="str">
        <f t="shared" si="58"/>
        <v/>
      </c>
      <c r="M182" s="60" t="str">
        <f t="shared" si="59"/>
        <v/>
      </c>
      <c r="Q182" s="57" t="str">
        <f t="shared" si="60"/>
        <v/>
      </c>
      <c r="R182" s="58" t="str">
        <f t="shared" si="61"/>
        <v/>
      </c>
      <c r="S182" s="28" t="str">
        <f t="shared" si="62"/>
        <v/>
      </c>
      <c r="T182" s="28" t="str">
        <f t="shared" si="63"/>
        <v/>
      </c>
      <c r="U182" s="29" t="str">
        <f t="shared" si="64"/>
        <v/>
      </c>
      <c r="V182" s="60" t="str">
        <f t="shared" si="65"/>
        <v/>
      </c>
      <c r="W182" s="60" t="str">
        <f t="shared" si="66"/>
        <v/>
      </c>
      <c r="X182" s="60" t="str">
        <f t="shared" si="67"/>
        <v/>
      </c>
      <c r="Y182" s="60" t="str">
        <f t="shared" si="68"/>
        <v/>
      </c>
      <c r="Z182" s="60" t="str">
        <f t="shared" si="69"/>
        <v/>
      </c>
      <c r="AA182" s="60" t="str">
        <f t="shared" si="70"/>
        <v/>
      </c>
      <c r="AB182" s="60" t="str">
        <f t="shared" si="71"/>
        <v/>
      </c>
    </row>
    <row r="183" spans="2:28">
      <c r="B183" s="57" t="str">
        <f t="shared" si="48"/>
        <v/>
      </c>
      <c r="C183" s="58" t="str">
        <f t="shared" si="49"/>
        <v/>
      </c>
      <c r="D183" s="28" t="str">
        <f t="shared" si="50"/>
        <v/>
      </c>
      <c r="E183" s="28" t="str">
        <f t="shared" si="51"/>
        <v/>
      </c>
      <c r="F183" s="29" t="str">
        <f t="shared" si="52"/>
        <v/>
      </c>
      <c r="G183" s="60" t="str">
        <f t="shared" si="53"/>
        <v/>
      </c>
      <c r="H183" s="60" t="str">
        <f t="shared" si="54"/>
        <v/>
      </c>
      <c r="I183" s="60" t="str">
        <f t="shared" si="55"/>
        <v/>
      </c>
      <c r="J183" s="60" t="str">
        <f t="shared" si="56"/>
        <v/>
      </c>
      <c r="K183" s="60" t="str">
        <f t="shared" si="57"/>
        <v/>
      </c>
      <c r="L183" s="60" t="str">
        <f t="shared" si="58"/>
        <v/>
      </c>
      <c r="M183" s="60" t="str">
        <f t="shared" si="59"/>
        <v/>
      </c>
      <c r="Q183" s="57" t="str">
        <f t="shared" si="60"/>
        <v/>
      </c>
      <c r="R183" s="58" t="str">
        <f t="shared" si="61"/>
        <v/>
      </c>
      <c r="S183" s="28" t="str">
        <f t="shared" si="62"/>
        <v/>
      </c>
      <c r="T183" s="28" t="str">
        <f t="shared" si="63"/>
        <v/>
      </c>
      <c r="U183" s="29" t="str">
        <f t="shared" si="64"/>
        <v/>
      </c>
      <c r="V183" s="60" t="str">
        <f t="shared" si="65"/>
        <v/>
      </c>
      <c r="W183" s="60" t="str">
        <f t="shared" si="66"/>
        <v/>
      </c>
      <c r="X183" s="60" t="str">
        <f t="shared" si="67"/>
        <v/>
      </c>
      <c r="Y183" s="60" t="str">
        <f t="shared" si="68"/>
        <v/>
      </c>
      <c r="Z183" s="60" t="str">
        <f t="shared" si="69"/>
        <v/>
      </c>
      <c r="AA183" s="60" t="str">
        <f t="shared" si="70"/>
        <v/>
      </c>
      <c r="AB183" s="60" t="str">
        <f t="shared" si="71"/>
        <v/>
      </c>
    </row>
    <row r="184" spans="2:28">
      <c r="B184" s="57" t="str">
        <f t="shared" si="48"/>
        <v/>
      </c>
      <c r="C184" s="58" t="str">
        <f t="shared" si="49"/>
        <v/>
      </c>
      <c r="D184" s="28" t="str">
        <f t="shared" si="50"/>
        <v/>
      </c>
      <c r="E184" s="28" t="str">
        <f t="shared" si="51"/>
        <v/>
      </c>
      <c r="F184" s="29" t="str">
        <f t="shared" si="52"/>
        <v/>
      </c>
      <c r="G184" s="60" t="str">
        <f t="shared" si="53"/>
        <v/>
      </c>
      <c r="H184" s="60" t="str">
        <f t="shared" si="54"/>
        <v/>
      </c>
      <c r="I184" s="60" t="str">
        <f t="shared" si="55"/>
        <v/>
      </c>
      <c r="J184" s="60" t="str">
        <f t="shared" si="56"/>
        <v/>
      </c>
      <c r="K184" s="60" t="str">
        <f t="shared" si="57"/>
        <v/>
      </c>
      <c r="L184" s="60" t="str">
        <f t="shared" si="58"/>
        <v/>
      </c>
      <c r="M184" s="60" t="str">
        <f t="shared" si="59"/>
        <v/>
      </c>
      <c r="Q184" s="57" t="str">
        <f t="shared" si="60"/>
        <v/>
      </c>
      <c r="R184" s="58" t="str">
        <f t="shared" si="61"/>
        <v/>
      </c>
      <c r="S184" s="28" t="str">
        <f t="shared" si="62"/>
        <v/>
      </c>
      <c r="T184" s="28" t="str">
        <f t="shared" si="63"/>
        <v/>
      </c>
      <c r="U184" s="29" t="str">
        <f t="shared" si="64"/>
        <v/>
      </c>
      <c r="V184" s="60" t="str">
        <f t="shared" si="65"/>
        <v/>
      </c>
      <c r="W184" s="60" t="str">
        <f t="shared" si="66"/>
        <v/>
      </c>
      <c r="X184" s="60" t="str">
        <f t="shared" si="67"/>
        <v/>
      </c>
      <c r="Y184" s="60" t="str">
        <f t="shared" si="68"/>
        <v/>
      </c>
      <c r="Z184" s="60" t="str">
        <f t="shared" si="69"/>
        <v/>
      </c>
      <c r="AA184" s="60" t="str">
        <f t="shared" si="70"/>
        <v/>
      </c>
      <c r="AB184" s="60" t="str">
        <f t="shared" si="71"/>
        <v/>
      </c>
    </row>
    <row r="185" spans="2:28">
      <c r="B185" s="57" t="str">
        <f t="shared" si="48"/>
        <v/>
      </c>
      <c r="C185" s="58" t="str">
        <f t="shared" si="49"/>
        <v/>
      </c>
      <c r="D185" s="28" t="str">
        <f t="shared" si="50"/>
        <v/>
      </c>
      <c r="E185" s="28" t="str">
        <f t="shared" si="51"/>
        <v/>
      </c>
      <c r="F185" s="29" t="str">
        <f t="shared" si="52"/>
        <v/>
      </c>
      <c r="G185" s="60" t="str">
        <f t="shared" si="53"/>
        <v/>
      </c>
      <c r="H185" s="60" t="str">
        <f t="shared" si="54"/>
        <v/>
      </c>
      <c r="I185" s="60" t="str">
        <f t="shared" si="55"/>
        <v/>
      </c>
      <c r="J185" s="60" t="str">
        <f t="shared" si="56"/>
        <v/>
      </c>
      <c r="K185" s="60" t="str">
        <f t="shared" si="57"/>
        <v/>
      </c>
      <c r="L185" s="60" t="str">
        <f t="shared" si="58"/>
        <v/>
      </c>
      <c r="M185" s="60" t="str">
        <f t="shared" si="59"/>
        <v/>
      </c>
      <c r="Q185" s="57" t="str">
        <f t="shared" si="60"/>
        <v/>
      </c>
      <c r="R185" s="58" t="str">
        <f t="shared" si="61"/>
        <v/>
      </c>
      <c r="S185" s="28" t="str">
        <f t="shared" si="62"/>
        <v/>
      </c>
      <c r="T185" s="28" t="str">
        <f t="shared" si="63"/>
        <v/>
      </c>
      <c r="U185" s="29" t="str">
        <f t="shared" si="64"/>
        <v/>
      </c>
      <c r="V185" s="60" t="str">
        <f t="shared" si="65"/>
        <v/>
      </c>
      <c r="W185" s="60" t="str">
        <f t="shared" si="66"/>
        <v/>
      </c>
      <c r="X185" s="60" t="str">
        <f t="shared" si="67"/>
        <v/>
      </c>
      <c r="Y185" s="60" t="str">
        <f t="shared" si="68"/>
        <v/>
      </c>
      <c r="Z185" s="60" t="str">
        <f t="shared" si="69"/>
        <v/>
      </c>
      <c r="AA185" s="60" t="str">
        <f t="shared" si="70"/>
        <v/>
      </c>
      <c r="AB185" s="60" t="str">
        <f t="shared" si="71"/>
        <v/>
      </c>
    </row>
    <row r="186" spans="2:28">
      <c r="B186" s="57" t="str">
        <f t="shared" si="48"/>
        <v/>
      </c>
      <c r="C186" s="58" t="str">
        <f t="shared" si="49"/>
        <v/>
      </c>
      <c r="D186" s="28" t="str">
        <f t="shared" si="50"/>
        <v/>
      </c>
      <c r="E186" s="28" t="str">
        <f t="shared" si="51"/>
        <v/>
      </c>
      <c r="F186" s="29" t="str">
        <f t="shared" si="52"/>
        <v/>
      </c>
      <c r="G186" s="60" t="str">
        <f t="shared" si="53"/>
        <v/>
      </c>
      <c r="H186" s="60" t="str">
        <f t="shared" si="54"/>
        <v/>
      </c>
      <c r="I186" s="60" t="str">
        <f t="shared" si="55"/>
        <v/>
      </c>
      <c r="J186" s="60" t="str">
        <f t="shared" si="56"/>
        <v/>
      </c>
      <c r="K186" s="60" t="str">
        <f t="shared" si="57"/>
        <v/>
      </c>
      <c r="L186" s="60" t="str">
        <f t="shared" si="58"/>
        <v/>
      </c>
      <c r="M186" s="60" t="str">
        <f t="shared" si="59"/>
        <v/>
      </c>
      <c r="Q186" s="57" t="str">
        <f t="shared" si="60"/>
        <v/>
      </c>
      <c r="R186" s="58" t="str">
        <f t="shared" si="61"/>
        <v/>
      </c>
      <c r="S186" s="28" t="str">
        <f t="shared" si="62"/>
        <v/>
      </c>
      <c r="T186" s="28" t="str">
        <f t="shared" si="63"/>
        <v/>
      </c>
      <c r="U186" s="29" t="str">
        <f t="shared" si="64"/>
        <v/>
      </c>
      <c r="V186" s="60" t="str">
        <f t="shared" si="65"/>
        <v/>
      </c>
      <c r="W186" s="60" t="str">
        <f t="shared" si="66"/>
        <v/>
      </c>
      <c r="X186" s="60" t="str">
        <f t="shared" si="67"/>
        <v/>
      </c>
      <c r="Y186" s="60" t="str">
        <f t="shared" si="68"/>
        <v/>
      </c>
      <c r="Z186" s="60" t="str">
        <f t="shared" si="69"/>
        <v/>
      </c>
      <c r="AA186" s="60" t="str">
        <f t="shared" si="70"/>
        <v/>
      </c>
      <c r="AB186" s="60" t="str">
        <f t="shared" si="71"/>
        <v/>
      </c>
    </row>
    <row r="187" spans="2:28">
      <c r="B187" s="57" t="str">
        <f t="shared" si="48"/>
        <v/>
      </c>
      <c r="C187" s="58" t="str">
        <f t="shared" si="49"/>
        <v/>
      </c>
      <c r="D187" s="28" t="str">
        <f t="shared" si="50"/>
        <v/>
      </c>
      <c r="E187" s="28" t="str">
        <f t="shared" si="51"/>
        <v/>
      </c>
      <c r="F187" s="29" t="str">
        <f t="shared" si="52"/>
        <v/>
      </c>
      <c r="G187" s="60" t="str">
        <f t="shared" si="53"/>
        <v/>
      </c>
      <c r="H187" s="60" t="str">
        <f t="shared" si="54"/>
        <v/>
      </c>
      <c r="I187" s="60" t="str">
        <f t="shared" si="55"/>
        <v/>
      </c>
      <c r="J187" s="60" t="str">
        <f t="shared" si="56"/>
        <v/>
      </c>
      <c r="K187" s="60" t="str">
        <f t="shared" si="57"/>
        <v/>
      </c>
      <c r="L187" s="60" t="str">
        <f t="shared" si="58"/>
        <v/>
      </c>
      <c r="M187" s="60" t="str">
        <f t="shared" si="59"/>
        <v/>
      </c>
      <c r="Q187" s="57" t="str">
        <f t="shared" si="60"/>
        <v/>
      </c>
      <c r="R187" s="58" t="str">
        <f t="shared" si="61"/>
        <v/>
      </c>
      <c r="S187" s="28" t="str">
        <f t="shared" si="62"/>
        <v/>
      </c>
      <c r="T187" s="28" t="str">
        <f t="shared" si="63"/>
        <v/>
      </c>
      <c r="U187" s="29" t="str">
        <f t="shared" si="64"/>
        <v/>
      </c>
      <c r="V187" s="60" t="str">
        <f t="shared" si="65"/>
        <v/>
      </c>
      <c r="W187" s="60" t="str">
        <f t="shared" si="66"/>
        <v/>
      </c>
      <c r="X187" s="60" t="str">
        <f t="shared" si="67"/>
        <v/>
      </c>
      <c r="Y187" s="60" t="str">
        <f t="shared" si="68"/>
        <v/>
      </c>
      <c r="Z187" s="60" t="str">
        <f t="shared" si="69"/>
        <v/>
      </c>
      <c r="AA187" s="60" t="str">
        <f t="shared" si="70"/>
        <v/>
      </c>
      <c r="AB187" s="60" t="str">
        <f t="shared" si="71"/>
        <v/>
      </c>
    </row>
    <row r="188" spans="2:28">
      <c r="B188" s="57" t="str">
        <f t="shared" si="48"/>
        <v/>
      </c>
      <c r="C188" s="58" t="str">
        <f t="shared" si="49"/>
        <v/>
      </c>
      <c r="D188" s="28" t="str">
        <f t="shared" si="50"/>
        <v/>
      </c>
      <c r="E188" s="28" t="str">
        <f t="shared" si="51"/>
        <v/>
      </c>
      <c r="F188" s="29" t="str">
        <f t="shared" si="52"/>
        <v/>
      </c>
      <c r="G188" s="60" t="str">
        <f t="shared" si="53"/>
        <v/>
      </c>
      <c r="H188" s="60" t="str">
        <f t="shared" si="54"/>
        <v/>
      </c>
      <c r="I188" s="60" t="str">
        <f t="shared" si="55"/>
        <v/>
      </c>
      <c r="J188" s="60" t="str">
        <f t="shared" si="56"/>
        <v/>
      </c>
      <c r="K188" s="60" t="str">
        <f t="shared" si="57"/>
        <v/>
      </c>
      <c r="L188" s="60" t="str">
        <f t="shared" si="58"/>
        <v/>
      </c>
      <c r="M188" s="60" t="str">
        <f t="shared" si="59"/>
        <v/>
      </c>
      <c r="Q188" s="57" t="str">
        <f t="shared" si="60"/>
        <v/>
      </c>
      <c r="R188" s="58" t="str">
        <f t="shared" si="61"/>
        <v/>
      </c>
      <c r="S188" s="28" t="str">
        <f t="shared" si="62"/>
        <v/>
      </c>
      <c r="T188" s="28" t="str">
        <f t="shared" si="63"/>
        <v/>
      </c>
      <c r="U188" s="29" t="str">
        <f t="shared" si="64"/>
        <v/>
      </c>
      <c r="V188" s="60" t="str">
        <f t="shared" si="65"/>
        <v/>
      </c>
      <c r="W188" s="60" t="str">
        <f t="shared" si="66"/>
        <v/>
      </c>
      <c r="X188" s="60" t="str">
        <f t="shared" si="67"/>
        <v/>
      </c>
      <c r="Y188" s="60" t="str">
        <f t="shared" si="68"/>
        <v/>
      </c>
      <c r="Z188" s="60" t="str">
        <f t="shared" si="69"/>
        <v/>
      </c>
      <c r="AA188" s="60" t="str">
        <f t="shared" si="70"/>
        <v/>
      </c>
      <c r="AB188" s="60" t="str">
        <f t="shared" si="71"/>
        <v/>
      </c>
    </row>
    <row r="189" spans="2:28">
      <c r="B189" s="57" t="str">
        <f t="shared" si="48"/>
        <v/>
      </c>
      <c r="C189" s="58" t="str">
        <f t="shared" si="49"/>
        <v/>
      </c>
      <c r="D189" s="28" t="str">
        <f t="shared" si="50"/>
        <v/>
      </c>
      <c r="E189" s="28" t="str">
        <f t="shared" si="51"/>
        <v/>
      </c>
      <c r="F189" s="29" t="str">
        <f t="shared" si="52"/>
        <v/>
      </c>
      <c r="G189" s="60" t="str">
        <f t="shared" si="53"/>
        <v/>
      </c>
      <c r="H189" s="60" t="str">
        <f t="shared" si="54"/>
        <v/>
      </c>
      <c r="I189" s="60" t="str">
        <f t="shared" si="55"/>
        <v/>
      </c>
      <c r="J189" s="60" t="str">
        <f t="shared" si="56"/>
        <v/>
      </c>
      <c r="K189" s="60" t="str">
        <f t="shared" si="57"/>
        <v/>
      </c>
      <c r="L189" s="60" t="str">
        <f t="shared" si="58"/>
        <v/>
      </c>
      <c r="M189" s="60" t="str">
        <f t="shared" si="59"/>
        <v/>
      </c>
      <c r="Q189" s="57" t="str">
        <f t="shared" si="60"/>
        <v/>
      </c>
      <c r="R189" s="58" t="str">
        <f t="shared" si="61"/>
        <v/>
      </c>
      <c r="S189" s="28" t="str">
        <f t="shared" si="62"/>
        <v/>
      </c>
      <c r="T189" s="28" t="str">
        <f t="shared" si="63"/>
        <v/>
      </c>
      <c r="U189" s="29" t="str">
        <f t="shared" si="64"/>
        <v/>
      </c>
      <c r="V189" s="60" t="str">
        <f t="shared" si="65"/>
        <v/>
      </c>
      <c r="W189" s="60" t="str">
        <f t="shared" si="66"/>
        <v/>
      </c>
      <c r="X189" s="60" t="str">
        <f t="shared" si="67"/>
        <v/>
      </c>
      <c r="Y189" s="60" t="str">
        <f t="shared" si="68"/>
        <v/>
      </c>
      <c r="Z189" s="60" t="str">
        <f t="shared" si="69"/>
        <v/>
      </c>
      <c r="AA189" s="60" t="str">
        <f t="shared" si="70"/>
        <v/>
      </c>
      <c r="AB189" s="60" t="str">
        <f t="shared" si="71"/>
        <v/>
      </c>
    </row>
    <row r="190" spans="2:28">
      <c r="B190" s="57" t="str">
        <f t="shared" si="48"/>
        <v/>
      </c>
      <c r="C190" s="58" t="str">
        <f t="shared" si="49"/>
        <v/>
      </c>
      <c r="D190" s="28" t="str">
        <f t="shared" si="50"/>
        <v/>
      </c>
      <c r="E190" s="28" t="str">
        <f t="shared" si="51"/>
        <v/>
      </c>
      <c r="F190" s="29" t="str">
        <f t="shared" si="52"/>
        <v/>
      </c>
      <c r="G190" s="60" t="str">
        <f t="shared" si="53"/>
        <v/>
      </c>
      <c r="H190" s="60" t="str">
        <f t="shared" si="54"/>
        <v/>
      </c>
      <c r="I190" s="60" t="str">
        <f t="shared" si="55"/>
        <v/>
      </c>
      <c r="J190" s="60" t="str">
        <f t="shared" si="56"/>
        <v/>
      </c>
      <c r="K190" s="60" t="str">
        <f t="shared" si="57"/>
        <v/>
      </c>
      <c r="L190" s="60" t="str">
        <f t="shared" si="58"/>
        <v/>
      </c>
      <c r="M190" s="60" t="str">
        <f t="shared" si="59"/>
        <v/>
      </c>
      <c r="Q190" s="57" t="str">
        <f t="shared" si="60"/>
        <v/>
      </c>
      <c r="R190" s="58" t="str">
        <f t="shared" si="61"/>
        <v/>
      </c>
      <c r="S190" s="28" t="str">
        <f t="shared" si="62"/>
        <v/>
      </c>
      <c r="T190" s="28" t="str">
        <f t="shared" si="63"/>
        <v/>
      </c>
      <c r="U190" s="29" t="str">
        <f t="shared" si="64"/>
        <v/>
      </c>
      <c r="V190" s="60" t="str">
        <f t="shared" si="65"/>
        <v/>
      </c>
      <c r="W190" s="60" t="str">
        <f t="shared" si="66"/>
        <v/>
      </c>
      <c r="X190" s="60" t="str">
        <f t="shared" si="67"/>
        <v/>
      </c>
      <c r="Y190" s="60" t="str">
        <f t="shared" si="68"/>
        <v/>
      </c>
      <c r="Z190" s="60" t="str">
        <f t="shared" si="69"/>
        <v/>
      </c>
      <c r="AA190" s="60" t="str">
        <f t="shared" si="70"/>
        <v/>
      </c>
      <c r="AB190" s="60" t="str">
        <f t="shared" si="71"/>
        <v/>
      </c>
    </row>
    <row r="191" spans="2:28">
      <c r="B191" s="57" t="str">
        <f t="shared" si="48"/>
        <v/>
      </c>
      <c r="C191" s="58" t="str">
        <f t="shared" si="49"/>
        <v/>
      </c>
      <c r="D191" s="28" t="str">
        <f t="shared" si="50"/>
        <v/>
      </c>
      <c r="E191" s="28" t="str">
        <f t="shared" si="51"/>
        <v/>
      </c>
      <c r="F191" s="29" t="str">
        <f t="shared" si="52"/>
        <v/>
      </c>
      <c r="G191" s="60" t="str">
        <f t="shared" si="53"/>
        <v/>
      </c>
      <c r="H191" s="60" t="str">
        <f t="shared" si="54"/>
        <v/>
      </c>
      <c r="I191" s="60" t="str">
        <f t="shared" si="55"/>
        <v/>
      </c>
      <c r="J191" s="60" t="str">
        <f t="shared" si="56"/>
        <v/>
      </c>
      <c r="K191" s="60" t="str">
        <f t="shared" si="57"/>
        <v/>
      </c>
      <c r="L191" s="60" t="str">
        <f t="shared" si="58"/>
        <v/>
      </c>
      <c r="M191" s="60" t="str">
        <f t="shared" si="59"/>
        <v/>
      </c>
      <c r="Q191" s="57" t="str">
        <f t="shared" si="60"/>
        <v/>
      </c>
      <c r="R191" s="58" t="str">
        <f t="shared" si="61"/>
        <v/>
      </c>
      <c r="S191" s="28" t="str">
        <f t="shared" si="62"/>
        <v/>
      </c>
      <c r="T191" s="28" t="str">
        <f t="shared" si="63"/>
        <v/>
      </c>
      <c r="U191" s="29" t="str">
        <f t="shared" si="64"/>
        <v/>
      </c>
      <c r="V191" s="60" t="str">
        <f t="shared" si="65"/>
        <v/>
      </c>
      <c r="W191" s="60" t="str">
        <f t="shared" si="66"/>
        <v/>
      </c>
      <c r="X191" s="60" t="str">
        <f t="shared" si="67"/>
        <v/>
      </c>
      <c r="Y191" s="60" t="str">
        <f t="shared" si="68"/>
        <v/>
      </c>
      <c r="Z191" s="60" t="str">
        <f t="shared" si="69"/>
        <v/>
      </c>
      <c r="AA191" s="60" t="str">
        <f t="shared" si="70"/>
        <v/>
      </c>
      <c r="AB191" s="60" t="str">
        <f t="shared" si="71"/>
        <v/>
      </c>
    </row>
    <row r="192" spans="2:28">
      <c r="B192" s="57" t="str">
        <f t="shared" si="48"/>
        <v/>
      </c>
      <c r="C192" s="58" t="str">
        <f t="shared" si="49"/>
        <v/>
      </c>
      <c r="D192" s="28" t="str">
        <f t="shared" si="50"/>
        <v/>
      </c>
      <c r="E192" s="28" t="str">
        <f t="shared" si="51"/>
        <v/>
      </c>
      <c r="F192" s="29" t="str">
        <f t="shared" si="52"/>
        <v/>
      </c>
      <c r="G192" s="60" t="str">
        <f t="shared" si="53"/>
        <v/>
      </c>
      <c r="H192" s="60" t="str">
        <f t="shared" si="54"/>
        <v/>
      </c>
      <c r="I192" s="60" t="str">
        <f t="shared" si="55"/>
        <v/>
      </c>
      <c r="J192" s="60" t="str">
        <f t="shared" si="56"/>
        <v/>
      </c>
      <c r="K192" s="60" t="str">
        <f t="shared" si="57"/>
        <v/>
      </c>
      <c r="L192" s="60" t="str">
        <f t="shared" si="58"/>
        <v/>
      </c>
      <c r="M192" s="60" t="str">
        <f t="shared" si="59"/>
        <v/>
      </c>
      <c r="Q192" s="57" t="str">
        <f t="shared" si="60"/>
        <v/>
      </c>
      <c r="R192" s="58" t="str">
        <f t="shared" si="61"/>
        <v/>
      </c>
      <c r="S192" s="28" t="str">
        <f t="shared" si="62"/>
        <v/>
      </c>
      <c r="T192" s="28" t="str">
        <f t="shared" si="63"/>
        <v/>
      </c>
      <c r="U192" s="29" t="str">
        <f t="shared" si="64"/>
        <v/>
      </c>
      <c r="V192" s="60" t="str">
        <f t="shared" si="65"/>
        <v/>
      </c>
      <c r="W192" s="60" t="str">
        <f t="shared" si="66"/>
        <v/>
      </c>
      <c r="X192" s="60" t="str">
        <f t="shared" si="67"/>
        <v/>
      </c>
      <c r="Y192" s="60" t="str">
        <f t="shared" si="68"/>
        <v/>
      </c>
      <c r="Z192" s="60" t="str">
        <f t="shared" si="69"/>
        <v/>
      </c>
      <c r="AA192" s="60" t="str">
        <f t="shared" si="70"/>
        <v/>
      </c>
      <c r="AB192" s="60" t="str">
        <f t="shared" si="71"/>
        <v/>
      </c>
    </row>
    <row r="193" spans="2:28">
      <c r="B193" s="57" t="str">
        <f t="shared" si="48"/>
        <v/>
      </c>
      <c r="C193" s="58" t="str">
        <f t="shared" si="49"/>
        <v/>
      </c>
      <c r="D193" s="28" t="str">
        <f t="shared" si="50"/>
        <v/>
      </c>
      <c r="E193" s="28" t="str">
        <f t="shared" si="51"/>
        <v/>
      </c>
      <c r="F193" s="29" t="str">
        <f t="shared" si="52"/>
        <v/>
      </c>
      <c r="G193" s="60" t="str">
        <f t="shared" si="53"/>
        <v/>
      </c>
      <c r="H193" s="60" t="str">
        <f t="shared" si="54"/>
        <v/>
      </c>
      <c r="I193" s="60" t="str">
        <f t="shared" si="55"/>
        <v/>
      </c>
      <c r="J193" s="60" t="str">
        <f t="shared" si="56"/>
        <v/>
      </c>
      <c r="K193" s="60" t="str">
        <f t="shared" si="57"/>
        <v/>
      </c>
      <c r="L193" s="60" t="str">
        <f t="shared" si="58"/>
        <v/>
      </c>
      <c r="M193" s="60" t="str">
        <f t="shared" si="59"/>
        <v/>
      </c>
      <c r="Q193" s="57" t="str">
        <f t="shared" si="60"/>
        <v/>
      </c>
      <c r="R193" s="58" t="str">
        <f t="shared" si="61"/>
        <v/>
      </c>
      <c r="S193" s="28" t="str">
        <f t="shared" si="62"/>
        <v/>
      </c>
      <c r="T193" s="28" t="str">
        <f t="shared" si="63"/>
        <v/>
      </c>
      <c r="U193" s="29" t="str">
        <f t="shared" si="64"/>
        <v/>
      </c>
      <c r="V193" s="60" t="str">
        <f t="shared" si="65"/>
        <v/>
      </c>
      <c r="W193" s="60" t="str">
        <f t="shared" si="66"/>
        <v/>
      </c>
      <c r="X193" s="60" t="str">
        <f t="shared" si="67"/>
        <v/>
      </c>
      <c r="Y193" s="60" t="str">
        <f t="shared" si="68"/>
        <v/>
      </c>
      <c r="Z193" s="60" t="str">
        <f t="shared" si="69"/>
        <v/>
      </c>
      <c r="AA193" s="60" t="str">
        <f t="shared" si="70"/>
        <v/>
      </c>
      <c r="AB193" s="60" t="str">
        <f t="shared" si="71"/>
        <v/>
      </c>
    </row>
    <row r="194" spans="2:28">
      <c r="B194" s="57" t="str">
        <f t="shared" si="48"/>
        <v/>
      </c>
      <c r="C194" s="58" t="str">
        <f t="shared" si="49"/>
        <v/>
      </c>
      <c r="D194" s="28" t="str">
        <f t="shared" si="50"/>
        <v/>
      </c>
      <c r="E194" s="28" t="str">
        <f t="shared" si="51"/>
        <v/>
      </c>
      <c r="F194" s="29" t="str">
        <f t="shared" si="52"/>
        <v/>
      </c>
      <c r="G194" s="60" t="str">
        <f t="shared" si="53"/>
        <v/>
      </c>
      <c r="H194" s="60" t="str">
        <f t="shared" si="54"/>
        <v/>
      </c>
      <c r="I194" s="60" t="str">
        <f t="shared" si="55"/>
        <v/>
      </c>
      <c r="J194" s="60" t="str">
        <f t="shared" si="56"/>
        <v/>
      </c>
      <c r="K194" s="60" t="str">
        <f t="shared" si="57"/>
        <v/>
      </c>
      <c r="L194" s="60" t="str">
        <f t="shared" si="58"/>
        <v/>
      </c>
      <c r="M194" s="60" t="str">
        <f t="shared" si="59"/>
        <v/>
      </c>
      <c r="Q194" s="57" t="str">
        <f t="shared" si="60"/>
        <v/>
      </c>
      <c r="R194" s="58" t="str">
        <f t="shared" si="61"/>
        <v/>
      </c>
      <c r="S194" s="28" t="str">
        <f t="shared" si="62"/>
        <v/>
      </c>
      <c r="T194" s="28" t="str">
        <f t="shared" si="63"/>
        <v/>
      </c>
      <c r="U194" s="29" t="str">
        <f t="shared" si="64"/>
        <v/>
      </c>
      <c r="V194" s="60" t="str">
        <f t="shared" si="65"/>
        <v/>
      </c>
      <c r="W194" s="60" t="str">
        <f t="shared" si="66"/>
        <v/>
      </c>
      <c r="X194" s="60" t="str">
        <f t="shared" si="67"/>
        <v/>
      </c>
      <c r="Y194" s="60" t="str">
        <f t="shared" si="68"/>
        <v/>
      </c>
      <c r="Z194" s="60" t="str">
        <f t="shared" si="69"/>
        <v/>
      </c>
      <c r="AA194" s="60" t="str">
        <f t="shared" si="70"/>
        <v/>
      </c>
      <c r="AB194" s="60" t="str">
        <f t="shared" si="71"/>
        <v/>
      </c>
    </row>
    <row r="195" spans="2:28">
      <c r="B195" s="57" t="str">
        <f t="shared" si="48"/>
        <v/>
      </c>
      <c r="C195" s="58" t="str">
        <f t="shared" si="49"/>
        <v/>
      </c>
      <c r="D195" s="28" t="str">
        <f t="shared" si="50"/>
        <v/>
      </c>
      <c r="E195" s="28" t="str">
        <f t="shared" si="51"/>
        <v/>
      </c>
      <c r="F195" s="29" t="str">
        <f t="shared" si="52"/>
        <v/>
      </c>
      <c r="G195" s="60" t="str">
        <f t="shared" si="53"/>
        <v/>
      </c>
      <c r="H195" s="60" t="str">
        <f t="shared" si="54"/>
        <v/>
      </c>
      <c r="I195" s="60" t="str">
        <f t="shared" si="55"/>
        <v/>
      </c>
      <c r="J195" s="60" t="str">
        <f t="shared" si="56"/>
        <v/>
      </c>
      <c r="K195" s="60" t="str">
        <f t="shared" si="57"/>
        <v/>
      </c>
      <c r="L195" s="60" t="str">
        <f t="shared" si="58"/>
        <v/>
      </c>
      <c r="M195" s="60" t="str">
        <f t="shared" si="59"/>
        <v/>
      </c>
      <c r="Q195" s="57" t="str">
        <f t="shared" si="60"/>
        <v/>
      </c>
      <c r="R195" s="58" t="str">
        <f t="shared" si="61"/>
        <v/>
      </c>
      <c r="S195" s="28" t="str">
        <f t="shared" si="62"/>
        <v/>
      </c>
      <c r="T195" s="28" t="str">
        <f t="shared" si="63"/>
        <v/>
      </c>
      <c r="U195" s="29" t="str">
        <f t="shared" si="64"/>
        <v/>
      </c>
      <c r="V195" s="60" t="str">
        <f t="shared" si="65"/>
        <v/>
      </c>
      <c r="W195" s="60" t="str">
        <f t="shared" si="66"/>
        <v/>
      </c>
      <c r="X195" s="60" t="str">
        <f t="shared" si="67"/>
        <v/>
      </c>
      <c r="Y195" s="60" t="str">
        <f t="shared" si="68"/>
        <v/>
      </c>
      <c r="Z195" s="60" t="str">
        <f t="shared" si="69"/>
        <v/>
      </c>
      <c r="AA195" s="60" t="str">
        <f t="shared" si="70"/>
        <v/>
      </c>
      <c r="AB195" s="60" t="str">
        <f t="shared" si="71"/>
        <v/>
      </c>
    </row>
    <row r="196" spans="2:28">
      <c r="B196" s="57" t="str">
        <f t="shared" si="48"/>
        <v/>
      </c>
      <c r="C196" s="58" t="str">
        <f t="shared" si="49"/>
        <v/>
      </c>
      <c r="D196" s="28" t="str">
        <f t="shared" si="50"/>
        <v/>
      </c>
      <c r="E196" s="28" t="str">
        <f t="shared" si="51"/>
        <v/>
      </c>
      <c r="F196" s="29" t="str">
        <f t="shared" si="52"/>
        <v/>
      </c>
      <c r="G196" s="60" t="str">
        <f t="shared" si="53"/>
        <v/>
      </c>
      <c r="H196" s="60" t="str">
        <f t="shared" si="54"/>
        <v/>
      </c>
      <c r="I196" s="60" t="str">
        <f t="shared" si="55"/>
        <v/>
      </c>
      <c r="J196" s="60" t="str">
        <f t="shared" si="56"/>
        <v/>
      </c>
      <c r="K196" s="60" t="str">
        <f t="shared" si="57"/>
        <v/>
      </c>
      <c r="L196" s="60" t="str">
        <f t="shared" si="58"/>
        <v/>
      </c>
      <c r="M196" s="60" t="str">
        <f t="shared" si="59"/>
        <v/>
      </c>
      <c r="Q196" s="57" t="str">
        <f t="shared" si="60"/>
        <v/>
      </c>
      <c r="R196" s="58" t="str">
        <f t="shared" si="61"/>
        <v/>
      </c>
      <c r="S196" s="28" t="str">
        <f t="shared" si="62"/>
        <v/>
      </c>
      <c r="T196" s="28" t="str">
        <f t="shared" si="63"/>
        <v/>
      </c>
      <c r="U196" s="29" t="str">
        <f t="shared" si="64"/>
        <v/>
      </c>
      <c r="V196" s="60" t="str">
        <f t="shared" si="65"/>
        <v/>
      </c>
      <c r="W196" s="60" t="str">
        <f t="shared" si="66"/>
        <v/>
      </c>
      <c r="X196" s="60" t="str">
        <f t="shared" si="67"/>
        <v/>
      </c>
      <c r="Y196" s="60" t="str">
        <f t="shared" si="68"/>
        <v/>
      </c>
      <c r="Z196" s="60" t="str">
        <f t="shared" si="69"/>
        <v/>
      </c>
      <c r="AA196" s="60" t="str">
        <f t="shared" si="70"/>
        <v/>
      </c>
      <c r="AB196" s="60" t="str">
        <f t="shared" si="71"/>
        <v/>
      </c>
    </row>
    <row r="197" spans="2:28">
      <c r="B197" s="57" t="str">
        <f t="shared" si="48"/>
        <v/>
      </c>
      <c r="C197" s="58" t="str">
        <f t="shared" si="49"/>
        <v/>
      </c>
      <c r="D197" s="28" t="str">
        <f t="shared" si="50"/>
        <v/>
      </c>
      <c r="E197" s="28" t="str">
        <f t="shared" si="51"/>
        <v/>
      </c>
      <c r="F197" s="29" t="str">
        <f t="shared" si="52"/>
        <v/>
      </c>
      <c r="G197" s="60" t="str">
        <f t="shared" si="53"/>
        <v/>
      </c>
      <c r="H197" s="60" t="str">
        <f t="shared" si="54"/>
        <v/>
      </c>
      <c r="I197" s="60" t="str">
        <f t="shared" si="55"/>
        <v/>
      </c>
      <c r="J197" s="60" t="str">
        <f t="shared" si="56"/>
        <v/>
      </c>
      <c r="K197" s="60" t="str">
        <f t="shared" si="57"/>
        <v/>
      </c>
      <c r="L197" s="60" t="str">
        <f t="shared" si="58"/>
        <v/>
      </c>
      <c r="M197" s="60" t="str">
        <f t="shared" si="59"/>
        <v/>
      </c>
      <c r="Q197" s="57" t="str">
        <f t="shared" si="60"/>
        <v/>
      </c>
      <c r="R197" s="58" t="str">
        <f t="shared" si="61"/>
        <v/>
      </c>
      <c r="S197" s="28" t="str">
        <f t="shared" si="62"/>
        <v/>
      </c>
      <c r="T197" s="28" t="str">
        <f t="shared" si="63"/>
        <v/>
      </c>
      <c r="U197" s="29" t="str">
        <f t="shared" si="64"/>
        <v/>
      </c>
      <c r="V197" s="60" t="str">
        <f t="shared" si="65"/>
        <v/>
      </c>
      <c r="W197" s="60" t="str">
        <f t="shared" si="66"/>
        <v/>
      </c>
      <c r="X197" s="60" t="str">
        <f t="shared" si="67"/>
        <v/>
      </c>
      <c r="Y197" s="60" t="str">
        <f t="shared" si="68"/>
        <v/>
      </c>
      <c r="Z197" s="60" t="str">
        <f t="shared" si="69"/>
        <v/>
      </c>
      <c r="AA197" s="60" t="str">
        <f t="shared" si="70"/>
        <v/>
      </c>
      <c r="AB197" s="60" t="str">
        <f t="shared" si="71"/>
        <v/>
      </c>
    </row>
    <row r="198" spans="2:28">
      <c r="B198" s="57" t="str">
        <f t="shared" si="48"/>
        <v/>
      </c>
      <c r="C198" s="58" t="str">
        <f t="shared" si="49"/>
        <v/>
      </c>
      <c r="D198" s="28" t="str">
        <f t="shared" si="50"/>
        <v/>
      </c>
      <c r="E198" s="28" t="str">
        <f t="shared" si="51"/>
        <v/>
      </c>
      <c r="F198" s="29" t="str">
        <f t="shared" si="52"/>
        <v/>
      </c>
      <c r="G198" s="60" t="str">
        <f t="shared" si="53"/>
        <v/>
      </c>
      <c r="H198" s="60" t="str">
        <f t="shared" si="54"/>
        <v/>
      </c>
      <c r="I198" s="60" t="str">
        <f t="shared" si="55"/>
        <v/>
      </c>
      <c r="J198" s="60" t="str">
        <f t="shared" si="56"/>
        <v/>
      </c>
      <c r="K198" s="60" t="str">
        <f t="shared" si="57"/>
        <v/>
      </c>
      <c r="L198" s="60" t="str">
        <f t="shared" si="58"/>
        <v/>
      </c>
      <c r="M198" s="60" t="str">
        <f t="shared" si="59"/>
        <v/>
      </c>
      <c r="Q198" s="57" t="str">
        <f t="shared" si="60"/>
        <v/>
      </c>
      <c r="R198" s="58" t="str">
        <f t="shared" si="61"/>
        <v/>
      </c>
      <c r="S198" s="28" t="str">
        <f t="shared" si="62"/>
        <v/>
      </c>
      <c r="T198" s="28" t="str">
        <f t="shared" si="63"/>
        <v/>
      </c>
      <c r="U198" s="29" t="str">
        <f t="shared" si="64"/>
        <v/>
      </c>
      <c r="V198" s="60" t="str">
        <f t="shared" si="65"/>
        <v/>
      </c>
      <c r="W198" s="60" t="str">
        <f t="shared" si="66"/>
        <v/>
      </c>
      <c r="X198" s="60" t="str">
        <f t="shared" si="67"/>
        <v/>
      </c>
      <c r="Y198" s="60" t="str">
        <f t="shared" si="68"/>
        <v/>
      </c>
      <c r="Z198" s="60" t="str">
        <f t="shared" si="69"/>
        <v/>
      </c>
      <c r="AA198" s="60" t="str">
        <f t="shared" si="70"/>
        <v/>
      </c>
      <c r="AB198" s="60" t="str">
        <f t="shared" si="71"/>
        <v/>
      </c>
    </row>
    <row r="199" spans="2:28">
      <c r="B199" s="57" t="str">
        <f t="shared" si="48"/>
        <v/>
      </c>
      <c r="C199" s="58" t="str">
        <f t="shared" si="49"/>
        <v/>
      </c>
      <c r="D199" s="28" t="str">
        <f t="shared" si="50"/>
        <v/>
      </c>
      <c r="E199" s="28" t="str">
        <f t="shared" si="51"/>
        <v/>
      </c>
      <c r="F199" s="29" t="str">
        <f t="shared" si="52"/>
        <v/>
      </c>
      <c r="G199" s="60" t="str">
        <f t="shared" si="53"/>
        <v/>
      </c>
      <c r="H199" s="60" t="str">
        <f t="shared" si="54"/>
        <v/>
      </c>
      <c r="I199" s="60" t="str">
        <f t="shared" si="55"/>
        <v/>
      </c>
      <c r="J199" s="60" t="str">
        <f t="shared" si="56"/>
        <v/>
      </c>
      <c r="K199" s="60" t="str">
        <f t="shared" si="57"/>
        <v/>
      </c>
      <c r="L199" s="60" t="str">
        <f t="shared" si="58"/>
        <v/>
      </c>
      <c r="M199" s="60" t="str">
        <f t="shared" si="59"/>
        <v/>
      </c>
      <c r="Q199" s="57" t="str">
        <f t="shared" si="60"/>
        <v/>
      </c>
      <c r="R199" s="58" t="str">
        <f t="shared" si="61"/>
        <v/>
      </c>
      <c r="S199" s="28" t="str">
        <f t="shared" si="62"/>
        <v/>
      </c>
      <c r="T199" s="28" t="str">
        <f t="shared" si="63"/>
        <v/>
      </c>
      <c r="U199" s="29" t="str">
        <f t="shared" si="64"/>
        <v/>
      </c>
      <c r="V199" s="60" t="str">
        <f t="shared" si="65"/>
        <v/>
      </c>
      <c r="W199" s="60" t="str">
        <f t="shared" si="66"/>
        <v/>
      </c>
      <c r="X199" s="60" t="str">
        <f t="shared" si="67"/>
        <v/>
      </c>
      <c r="Y199" s="60" t="str">
        <f t="shared" si="68"/>
        <v/>
      </c>
      <c r="Z199" s="60" t="str">
        <f t="shared" si="69"/>
        <v/>
      </c>
      <c r="AA199" s="60" t="str">
        <f t="shared" si="70"/>
        <v/>
      </c>
      <c r="AB199" s="60" t="str">
        <f t="shared" si="71"/>
        <v/>
      </c>
    </row>
    <row r="200" spans="2:28">
      <c r="B200" s="57" t="str">
        <f t="shared" si="48"/>
        <v/>
      </c>
      <c r="C200" s="58" t="str">
        <f t="shared" si="49"/>
        <v/>
      </c>
      <c r="D200" s="28" t="str">
        <f t="shared" si="50"/>
        <v/>
      </c>
      <c r="E200" s="28" t="str">
        <f t="shared" si="51"/>
        <v/>
      </c>
      <c r="F200" s="29" t="str">
        <f t="shared" si="52"/>
        <v/>
      </c>
      <c r="G200" s="60" t="str">
        <f t="shared" si="53"/>
        <v/>
      </c>
      <c r="H200" s="60" t="str">
        <f t="shared" si="54"/>
        <v/>
      </c>
      <c r="I200" s="60" t="str">
        <f t="shared" si="55"/>
        <v/>
      </c>
      <c r="J200" s="60" t="str">
        <f t="shared" si="56"/>
        <v/>
      </c>
      <c r="K200" s="60" t="str">
        <f t="shared" si="57"/>
        <v/>
      </c>
      <c r="L200" s="60" t="str">
        <f t="shared" si="58"/>
        <v/>
      </c>
      <c r="M200" s="60" t="str">
        <f t="shared" si="59"/>
        <v/>
      </c>
      <c r="Q200" s="57" t="str">
        <f t="shared" si="60"/>
        <v/>
      </c>
      <c r="R200" s="58" t="str">
        <f t="shared" si="61"/>
        <v/>
      </c>
      <c r="S200" s="28" t="str">
        <f t="shared" si="62"/>
        <v/>
      </c>
      <c r="T200" s="28" t="str">
        <f t="shared" si="63"/>
        <v/>
      </c>
      <c r="U200" s="29" t="str">
        <f t="shared" si="64"/>
        <v/>
      </c>
      <c r="V200" s="60" t="str">
        <f t="shared" si="65"/>
        <v/>
      </c>
      <c r="W200" s="60" t="str">
        <f t="shared" si="66"/>
        <v/>
      </c>
      <c r="X200" s="60" t="str">
        <f t="shared" si="67"/>
        <v/>
      </c>
      <c r="Y200" s="60" t="str">
        <f t="shared" si="68"/>
        <v/>
      </c>
      <c r="Z200" s="60" t="str">
        <f t="shared" si="69"/>
        <v/>
      </c>
      <c r="AA200" s="60" t="str">
        <f t="shared" si="70"/>
        <v/>
      </c>
      <c r="AB200" s="60" t="str">
        <f t="shared" si="71"/>
        <v/>
      </c>
    </row>
    <row r="201" spans="2:28">
      <c r="B201" s="57" t="str">
        <f t="shared" si="48"/>
        <v/>
      </c>
      <c r="C201" s="58" t="str">
        <f t="shared" si="49"/>
        <v/>
      </c>
      <c r="D201" s="28" t="str">
        <f t="shared" si="50"/>
        <v/>
      </c>
      <c r="E201" s="28" t="str">
        <f t="shared" si="51"/>
        <v/>
      </c>
      <c r="F201" s="29" t="str">
        <f t="shared" si="52"/>
        <v/>
      </c>
      <c r="G201" s="60" t="str">
        <f t="shared" si="53"/>
        <v/>
      </c>
      <c r="H201" s="60" t="str">
        <f t="shared" si="54"/>
        <v/>
      </c>
      <c r="I201" s="60" t="str">
        <f t="shared" si="55"/>
        <v/>
      </c>
      <c r="J201" s="60" t="str">
        <f t="shared" si="56"/>
        <v/>
      </c>
      <c r="K201" s="60" t="str">
        <f t="shared" si="57"/>
        <v/>
      </c>
      <c r="L201" s="60" t="str">
        <f t="shared" si="58"/>
        <v/>
      </c>
      <c r="M201" s="60" t="str">
        <f t="shared" si="59"/>
        <v/>
      </c>
      <c r="Q201" s="57" t="str">
        <f t="shared" si="60"/>
        <v/>
      </c>
      <c r="R201" s="58" t="str">
        <f t="shared" si="61"/>
        <v/>
      </c>
      <c r="S201" s="28" t="str">
        <f t="shared" si="62"/>
        <v/>
      </c>
      <c r="T201" s="28" t="str">
        <f t="shared" si="63"/>
        <v/>
      </c>
      <c r="U201" s="29" t="str">
        <f t="shared" si="64"/>
        <v/>
      </c>
      <c r="V201" s="60" t="str">
        <f t="shared" si="65"/>
        <v/>
      </c>
      <c r="W201" s="60" t="str">
        <f t="shared" si="66"/>
        <v/>
      </c>
      <c r="X201" s="60" t="str">
        <f t="shared" si="67"/>
        <v/>
      </c>
      <c r="Y201" s="60" t="str">
        <f t="shared" si="68"/>
        <v/>
      </c>
      <c r="Z201" s="60" t="str">
        <f t="shared" si="69"/>
        <v/>
      </c>
      <c r="AA201" s="60" t="str">
        <f t="shared" si="70"/>
        <v/>
      </c>
      <c r="AB201" s="60" t="str">
        <f t="shared" si="71"/>
        <v/>
      </c>
    </row>
    <row r="202" spans="2:28">
      <c r="B202" s="57" t="str">
        <f t="shared" si="48"/>
        <v/>
      </c>
      <c r="C202" s="58" t="str">
        <f t="shared" si="49"/>
        <v/>
      </c>
      <c r="D202" s="28" t="str">
        <f t="shared" si="50"/>
        <v/>
      </c>
      <c r="E202" s="28" t="str">
        <f t="shared" si="51"/>
        <v/>
      </c>
      <c r="F202" s="29" t="str">
        <f t="shared" si="52"/>
        <v/>
      </c>
      <c r="G202" s="60" t="str">
        <f t="shared" si="53"/>
        <v/>
      </c>
      <c r="H202" s="60" t="str">
        <f t="shared" si="54"/>
        <v/>
      </c>
      <c r="I202" s="60" t="str">
        <f t="shared" si="55"/>
        <v/>
      </c>
      <c r="J202" s="60" t="str">
        <f t="shared" si="56"/>
        <v/>
      </c>
      <c r="K202" s="60" t="str">
        <f t="shared" si="57"/>
        <v/>
      </c>
      <c r="L202" s="60" t="str">
        <f t="shared" si="58"/>
        <v/>
      </c>
      <c r="M202" s="60" t="str">
        <f t="shared" si="59"/>
        <v/>
      </c>
      <c r="Q202" s="57" t="str">
        <f t="shared" si="60"/>
        <v/>
      </c>
      <c r="R202" s="58" t="str">
        <f t="shared" si="61"/>
        <v/>
      </c>
      <c r="S202" s="28" t="str">
        <f t="shared" si="62"/>
        <v/>
      </c>
      <c r="T202" s="28" t="str">
        <f t="shared" si="63"/>
        <v/>
      </c>
      <c r="U202" s="29" t="str">
        <f t="shared" si="64"/>
        <v/>
      </c>
      <c r="V202" s="60" t="str">
        <f t="shared" si="65"/>
        <v/>
      </c>
      <c r="W202" s="60" t="str">
        <f t="shared" si="66"/>
        <v/>
      </c>
      <c r="X202" s="60" t="str">
        <f t="shared" si="67"/>
        <v/>
      </c>
      <c r="Y202" s="60" t="str">
        <f t="shared" si="68"/>
        <v/>
      </c>
      <c r="Z202" s="60" t="str">
        <f t="shared" si="69"/>
        <v/>
      </c>
      <c r="AA202" s="60" t="str">
        <f t="shared" si="70"/>
        <v/>
      </c>
      <c r="AB202" s="60" t="str">
        <f t="shared" si="71"/>
        <v/>
      </c>
    </row>
    <row r="203" spans="2:28">
      <c r="B203" s="57" t="str">
        <f t="shared" si="48"/>
        <v/>
      </c>
      <c r="C203" s="58" t="str">
        <f t="shared" si="49"/>
        <v/>
      </c>
      <c r="D203" s="28" t="str">
        <f>IF(B203="","",EOMONTH(D202,1))</f>
        <v/>
      </c>
      <c r="E203" s="28" t="str">
        <f t="shared" si="51"/>
        <v/>
      </c>
      <c r="F203" s="29" t="str">
        <f t="shared" si="52"/>
        <v/>
      </c>
      <c r="G203" s="60" t="str">
        <f>IF(B203="","",L202)</f>
        <v/>
      </c>
      <c r="H203" s="60" t="str">
        <f t="shared" si="54"/>
        <v/>
      </c>
      <c r="I203" s="60" t="str">
        <f t="shared" si="55"/>
        <v/>
      </c>
      <c r="J203" s="60" t="str">
        <f t="shared" si="56"/>
        <v/>
      </c>
      <c r="K203" s="60" t="str">
        <f t="shared" si="57"/>
        <v/>
      </c>
      <c r="L203" s="60" t="str">
        <f t="shared" si="58"/>
        <v/>
      </c>
      <c r="M203" s="60" t="str">
        <f t="shared" si="59"/>
        <v/>
      </c>
      <c r="Q203" s="57" t="str">
        <f t="shared" si="60"/>
        <v/>
      </c>
      <c r="R203" s="58" t="str">
        <f t="shared" si="61"/>
        <v/>
      </c>
      <c r="S203" s="28" t="str">
        <f t="shared" si="62"/>
        <v/>
      </c>
      <c r="T203" s="28" t="str">
        <f t="shared" si="63"/>
        <v/>
      </c>
      <c r="U203" s="29" t="str">
        <f t="shared" si="64"/>
        <v/>
      </c>
      <c r="V203" s="60" t="str">
        <f t="shared" si="65"/>
        <v/>
      </c>
      <c r="W203" s="60" t="str">
        <f t="shared" si="66"/>
        <v/>
      </c>
      <c r="X203" s="60" t="str">
        <f t="shared" si="67"/>
        <v/>
      </c>
      <c r="Y203" s="60" t="str">
        <f t="shared" si="68"/>
        <v/>
      </c>
      <c r="Z203" s="60" t="str">
        <f t="shared" si="69"/>
        <v/>
      </c>
      <c r="AA203" s="60" t="str">
        <f t="shared" si="70"/>
        <v/>
      </c>
      <c r="AB203" s="60" t="str">
        <f t="shared" si="71"/>
        <v/>
      </c>
    </row>
    <row r="204" spans="2:28">
      <c r="B204" s="57" t="str">
        <f t="shared" si="48"/>
        <v/>
      </c>
      <c r="C204" s="58" t="str">
        <f t="shared" si="49"/>
        <v/>
      </c>
      <c r="D204" s="28" t="str">
        <f t="shared" si="50"/>
        <v/>
      </c>
      <c r="E204" s="28" t="str">
        <f t="shared" si="51"/>
        <v/>
      </c>
      <c r="F204" s="29" t="str">
        <f t="shared" si="52"/>
        <v/>
      </c>
      <c r="G204" s="60" t="str">
        <f t="shared" si="53"/>
        <v/>
      </c>
      <c r="H204" s="60" t="str">
        <f t="shared" si="54"/>
        <v/>
      </c>
      <c r="I204" s="60" t="str">
        <f t="shared" si="55"/>
        <v/>
      </c>
      <c r="J204" s="60" t="str">
        <f t="shared" si="56"/>
        <v/>
      </c>
      <c r="K204" s="60" t="str">
        <f t="shared" si="57"/>
        <v/>
      </c>
      <c r="L204" s="60" t="str">
        <f t="shared" si="58"/>
        <v/>
      </c>
      <c r="M204" s="60" t="str">
        <f t="shared" si="59"/>
        <v/>
      </c>
      <c r="Q204" s="57" t="str">
        <f t="shared" si="60"/>
        <v/>
      </c>
      <c r="R204" s="58" t="str">
        <f t="shared" si="61"/>
        <v/>
      </c>
      <c r="S204" s="28" t="str">
        <f>IF(Q204="","",EOMONTH(S203,1))</f>
        <v/>
      </c>
      <c r="T204" s="28" t="str">
        <f t="shared" si="63"/>
        <v/>
      </c>
      <c r="U204" s="29" t="str">
        <f t="shared" si="64"/>
        <v/>
      </c>
      <c r="V204" s="60" t="str">
        <f>IF(Q204="","",AA203)</f>
        <v/>
      </c>
      <c r="W204" s="60" t="str">
        <f t="shared" si="66"/>
        <v/>
      </c>
      <c r="X204" s="60" t="str">
        <f t="shared" si="67"/>
        <v/>
      </c>
      <c r="Y204" s="60" t="str">
        <f t="shared" si="68"/>
        <v/>
      </c>
      <c r="Z204" s="60" t="str">
        <f t="shared" si="69"/>
        <v/>
      </c>
      <c r="AA204" s="60" t="str">
        <f t="shared" si="70"/>
        <v/>
      </c>
      <c r="AB204" s="60" t="str">
        <f t="shared" si="71"/>
        <v/>
      </c>
    </row>
    <row r="205" spans="2:28">
      <c r="B205" s="57" t="str">
        <f t="shared" si="48"/>
        <v/>
      </c>
      <c r="C205" s="58" t="str">
        <f t="shared" si="49"/>
        <v/>
      </c>
      <c r="D205" s="28" t="str">
        <f t="shared" si="50"/>
        <v/>
      </c>
      <c r="E205" s="28" t="str">
        <f t="shared" si="51"/>
        <v/>
      </c>
      <c r="F205" s="29" t="str">
        <f t="shared" si="52"/>
        <v/>
      </c>
      <c r="G205" s="60" t="str">
        <f t="shared" si="53"/>
        <v/>
      </c>
      <c r="H205" s="60" t="str">
        <f t="shared" si="54"/>
        <v/>
      </c>
      <c r="I205" s="60" t="str">
        <f t="shared" si="55"/>
        <v/>
      </c>
      <c r="J205" s="60" t="str">
        <f t="shared" si="56"/>
        <v/>
      </c>
      <c r="K205" s="60" t="str">
        <f t="shared" si="57"/>
        <v/>
      </c>
      <c r="L205" s="60" t="str">
        <f t="shared" si="58"/>
        <v/>
      </c>
      <c r="M205" s="60" t="str">
        <f t="shared" si="59"/>
        <v/>
      </c>
      <c r="Q205" s="57" t="str">
        <f t="shared" si="60"/>
        <v/>
      </c>
      <c r="R205" s="58" t="str">
        <f t="shared" si="61"/>
        <v/>
      </c>
      <c r="S205" s="28" t="str">
        <f t="shared" ref="S205:S268" si="72">IF(Q205="","",EOMONTH(S204,1))</f>
        <v/>
      </c>
      <c r="T205" s="28" t="str">
        <f t="shared" si="63"/>
        <v/>
      </c>
      <c r="U205" s="29" t="str">
        <f t="shared" si="64"/>
        <v/>
      </c>
      <c r="V205" s="60" t="str">
        <f t="shared" ref="V205:V268" si="73">IF(Q205="","",AA204)</f>
        <v/>
      </c>
      <c r="W205" s="60" t="str">
        <f t="shared" si="66"/>
        <v/>
      </c>
      <c r="X205" s="60" t="str">
        <f t="shared" si="67"/>
        <v/>
      </c>
      <c r="Y205" s="60" t="str">
        <f t="shared" si="68"/>
        <v/>
      </c>
      <c r="Z205" s="60" t="str">
        <f t="shared" si="69"/>
        <v/>
      </c>
      <c r="AA205" s="60" t="str">
        <f t="shared" si="70"/>
        <v/>
      </c>
      <c r="AB205" s="60" t="str">
        <f t="shared" si="71"/>
        <v/>
      </c>
    </row>
    <row r="206" spans="2:28">
      <c r="B206" s="57" t="str">
        <f t="shared" si="48"/>
        <v/>
      </c>
      <c r="C206" s="58" t="str">
        <f t="shared" si="49"/>
        <v/>
      </c>
      <c r="D206" s="28" t="str">
        <f t="shared" si="50"/>
        <v/>
      </c>
      <c r="E206" s="28" t="str">
        <f t="shared" si="51"/>
        <v/>
      </c>
      <c r="F206" s="29" t="str">
        <f t="shared" si="52"/>
        <v/>
      </c>
      <c r="G206" s="60" t="str">
        <f t="shared" si="53"/>
        <v/>
      </c>
      <c r="H206" s="60" t="str">
        <f t="shared" si="54"/>
        <v/>
      </c>
      <c r="I206" s="60" t="str">
        <f t="shared" si="55"/>
        <v/>
      </c>
      <c r="J206" s="60" t="str">
        <f t="shared" si="56"/>
        <v/>
      </c>
      <c r="K206" s="60" t="str">
        <f t="shared" si="57"/>
        <v/>
      </c>
      <c r="L206" s="60" t="str">
        <f t="shared" si="58"/>
        <v/>
      </c>
      <c r="M206" s="60" t="str">
        <f t="shared" si="59"/>
        <v/>
      </c>
      <c r="Q206" s="57" t="str">
        <f t="shared" si="60"/>
        <v/>
      </c>
      <c r="R206" s="58" t="str">
        <f t="shared" si="61"/>
        <v/>
      </c>
      <c r="S206" s="28" t="str">
        <f t="shared" si="72"/>
        <v/>
      </c>
      <c r="T206" s="28" t="str">
        <f t="shared" si="63"/>
        <v/>
      </c>
      <c r="U206" s="29" t="str">
        <f t="shared" si="64"/>
        <v/>
      </c>
      <c r="V206" s="60" t="str">
        <f t="shared" si="73"/>
        <v/>
      </c>
      <c r="W206" s="60" t="str">
        <f t="shared" si="66"/>
        <v/>
      </c>
      <c r="X206" s="60" t="str">
        <f t="shared" si="67"/>
        <v/>
      </c>
      <c r="Y206" s="60" t="str">
        <f t="shared" si="68"/>
        <v/>
      </c>
      <c r="Z206" s="60" t="str">
        <f t="shared" si="69"/>
        <v/>
      </c>
      <c r="AA206" s="60" t="str">
        <f t="shared" si="70"/>
        <v/>
      </c>
      <c r="AB206" s="60" t="str">
        <f t="shared" si="71"/>
        <v/>
      </c>
    </row>
    <row r="207" spans="2:28">
      <c r="B207" s="57" t="str">
        <f t="shared" si="48"/>
        <v/>
      </c>
      <c r="C207" s="58" t="str">
        <f t="shared" si="49"/>
        <v/>
      </c>
      <c r="D207" s="28" t="str">
        <f t="shared" si="50"/>
        <v/>
      </c>
      <c r="E207" s="28" t="str">
        <f t="shared" si="51"/>
        <v/>
      </c>
      <c r="F207" s="29" t="str">
        <f t="shared" si="52"/>
        <v/>
      </c>
      <c r="G207" s="60" t="str">
        <f t="shared" si="53"/>
        <v/>
      </c>
      <c r="H207" s="60" t="str">
        <f t="shared" si="54"/>
        <v/>
      </c>
      <c r="I207" s="60" t="str">
        <f t="shared" si="55"/>
        <v/>
      </c>
      <c r="J207" s="60" t="str">
        <f t="shared" si="56"/>
        <v/>
      </c>
      <c r="K207" s="60" t="str">
        <f t="shared" si="57"/>
        <v/>
      </c>
      <c r="L207" s="60" t="str">
        <f t="shared" si="58"/>
        <v/>
      </c>
      <c r="M207" s="60" t="str">
        <f t="shared" si="59"/>
        <v/>
      </c>
      <c r="Q207" s="57" t="str">
        <f t="shared" si="60"/>
        <v/>
      </c>
      <c r="R207" s="58" t="str">
        <f t="shared" si="61"/>
        <v/>
      </c>
      <c r="S207" s="28" t="str">
        <f t="shared" si="72"/>
        <v/>
      </c>
      <c r="T207" s="28" t="str">
        <f t="shared" si="63"/>
        <v/>
      </c>
      <c r="U207" s="29" t="str">
        <f t="shared" si="64"/>
        <v/>
      </c>
      <c r="V207" s="60" t="str">
        <f t="shared" si="73"/>
        <v/>
      </c>
      <c r="W207" s="60" t="str">
        <f t="shared" si="66"/>
        <v/>
      </c>
      <c r="X207" s="60" t="str">
        <f t="shared" si="67"/>
        <v/>
      </c>
      <c r="Y207" s="60" t="str">
        <f t="shared" si="68"/>
        <v/>
      </c>
      <c r="Z207" s="60" t="str">
        <f t="shared" si="69"/>
        <v/>
      </c>
      <c r="AA207" s="60" t="str">
        <f t="shared" si="70"/>
        <v/>
      </c>
      <c r="AB207" s="60" t="str">
        <f t="shared" si="71"/>
        <v/>
      </c>
    </row>
    <row r="208" spans="2:28">
      <c r="B208" s="57" t="str">
        <f t="shared" si="48"/>
        <v/>
      </c>
      <c r="C208" s="58" t="str">
        <f t="shared" si="49"/>
        <v/>
      </c>
      <c r="D208" s="28" t="str">
        <f t="shared" si="50"/>
        <v/>
      </c>
      <c r="E208" s="28" t="str">
        <f t="shared" si="51"/>
        <v/>
      </c>
      <c r="F208" s="29" t="str">
        <f t="shared" si="52"/>
        <v/>
      </c>
      <c r="G208" s="60" t="str">
        <f t="shared" si="53"/>
        <v/>
      </c>
      <c r="H208" s="60" t="str">
        <f t="shared" si="54"/>
        <v/>
      </c>
      <c r="I208" s="60" t="str">
        <f t="shared" si="55"/>
        <v/>
      </c>
      <c r="J208" s="60" t="str">
        <f t="shared" si="56"/>
        <v/>
      </c>
      <c r="K208" s="60" t="str">
        <f t="shared" si="57"/>
        <v/>
      </c>
      <c r="L208" s="60" t="str">
        <f t="shared" si="58"/>
        <v/>
      </c>
      <c r="M208" s="60" t="str">
        <f t="shared" si="59"/>
        <v/>
      </c>
      <c r="Q208" s="57" t="str">
        <f t="shared" si="60"/>
        <v/>
      </c>
      <c r="R208" s="58" t="str">
        <f t="shared" si="61"/>
        <v/>
      </c>
      <c r="S208" s="28" t="str">
        <f t="shared" si="72"/>
        <v/>
      </c>
      <c r="T208" s="28" t="str">
        <f t="shared" si="63"/>
        <v/>
      </c>
      <c r="U208" s="29" t="str">
        <f t="shared" si="64"/>
        <v/>
      </c>
      <c r="V208" s="60" t="str">
        <f t="shared" si="73"/>
        <v/>
      </c>
      <c r="W208" s="60" t="str">
        <f t="shared" si="66"/>
        <v/>
      </c>
      <c r="X208" s="60" t="str">
        <f t="shared" si="67"/>
        <v/>
      </c>
      <c r="Y208" s="60" t="str">
        <f t="shared" si="68"/>
        <v/>
      </c>
      <c r="Z208" s="60" t="str">
        <f t="shared" si="69"/>
        <v/>
      </c>
      <c r="AA208" s="60" t="str">
        <f t="shared" si="70"/>
        <v/>
      </c>
      <c r="AB208" s="60" t="str">
        <f t="shared" si="71"/>
        <v/>
      </c>
    </row>
    <row r="209" spans="2:28">
      <c r="B209" s="57" t="str">
        <f t="shared" si="48"/>
        <v/>
      </c>
      <c r="C209" s="58" t="str">
        <f t="shared" si="49"/>
        <v/>
      </c>
      <c r="D209" s="28" t="str">
        <f t="shared" si="50"/>
        <v/>
      </c>
      <c r="E209" s="28" t="str">
        <f t="shared" si="51"/>
        <v/>
      </c>
      <c r="F209" s="29" t="str">
        <f t="shared" si="52"/>
        <v/>
      </c>
      <c r="G209" s="60" t="str">
        <f t="shared" si="53"/>
        <v/>
      </c>
      <c r="H209" s="60" t="str">
        <f t="shared" si="54"/>
        <v/>
      </c>
      <c r="I209" s="60" t="str">
        <f t="shared" si="55"/>
        <v/>
      </c>
      <c r="J209" s="60" t="str">
        <f t="shared" si="56"/>
        <v/>
      </c>
      <c r="K209" s="60" t="str">
        <f t="shared" si="57"/>
        <v/>
      </c>
      <c r="L209" s="60" t="str">
        <f t="shared" si="58"/>
        <v/>
      </c>
      <c r="M209" s="60" t="str">
        <f t="shared" si="59"/>
        <v/>
      </c>
      <c r="Q209" s="57" t="str">
        <f t="shared" si="60"/>
        <v/>
      </c>
      <c r="R209" s="58" t="str">
        <f t="shared" si="61"/>
        <v/>
      </c>
      <c r="S209" s="28" t="str">
        <f t="shared" si="72"/>
        <v/>
      </c>
      <c r="T209" s="28" t="str">
        <f t="shared" si="63"/>
        <v/>
      </c>
      <c r="U209" s="29" t="str">
        <f t="shared" si="64"/>
        <v/>
      </c>
      <c r="V209" s="60" t="str">
        <f t="shared" si="73"/>
        <v/>
      </c>
      <c r="W209" s="60" t="str">
        <f t="shared" si="66"/>
        <v/>
      </c>
      <c r="X209" s="60" t="str">
        <f t="shared" si="67"/>
        <v/>
      </c>
      <c r="Y209" s="60" t="str">
        <f t="shared" si="68"/>
        <v/>
      </c>
      <c r="Z209" s="60" t="str">
        <f t="shared" si="69"/>
        <v/>
      </c>
      <c r="AA209" s="60" t="str">
        <f t="shared" si="70"/>
        <v/>
      </c>
      <c r="AB209" s="60" t="str">
        <f t="shared" si="71"/>
        <v/>
      </c>
    </row>
    <row r="210" spans="2:28">
      <c r="B210" s="57" t="str">
        <f t="shared" si="48"/>
        <v/>
      </c>
      <c r="C210" s="58" t="str">
        <f t="shared" si="49"/>
        <v/>
      </c>
      <c r="D210" s="28" t="str">
        <f t="shared" si="50"/>
        <v/>
      </c>
      <c r="E210" s="28" t="str">
        <f t="shared" si="51"/>
        <v/>
      </c>
      <c r="F210" s="29" t="str">
        <f t="shared" si="52"/>
        <v/>
      </c>
      <c r="G210" s="60" t="str">
        <f t="shared" si="53"/>
        <v/>
      </c>
      <c r="H210" s="60" t="str">
        <f t="shared" si="54"/>
        <v/>
      </c>
      <c r="I210" s="60" t="str">
        <f t="shared" si="55"/>
        <v/>
      </c>
      <c r="J210" s="60" t="str">
        <f t="shared" si="56"/>
        <v/>
      </c>
      <c r="K210" s="60" t="str">
        <f t="shared" si="57"/>
        <v/>
      </c>
      <c r="L210" s="60" t="str">
        <f t="shared" si="58"/>
        <v/>
      </c>
      <c r="M210" s="60" t="str">
        <f t="shared" si="59"/>
        <v/>
      </c>
      <c r="Q210" s="57" t="str">
        <f t="shared" si="60"/>
        <v/>
      </c>
      <c r="R210" s="58" t="str">
        <f t="shared" si="61"/>
        <v/>
      </c>
      <c r="S210" s="28" t="str">
        <f t="shared" si="72"/>
        <v/>
      </c>
      <c r="T210" s="28" t="str">
        <f t="shared" si="63"/>
        <v/>
      </c>
      <c r="U210" s="29" t="str">
        <f t="shared" si="64"/>
        <v/>
      </c>
      <c r="V210" s="60" t="str">
        <f t="shared" si="73"/>
        <v/>
      </c>
      <c r="W210" s="60" t="str">
        <f t="shared" si="66"/>
        <v/>
      </c>
      <c r="X210" s="60" t="str">
        <f t="shared" si="67"/>
        <v/>
      </c>
      <c r="Y210" s="60" t="str">
        <f t="shared" si="68"/>
        <v/>
      </c>
      <c r="Z210" s="60" t="str">
        <f t="shared" si="69"/>
        <v/>
      </c>
      <c r="AA210" s="60" t="str">
        <f t="shared" si="70"/>
        <v/>
      </c>
      <c r="AB210" s="60" t="str">
        <f t="shared" si="71"/>
        <v/>
      </c>
    </row>
    <row r="211" spans="2:28">
      <c r="B211" s="57" t="str">
        <f t="shared" ref="B211:B274" si="74">IF(C211="","",ROUNDUP(C211/12,0))</f>
        <v/>
      </c>
      <c r="C211" s="58" t="str">
        <f t="shared" si="49"/>
        <v/>
      </c>
      <c r="D211" s="28" t="str">
        <f t="shared" si="50"/>
        <v/>
      </c>
      <c r="E211" s="28" t="str">
        <f t="shared" si="51"/>
        <v/>
      </c>
      <c r="F211" s="29" t="str">
        <f t="shared" si="52"/>
        <v/>
      </c>
      <c r="G211" s="60" t="str">
        <f t="shared" si="53"/>
        <v/>
      </c>
      <c r="H211" s="60" t="str">
        <f t="shared" si="54"/>
        <v/>
      </c>
      <c r="I211" s="60" t="str">
        <f t="shared" si="55"/>
        <v/>
      </c>
      <c r="J211" s="60" t="str">
        <f t="shared" si="56"/>
        <v/>
      </c>
      <c r="K211" s="60" t="str">
        <f t="shared" si="57"/>
        <v/>
      </c>
      <c r="L211" s="60" t="str">
        <f t="shared" si="58"/>
        <v/>
      </c>
      <c r="M211" s="60" t="str">
        <f t="shared" si="59"/>
        <v/>
      </c>
      <c r="Q211" s="57" t="str">
        <f t="shared" si="60"/>
        <v/>
      </c>
      <c r="R211" s="58" t="str">
        <f t="shared" si="61"/>
        <v/>
      </c>
      <c r="S211" s="28" t="str">
        <f t="shared" si="72"/>
        <v/>
      </c>
      <c r="T211" s="28" t="str">
        <f t="shared" si="63"/>
        <v/>
      </c>
      <c r="U211" s="29" t="str">
        <f t="shared" si="64"/>
        <v/>
      </c>
      <c r="V211" s="60" t="str">
        <f t="shared" si="73"/>
        <v/>
      </c>
      <c r="W211" s="60" t="str">
        <f t="shared" si="66"/>
        <v/>
      </c>
      <c r="X211" s="60" t="str">
        <f t="shared" si="67"/>
        <v/>
      </c>
      <c r="Y211" s="60" t="str">
        <f t="shared" si="68"/>
        <v/>
      </c>
      <c r="Z211" s="60" t="str">
        <f t="shared" si="69"/>
        <v/>
      </c>
      <c r="AA211" s="60" t="str">
        <f t="shared" si="70"/>
        <v/>
      </c>
      <c r="AB211" s="60" t="str">
        <f t="shared" si="71"/>
        <v/>
      </c>
    </row>
    <row r="212" spans="2:28">
      <c r="B212" s="57" t="str">
        <f t="shared" si="74"/>
        <v/>
      </c>
      <c r="C212" s="58" t="str">
        <f t="shared" ref="C212:C275" si="75">IF(OR(C211="",C211&gt;=$I$13),"",C211+1)</f>
        <v/>
      </c>
      <c r="D212" s="28" t="str">
        <f t="shared" ref="D212:D275" si="76">IF(B212="","",EOMONTH(D211,1))</f>
        <v/>
      </c>
      <c r="E212" s="28" t="str">
        <f t="shared" ref="E212:E275" si="77">IF(B212="","",$M$15)</f>
        <v/>
      </c>
      <c r="F212" s="29" t="str">
        <f t="shared" ref="F212:F275" si="78">IF(B212="","",IF($M$16="Actual",D212-D211,30))</f>
        <v/>
      </c>
      <c r="G212" s="60" t="str">
        <f t="shared" ref="G212:G275" si="79">IF(B212="","",L211)</f>
        <v/>
      </c>
      <c r="H212" s="60" t="str">
        <f t="shared" ref="H212:H275" si="80">IF(B212="","",(C212&lt;=$I$14)*I212+(C212&gt;$I$14)*PMT($I$11/(E212/F212),$I$12+$I$14-C211,-G212))</f>
        <v/>
      </c>
      <c r="I212" s="60" t="str">
        <f t="shared" ref="I212:I275" si="81">IF(B212="","",G212*$I$11/E212*F212)</f>
        <v/>
      </c>
      <c r="J212" s="60" t="str">
        <f t="shared" ref="J212:J275" si="82">IF(B212="","",H212-I212)</f>
        <v/>
      </c>
      <c r="K212" s="60" t="str">
        <f t="shared" ref="K212:K275" si="83">IF(B212="","",(C212=$I$13)*(G212-J212))</f>
        <v/>
      </c>
      <c r="L212" s="60" t="str">
        <f t="shared" ref="L212:L275" si="84">IF(B212="","",G212-J212-K212)</f>
        <v/>
      </c>
      <c r="M212" s="60" t="str">
        <f t="shared" ref="M212:M275" si="85">IF(B212="","",I212+J212+K212)</f>
        <v/>
      </c>
      <c r="Q212" s="57" t="str">
        <f t="shared" ref="Q212:Q275" si="86">IF(R212="","",ROUNDUP(R212/12,0))</f>
        <v/>
      </c>
      <c r="R212" s="58" t="str">
        <f t="shared" si="61"/>
        <v/>
      </c>
      <c r="S212" s="28" t="str">
        <f t="shared" si="72"/>
        <v/>
      </c>
      <c r="T212" s="28" t="str">
        <f t="shared" si="63"/>
        <v/>
      </c>
      <c r="U212" s="29" t="str">
        <f t="shared" si="64"/>
        <v/>
      </c>
      <c r="V212" s="60" t="str">
        <f t="shared" si="73"/>
        <v/>
      </c>
      <c r="W212" s="60" t="str">
        <f t="shared" si="66"/>
        <v/>
      </c>
      <c r="X212" s="60" t="str">
        <f t="shared" si="67"/>
        <v/>
      </c>
      <c r="Y212" s="60" t="str">
        <f t="shared" si="68"/>
        <v/>
      </c>
      <c r="Z212" s="60" t="str">
        <f t="shared" si="69"/>
        <v/>
      </c>
      <c r="AA212" s="60" t="str">
        <f t="shared" si="70"/>
        <v/>
      </c>
      <c r="AB212" s="60" t="str">
        <f t="shared" si="71"/>
        <v/>
      </c>
    </row>
    <row r="213" spans="2:28">
      <c r="B213" s="57" t="str">
        <f t="shared" si="74"/>
        <v/>
      </c>
      <c r="C213" s="58" t="str">
        <f t="shared" si="75"/>
        <v/>
      </c>
      <c r="D213" s="28" t="str">
        <f t="shared" si="76"/>
        <v/>
      </c>
      <c r="E213" s="28" t="str">
        <f t="shared" si="77"/>
        <v/>
      </c>
      <c r="F213" s="29" t="str">
        <f t="shared" si="78"/>
        <v/>
      </c>
      <c r="G213" s="60" t="str">
        <f t="shared" si="79"/>
        <v/>
      </c>
      <c r="H213" s="60" t="str">
        <f t="shared" si="80"/>
        <v/>
      </c>
      <c r="I213" s="60" t="str">
        <f t="shared" si="81"/>
        <v/>
      </c>
      <c r="J213" s="60" t="str">
        <f t="shared" si="82"/>
        <v/>
      </c>
      <c r="K213" s="60" t="str">
        <f t="shared" si="83"/>
        <v/>
      </c>
      <c r="L213" s="60" t="str">
        <f t="shared" si="84"/>
        <v/>
      </c>
      <c r="M213" s="60" t="str">
        <f t="shared" si="85"/>
        <v/>
      </c>
      <c r="Q213" s="57" t="str">
        <f t="shared" si="86"/>
        <v/>
      </c>
      <c r="R213" s="58" t="str">
        <f t="shared" ref="R213:R276" si="87">IF(OR(R212="",R212&gt;=$I$13),"",R212+1)</f>
        <v/>
      </c>
      <c r="S213" s="28" t="str">
        <f t="shared" si="72"/>
        <v/>
      </c>
      <c r="T213" s="28" t="str">
        <f t="shared" ref="T213:T276" si="88">IF(Q213="","",$M$15)</f>
        <v/>
      </c>
      <c r="U213" s="29" t="str">
        <f t="shared" ref="U213:U276" si="89">IF(Q213="","",IF($M$16="Actual",S213-S212,30))</f>
        <v/>
      </c>
      <c r="V213" s="60" t="str">
        <f t="shared" si="73"/>
        <v/>
      </c>
      <c r="W213" s="60" t="str">
        <f t="shared" ref="W213:W276" si="90">IF(Q213="","",(R213&lt;=$I$14)*X213+(R213&gt;$I$14)*PMT($I$11/(T213/U213),$I$12+$I$14-R212,-V213))</f>
        <v/>
      </c>
      <c r="X213" s="60" t="str">
        <f t="shared" ref="X213:X276" si="91">IF(Q213="","",V213*$I$11/T213*U213)</f>
        <v/>
      </c>
      <c r="Y213" s="60" t="str">
        <f t="shared" ref="Y213:Y276" si="92">IF(Q213="","",W213-X213)</f>
        <v/>
      </c>
      <c r="Z213" s="60" t="str">
        <f t="shared" ref="Z213:Z276" si="93">IF(Q213="","",(R213=$I$13)*(V213-Y213))</f>
        <v/>
      </c>
      <c r="AA213" s="60" t="str">
        <f t="shared" ref="AA213:AA276" si="94">IF(Q213="","",V213-Y213-Z213)</f>
        <v/>
      </c>
      <c r="AB213" s="60" t="str">
        <f t="shared" ref="AB213:AB276" si="95">IF(Q213="","",X213+Y213+Z213)</f>
        <v/>
      </c>
    </row>
    <row r="214" spans="2:28">
      <c r="B214" s="57" t="str">
        <f t="shared" si="74"/>
        <v/>
      </c>
      <c r="C214" s="58" t="str">
        <f t="shared" si="75"/>
        <v/>
      </c>
      <c r="D214" s="28" t="str">
        <f t="shared" si="76"/>
        <v/>
      </c>
      <c r="E214" s="28" t="str">
        <f t="shared" si="77"/>
        <v/>
      </c>
      <c r="F214" s="29" t="str">
        <f t="shared" si="78"/>
        <v/>
      </c>
      <c r="G214" s="60" t="str">
        <f t="shared" si="79"/>
        <v/>
      </c>
      <c r="H214" s="60" t="str">
        <f t="shared" si="80"/>
        <v/>
      </c>
      <c r="I214" s="60" t="str">
        <f t="shared" si="81"/>
        <v/>
      </c>
      <c r="J214" s="60" t="str">
        <f t="shared" si="82"/>
        <v/>
      </c>
      <c r="K214" s="60" t="str">
        <f t="shared" si="83"/>
        <v/>
      </c>
      <c r="L214" s="60" t="str">
        <f t="shared" si="84"/>
        <v/>
      </c>
      <c r="M214" s="60" t="str">
        <f t="shared" si="85"/>
        <v/>
      </c>
      <c r="Q214" s="57" t="str">
        <f t="shared" si="86"/>
        <v/>
      </c>
      <c r="R214" s="58" t="str">
        <f t="shared" si="87"/>
        <v/>
      </c>
      <c r="S214" s="28" t="str">
        <f t="shared" si="72"/>
        <v/>
      </c>
      <c r="T214" s="28" t="str">
        <f t="shared" si="88"/>
        <v/>
      </c>
      <c r="U214" s="29" t="str">
        <f t="shared" si="89"/>
        <v/>
      </c>
      <c r="V214" s="60" t="str">
        <f t="shared" si="73"/>
        <v/>
      </c>
      <c r="W214" s="60" t="str">
        <f t="shared" si="90"/>
        <v/>
      </c>
      <c r="X214" s="60" t="str">
        <f t="shared" si="91"/>
        <v/>
      </c>
      <c r="Y214" s="60" t="str">
        <f t="shared" si="92"/>
        <v/>
      </c>
      <c r="Z214" s="60" t="str">
        <f t="shared" si="93"/>
        <v/>
      </c>
      <c r="AA214" s="60" t="str">
        <f t="shared" si="94"/>
        <v/>
      </c>
      <c r="AB214" s="60" t="str">
        <f t="shared" si="95"/>
        <v/>
      </c>
    </row>
    <row r="215" spans="2:28">
      <c r="B215" s="57" t="str">
        <f t="shared" si="74"/>
        <v/>
      </c>
      <c r="C215" s="58" t="str">
        <f t="shared" si="75"/>
        <v/>
      </c>
      <c r="D215" s="28" t="str">
        <f t="shared" si="76"/>
        <v/>
      </c>
      <c r="E215" s="28" t="str">
        <f t="shared" si="77"/>
        <v/>
      </c>
      <c r="F215" s="29" t="str">
        <f t="shared" si="78"/>
        <v/>
      </c>
      <c r="G215" s="60" t="str">
        <f t="shared" si="79"/>
        <v/>
      </c>
      <c r="H215" s="60" t="str">
        <f t="shared" si="80"/>
        <v/>
      </c>
      <c r="I215" s="60" t="str">
        <f t="shared" si="81"/>
        <v/>
      </c>
      <c r="J215" s="60" t="str">
        <f t="shared" si="82"/>
        <v/>
      </c>
      <c r="K215" s="60" t="str">
        <f t="shared" si="83"/>
        <v/>
      </c>
      <c r="L215" s="60" t="str">
        <f t="shared" si="84"/>
        <v/>
      </c>
      <c r="M215" s="60" t="str">
        <f t="shared" si="85"/>
        <v/>
      </c>
      <c r="Q215" s="57" t="str">
        <f t="shared" si="86"/>
        <v/>
      </c>
      <c r="R215" s="58" t="str">
        <f t="shared" si="87"/>
        <v/>
      </c>
      <c r="S215" s="28" t="str">
        <f t="shared" si="72"/>
        <v/>
      </c>
      <c r="T215" s="28" t="str">
        <f t="shared" si="88"/>
        <v/>
      </c>
      <c r="U215" s="29" t="str">
        <f t="shared" si="89"/>
        <v/>
      </c>
      <c r="V215" s="60" t="str">
        <f t="shared" si="73"/>
        <v/>
      </c>
      <c r="W215" s="60" t="str">
        <f t="shared" si="90"/>
        <v/>
      </c>
      <c r="X215" s="60" t="str">
        <f t="shared" si="91"/>
        <v/>
      </c>
      <c r="Y215" s="60" t="str">
        <f t="shared" si="92"/>
        <v/>
      </c>
      <c r="Z215" s="60" t="str">
        <f t="shared" si="93"/>
        <v/>
      </c>
      <c r="AA215" s="60" t="str">
        <f t="shared" si="94"/>
        <v/>
      </c>
      <c r="AB215" s="60" t="str">
        <f t="shared" si="95"/>
        <v/>
      </c>
    </row>
    <row r="216" spans="2:28">
      <c r="B216" s="57" t="str">
        <f t="shared" si="74"/>
        <v/>
      </c>
      <c r="C216" s="58" t="str">
        <f t="shared" si="75"/>
        <v/>
      </c>
      <c r="D216" s="28" t="str">
        <f t="shared" si="76"/>
        <v/>
      </c>
      <c r="E216" s="28" t="str">
        <f t="shared" si="77"/>
        <v/>
      </c>
      <c r="F216" s="29" t="str">
        <f t="shared" si="78"/>
        <v/>
      </c>
      <c r="G216" s="60" t="str">
        <f t="shared" si="79"/>
        <v/>
      </c>
      <c r="H216" s="60" t="str">
        <f t="shared" si="80"/>
        <v/>
      </c>
      <c r="I216" s="60" t="str">
        <f t="shared" si="81"/>
        <v/>
      </c>
      <c r="J216" s="60" t="str">
        <f t="shared" si="82"/>
        <v/>
      </c>
      <c r="K216" s="60" t="str">
        <f t="shared" si="83"/>
        <v/>
      </c>
      <c r="L216" s="60" t="str">
        <f t="shared" si="84"/>
        <v/>
      </c>
      <c r="M216" s="60" t="str">
        <f t="shared" si="85"/>
        <v/>
      </c>
      <c r="Q216" s="57" t="str">
        <f t="shared" si="86"/>
        <v/>
      </c>
      <c r="R216" s="58" t="str">
        <f t="shared" si="87"/>
        <v/>
      </c>
      <c r="S216" s="28" t="str">
        <f t="shared" si="72"/>
        <v/>
      </c>
      <c r="T216" s="28" t="str">
        <f t="shared" si="88"/>
        <v/>
      </c>
      <c r="U216" s="29" t="str">
        <f t="shared" si="89"/>
        <v/>
      </c>
      <c r="V216" s="60" t="str">
        <f t="shared" si="73"/>
        <v/>
      </c>
      <c r="W216" s="60" t="str">
        <f t="shared" si="90"/>
        <v/>
      </c>
      <c r="X216" s="60" t="str">
        <f t="shared" si="91"/>
        <v/>
      </c>
      <c r="Y216" s="60" t="str">
        <f t="shared" si="92"/>
        <v/>
      </c>
      <c r="Z216" s="60" t="str">
        <f t="shared" si="93"/>
        <v/>
      </c>
      <c r="AA216" s="60" t="str">
        <f t="shared" si="94"/>
        <v/>
      </c>
      <c r="AB216" s="60" t="str">
        <f t="shared" si="95"/>
        <v/>
      </c>
    </row>
    <row r="217" spans="2:28">
      <c r="B217" s="57" t="str">
        <f t="shared" si="74"/>
        <v/>
      </c>
      <c r="C217" s="58" t="str">
        <f t="shared" si="75"/>
        <v/>
      </c>
      <c r="D217" s="28" t="str">
        <f t="shared" si="76"/>
        <v/>
      </c>
      <c r="E217" s="28" t="str">
        <f t="shared" si="77"/>
        <v/>
      </c>
      <c r="F217" s="29" t="str">
        <f t="shared" si="78"/>
        <v/>
      </c>
      <c r="G217" s="60" t="str">
        <f t="shared" si="79"/>
        <v/>
      </c>
      <c r="H217" s="60" t="str">
        <f t="shared" si="80"/>
        <v/>
      </c>
      <c r="I217" s="60" t="str">
        <f t="shared" si="81"/>
        <v/>
      </c>
      <c r="J217" s="60" t="str">
        <f t="shared" si="82"/>
        <v/>
      </c>
      <c r="K217" s="60" t="str">
        <f t="shared" si="83"/>
        <v/>
      </c>
      <c r="L217" s="60" t="str">
        <f t="shared" si="84"/>
        <v/>
      </c>
      <c r="M217" s="60" t="str">
        <f t="shared" si="85"/>
        <v/>
      </c>
      <c r="Q217" s="57" t="str">
        <f t="shared" si="86"/>
        <v/>
      </c>
      <c r="R217" s="58" t="str">
        <f t="shared" si="87"/>
        <v/>
      </c>
      <c r="S217" s="28" t="str">
        <f t="shared" si="72"/>
        <v/>
      </c>
      <c r="T217" s="28" t="str">
        <f t="shared" si="88"/>
        <v/>
      </c>
      <c r="U217" s="29" t="str">
        <f t="shared" si="89"/>
        <v/>
      </c>
      <c r="V217" s="60" t="str">
        <f t="shared" si="73"/>
        <v/>
      </c>
      <c r="W217" s="60" t="str">
        <f t="shared" si="90"/>
        <v/>
      </c>
      <c r="X217" s="60" t="str">
        <f t="shared" si="91"/>
        <v/>
      </c>
      <c r="Y217" s="60" t="str">
        <f t="shared" si="92"/>
        <v/>
      </c>
      <c r="Z217" s="60" t="str">
        <f t="shared" si="93"/>
        <v/>
      </c>
      <c r="AA217" s="60" t="str">
        <f t="shared" si="94"/>
        <v/>
      </c>
      <c r="AB217" s="60" t="str">
        <f t="shared" si="95"/>
        <v/>
      </c>
    </row>
    <row r="218" spans="2:28">
      <c r="B218" s="57" t="str">
        <f t="shared" si="74"/>
        <v/>
      </c>
      <c r="C218" s="58" t="str">
        <f t="shared" si="75"/>
        <v/>
      </c>
      <c r="D218" s="28" t="str">
        <f t="shared" si="76"/>
        <v/>
      </c>
      <c r="E218" s="28" t="str">
        <f t="shared" si="77"/>
        <v/>
      </c>
      <c r="F218" s="29" t="str">
        <f t="shared" si="78"/>
        <v/>
      </c>
      <c r="G218" s="60" t="str">
        <f t="shared" si="79"/>
        <v/>
      </c>
      <c r="H218" s="60" t="str">
        <f t="shared" si="80"/>
        <v/>
      </c>
      <c r="I218" s="60" t="str">
        <f t="shared" si="81"/>
        <v/>
      </c>
      <c r="J218" s="60" t="str">
        <f t="shared" si="82"/>
        <v/>
      </c>
      <c r="K218" s="60" t="str">
        <f t="shared" si="83"/>
        <v/>
      </c>
      <c r="L218" s="60" t="str">
        <f t="shared" si="84"/>
        <v/>
      </c>
      <c r="M218" s="60" t="str">
        <f t="shared" si="85"/>
        <v/>
      </c>
      <c r="Q218" s="57" t="str">
        <f t="shared" si="86"/>
        <v/>
      </c>
      <c r="R218" s="58" t="str">
        <f t="shared" si="87"/>
        <v/>
      </c>
      <c r="S218" s="28" t="str">
        <f t="shared" si="72"/>
        <v/>
      </c>
      <c r="T218" s="28" t="str">
        <f t="shared" si="88"/>
        <v/>
      </c>
      <c r="U218" s="29" t="str">
        <f t="shared" si="89"/>
        <v/>
      </c>
      <c r="V218" s="60" t="str">
        <f t="shared" si="73"/>
        <v/>
      </c>
      <c r="W218" s="60" t="str">
        <f t="shared" si="90"/>
        <v/>
      </c>
      <c r="X218" s="60" t="str">
        <f t="shared" si="91"/>
        <v/>
      </c>
      <c r="Y218" s="60" t="str">
        <f t="shared" si="92"/>
        <v/>
      </c>
      <c r="Z218" s="60" t="str">
        <f t="shared" si="93"/>
        <v/>
      </c>
      <c r="AA218" s="60" t="str">
        <f t="shared" si="94"/>
        <v/>
      </c>
      <c r="AB218" s="60" t="str">
        <f t="shared" si="95"/>
        <v/>
      </c>
    </row>
    <row r="219" spans="2:28">
      <c r="B219" s="57" t="str">
        <f t="shared" si="74"/>
        <v/>
      </c>
      <c r="C219" s="58" t="str">
        <f t="shared" si="75"/>
        <v/>
      </c>
      <c r="D219" s="28" t="str">
        <f t="shared" si="76"/>
        <v/>
      </c>
      <c r="E219" s="28" t="str">
        <f t="shared" si="77"/>
        <v/>
      </c>
      <c r="F219" s="29" t="str">
        <f t="shared" si="78"/>
        <v/>
      </c>
      <c r="G219" s="60" t="str">
        <f t="shared" si="79"/>
        <v/>
      </c>
      <c r="H219" s="60" t="str">
        <f t="shared" si="80"/>
        <v/>
      </c>
      <c r="I219" s="60" t="str">
        <f t="shared" si="81"/>
        <v/>
      </c>
      <c r="J219" s="60" t="str">
        <f t="shared" si="82"/>
        <v/>
      </c>
      <c r="K219" s="60" t="str">
        <f t="shared" si="83"/>
        <v/>
      </c>
      <c r="L219" s="60" t="str">
        <f t="shared" si="84"/>
        <v/>
      </c>
      <c r="M219" s="60" t="str">
        <f t="shared" si="85"/>
        <v/>
      </c>
      <c r="Q219" s="57" t="str">
        <f t="shared" si="86"/>
        <v/>
      </c>
      <c r="R219" s="58" t="str">
        <f t="shared" si="87"/>
        <v/>
      </c>
      <c r="S219" s="28" t="str">
        <f t="shared" si="72"/>
        <v/>
      </c>
      <c r="T219" s="28" t="str">
        <f t="shared" si="88"/>
        <v/>
      </c>
      <c r="U219" s="29" t="str">
        <f t="shared" si="89"/>
        <v/>
      </c>
      <c r="V219" s="60" t="str">
        <f t="shared" si="73"/>
        <v/>
      </c>
      <c r="W219" s="60" t="str">
        <f t="shared" si="90"/>
        <v/>
      </c>
      <c r="X219" s="60" t="str">
        <f t="shared" si="91"/>
        <v/>
      </c>
      <c r="Y219" s="60" t="str">
        <f t="shared" si="92"/>
        <v/>
      </c>
      <c r="Z219" s="60" t="str">
        <f t="shared" si="93"/>
        <v/>
      </c>
      <c r="AA219" s="60" t="str">
        <f t="shared" si="94"/>
        <v/>
      </c>
      <c r="AB219" s="60" t="str">
        <f t="shared" si="95"/>
        <v/>
      </c>
    </row>
    <row r="220" spans="2:28">
      <c r="B220" s="57" t="str">
        <f t="shared" si="74"/>
        <v/>
      </c>
      <c r="C220" s="58" t="str">
        <f t="shared" si="75"/>
        <v/>
      </c>
      <c r="D220" s="28" t="str">
        <f t="shared" si="76"/>
        <v/>
      </c>
      <c r="E220" s="28" t="str">
        <f t="shared" si="77"/>
        <v/>
      </c>
      <c r="F220" s="29" t="str">
        <f t="shared" si="78"/>
        <v/>
      </c>
      <c r="G220" s="60" t="str">
        <f t="shared" si="79"/>
        <v/>
      </c>
      <c r="H220" s="60" t="str">
        <f t="shared" si="80"/>
        <v/>
      </c>
      <c r="I220" s="60" t="str">
        <f t="shared" si="81"/>
        <v/>
      </c>
      <c r="J220" s="60" t="str">
        <f t="shared" si="82"/>
        <v/>
      </c>
      <c r="K220" s="60" t="str">
        <f t="shared" si="83"/>
        <v/>
      </c>
      <c r="L220" s="60" t="str">
        <f t="shared" si="84"/>
        <v/>
      </c>
      <c r="M220" s="60" t="str">
        <f t="shared" si="85"/>
        <v/>
      </c>
      <c r="Q220" s="57" t="str">
        <f t="shared" si="86"/>
        <v/>
      </c>
      <c r="R220" s="58" t="str">
        <f t="shared" si="87"/>
        <v/>
      </c>
      <c r="S220" s="28" t="str">
        <f t="shared" si="72"/>
        <v/>
      </c>
      <c r="T220" s="28" t="str">
        <f t="shared" si="88"/>
        <v/>
      </c>
      <c r="U220" s="29" t="str">
        <f t="shared" si="89"/>
        <v/>
      </c>
      <c r="V220" s="60" t="str">
        <f t="shared" si="73"/>
        <v/>
      </c>
      <c r="W220" s="60" t="str">
        <f t="shared" si="90"/>
        <v/>
      </c>
      <c r="X220" s="60" t="str">
        <f t="shared" si="91"/>
        <v/>
      </c>
      <c r="Y220" s="60" t="str">
        <f t="shared" si="92"/>
        <v/>
      </c>
      <c r="Z220" s="60" t="str">
        <f t="shared" si="93"/>
        <v/>
      </c>
      <c r="AA220" s="60" t="str">
        <f t="shared" si="94"/>
        <v/>
      </c>
      <c r="AB220" s="60" t="str">
        <f t="shared" si="95"/>
        <v/>
      </c>
    </row>
    <row r="221" spans="2:28">
      <c r="B221" s="57" t="str">
        <f t="shared" si="74"/>
        <v/>
      </c>
      <c r="C221" s="58" t="str">
        <f t="shared" si="75"/>
        <v/>
      </c>
      <c r="D221" s="28" t="str">
        <f t="shared" si="76"/>
        <v/>
      </c>
      <c r="E221" s="28" t="str">
        <f t="shared" si="77"/>
        <v/>
      </c>
      <c r="F221" s="29" t="str">
        <f t="shared" si="78"/>
        <v/>
      </c>
      <c r="G221" s="60" t="str">
        <f t="shared" si="79"/>
        <v/>
      </c>
      <c r="H221" s="60" t="str">
        <f t="shared" si="80"/>
        <v/>
      </c>
      <c r="I221" s="60" t="str">
        <f t="shared" si="81"/>
        <v/>
      </c>
      <c r="J221" s="60" t="str">
        <f t="shared" si="82"/>
        <v/>
      </c>
      <c r="K221" s="60" t="str">
        <f t="shared" si="83"/>
        <v/>
      </c>
      <c r="L221" s="60" t="str">
        <f t="shared" si="84"/>
        <v/>
      </c>
      <c r="M221" s="60" t="str">
        <f t="shared" si="85"/>
        <v/>
      </c>
      <c r="Q221" s="57" t="str">
        <f t="shared" si="86"/>
        <v/>
      </c>
      <c r="R221" s="58" t="str">
        <f t="shared" si="87"/>
        <v/>
      </c>
      <c r="S221" s="28" t="str">
        <f t="shared" si="72"/>
        <v/>
      </c>
      <c r="T221" s="28" t="str">
        <f t="shared" si="88"/>
        <v/>
      </c>
      <c r="U221" s="29" t="str">
        <f t="shared" si="89"/>
        <v/>
      </c>
      <c r="V221" s="60" t="str">
        <f t="shared" si="73"/>
        <v/>
      </c>
      <c r="W221" s="60" t="str">
        <f t="shared" si="90"/>
        <v/>
      </c>
      <c r="X221" s="60" t="str">
        <f t="shared" si="91"/>
        <v/>
      </c>
      <c r="Y221" s="60" t="str">
        <f t="shared" si="92"/>
        <v/>
      </c>
      <c r="Z221" s="60" t="str">
        <f t="shared" si="93"/>
        <v/>
      </c>
      <c r="AA221" s="60" t="str">
        <f t="shared" si="94"/>
        <v/>
      </c>
      <c r="AB221" s="60" t="str">
        <f t="shared" si="95"/>
        <v/>
      </c>
    </row>
    <row r="222" spans="2:28">
      <c r="B222" s="57" t="str">
        <f t="shared" si="74"/>
        <v/>
      </c>
      <c r="C222" s="58" t="str">
        <f t="shared" si="75"/>
        <v/>
      </c>
      <c r="D222" s="28" t="str">
        <f t="shared" si="76"/>
        <v/>
      </c>
      <c r="E222" s="28" t="str">
        <f t="shared" si="77"/>
        <v/>
      </c>
      <c r="F222" s="29" t="str">
        <f t="shared" si="78"/>
        <v/>
      </c>
      <c r="G222" s="60" t="str">
        <f t="shared" si="79"/>
        <v/>
      </c>
      <c r="H222" s="60" t="str">
        <f t="shared" si="80"/>
        <v/>
      </c>
      <c r="I222" s="60" t="str">
        <f t="shared" si="81"/>
        <v/>
      </c>
      <c r="J222" s="60" t="str">
        <f t="shared" si="82"/>
        <v/>
      </c>
      <c r="K222" s="60" t="str">
        <f t="shared" si="83"/>
        <v/>
      </c>
      <c r="L222" s="60" t="str">
        <f t="shared" si="84"/>
        <v/>
      </c>
      <c r="M222" s="60" t="str">
        <f t="shared" si="85"/>
        <v/>
      </c>
      <c r="Q222" s="57" t="str">
        <f t="shared" si="86"/>
        <v/>
      </c>
      <c r="R222" s="58" t="str">
        <f t="shared" si="87"/>
        <v/>
      </c>
      <c r="S222" s="28" t="str">
        <f t="shared" si="72"/>
        <v/>
      </c>
      <c r="T222" s="28" t="str">
        <f t="shared" si="88"/>
        <v/>
      </c>
      <c r="U222" s="29" t="str">
        <f t="shared" si="89"/>
        <v/>
      </c>
      <c r="V222" s="60" t="str">
        <f t="shared" si="73"/>
        <v/>
      </c>
      <c r="W222" s="60" t="str">
        <f t="shared" si="90"/>
        <v/>
      </c>
      <c r="X222" s="60" t="str">
        <f t="shared" si="91"/>
        <v/>
      </c>
      <c r="Y222" s="60" t="str">
        <f t="shared" si="92"/>
        <v/>
      </c>
      <c r="Z222" s="60" t="str">
        <f t="shared" si="93"/>
        <v/>
      </c>
      <c r="AA222" s="60" t="str">
        <f t="shared" si="94"/>
        <v/>
      </c>
      <c r="AB222" s="60" t="str">
        <f t="shared" si="95"/>
        <v/>
      </c>
    </row>
    <row r="223" spans="2:28">
      <c r="B223" s="57" t="str">
        <f t="shared" si="74"/>
        <v/>
      </c>
      <c r="C223" s="58" t="str">
        <f t="shared" si="75"/>
        <v/>
      </c>
      <c r="D223" s="28" t="str">
        <f t="shared" si="76"/>
        <v/>
      </c>
      <c r="E223" s="28" t="str">
        <f t="shared" si="77"/>
        <v/>
      </c>
      <c r="F223" s="29" t="str">
        <f t="shared" si="78"/>
        <v/>
      </c>
      <c r="G223" s="60" t="str">
        <f t="shared" si="79"/>
        <v/>
      </c>
      <c r="H223" s="60" t="str">
        <f t="shared" si="80"/>
        <v/>
      </c>
      <c r="I223" s="60" t="str">
        <f t="shared" si="81"/>
        <v/>
      </c>
      <c r="J223" s="60" t="str">
        <f t="shared" si="82"/>
        <v/>
      </c>
      <c r="K223" s="60" t="str">
        <f t="shared" si="83"/>
        <v/>
      </c>
      <c r="L223" s="60" t="str">
        <f t="shared" si="84"/>
        <v/>
      </c>
      <c r="M223" s="60" t="str">
        <f t="shared" si="85"/>
        <v/>
      </c>
      <c r="Q223" s="57" t="str">
        <f t="shared" si="86"/>
        <v/>
      </c>
      <c r="R223" s="58" t="str">
        <f t="shared" si="87"/>
        <v/>
      </c>
      <c r="S223" s="28" t="str">
        <f t="shared" si="72"/>
        <v/>
      </c>
      <c r="T223" s="28" t="str">
        <f t="shared" si="88"/>
        <v/>
      </c>
      <c r="U223" s="29" t="str">
        <f t="shared" si="89"/>
        <v/>
      </c>
      <c r="V223" s="60" t="str">
        <f t="shared" si="73"/>
        <v/>
      </c>
      <c r="W223" s="60" t="str">
        <f t="shared" si="90"/>
        <v/>
      </c>
      <c r="X223" s="60" t="str">
        <f t="shared" si="91"/>
        <v/>
      </c>
      <c r="Y223" s="60" t="str">
        <f t="shared" si="92"/>
        <v/>
      </c>
      <c r="Z223" s="60" t="str">
        <f t="shared" si="93"/>
        <v/>
      </c>
      <c r="AA223" s="60" t="str">
        <f t="shared" si="94"/>
        <v/>
      </c>
      <c r="AB223" s="60" t="str">
        <f t="shared" si="95"/>
        <v/>
      </c>
    </row>
    <row r="224" spans="2:28">
      <c r="B224" s="57" t="str">
        <f t="shared" si="74"/>
        <v/>
      </c>
      <c r="C224" s="58" t="str">
        <f t="shared" si="75"/>
        <v/>
      </c>
      <c r="D224" s="28" t="str">
        <f t="shared" si="76"/>
        <v/>
      </c>
      <c r="E224" s="28" t="str">
        <f t="shared" si="77"/>
        <v/>
      </c>
      <c r="F224" s="29" t="str">
        <f t="shared" si="78"/>
        <v/>
      </c>
      <c r="G224" s="60" t="str">
        <f t="shared" si="79"/>
        <v/>
      </c>
      <c r="H224" s="60" t="str">
        <f t="shared" si="80"/>
        <v/>
      </c>
      <c r="I224" s="60" t="str">
        <f t="shared" si="81"/>
        <v/>
      </c>
      <c r="J224" s="60" t="str">
        <f t="shared" si="82"/>
        <v/>
      </c>
      <c r="K224" s="60" t="str">
        <f t="shared" si="83"/>
        <v/>
      </c>
      <c r="L224" s="60" t="str">
        <f t="shared" si="84"/>
        <v/>
      </c>
      <c r="M224" s="60" t="str">
        <f t="shared" si="85"/>
        <v/>
      </c>
      <c r="Q224" s="57" t="str">
        <f t="shared" si="86"/>
        <v/>
      </c>
      <c r="R224" s="58" t="str">
        <f t="shared" si="87"/>
        <v/>
      </c>
      <c r="S224" s="28" t="str">
        <f t="shared" si="72"/>
        <v/>
      </c>
      <c r="T224" s="28" t="str">
        <f t="shared" si="88"/>
        <v/>
      </c>
      <c r="U224" s="29" t="str">
        <f t="shared" si="89"/>
        <v/>
      </c>
      <c r="V224" s="60" t="str">
        <f t="shared" si="73"/>
        <v/>
      </c>
      <c r="W224" s="60" t="str">
        <f t="shared" si="90"/>
        <v/>
      </c>
      <c r="X224" s="60" t="str">
        <f t="shared" si="91"/>
        <v/>
      </c>
      <c r="Y224" s="60" t="str">
        <f t="shared" si="92"/>
        <v/>
      </c>
      <c r="Z224" s="60" t="str">
        <f t="shared" si="93"/>
        <v/>
      </c>
      <c r="AA224" s="60" t="str">
        <f t="shared" si="94"/>
        <v/>
      </c>
      <c r="AB224" s="60" t="str">
        <f t="shared" si="95"/>
        <v/>
      </c>
    </row>
    <row r="225" spans="2:28">
      <c r="B225" s="57" t="str">
        <f t="shared" si="74"/>
        <v/>
      </c>
      <c r="C225" s="58" t="str">
        <f t="shared" si="75"/>
        <v/>
      </c>
      <c r="D225" s="28" t="str">
        <f t="shared" si="76"/>
        <v/>
      </c>
      <c r="E225" s="28" t="str">
        <f t="shared" si="77"/>
        <v/>
      </c>
      <c r="F225" s="29" t="str">
        <f t="shared" si="78"/>
        <v/>
      </c>
      <c r="G225" s="60" t="str">
        <f t="shared" si="79"/>
        <v/>
      </c>
      <c r="H225" s="60" t="str">
        <f t="shared" si="80"/>
        <v/>
      </c>
      <c r="I225" s="60" t="str">
        <f t="shared" si="81"/>
        <v/>
      </c>
      <c r="J225" s="60" t="str">
        <f t="shared" si="82"/>
        <v/>
      </c>
      <c r="K225" s="60" t="str">
        <f t="shared" si="83"/>
        <v/>
      </c>
      <c r="L225" s="60" t="str">
        <f t="shared" si="84"/>
        <v/>
      </c>
      <c r="M225" s="60" t="str">
        <f t="shared" si="85"/>
        <v/>
      </c>
      <c r="Q225" s="57" t="str">
        <f t="shared" si="86"/>
        <v/>
      </c>
      <c r="R225" s="58" t="str">
        <f t="shared" si="87"/>
        <v/>
      </c>
      <c r="S225" s="28" t="str">
        <f t="shared" si="72"/>
        <v/>
      </c>
      <c r="T225" s="28" t="str">
        <f t="shared" si="88"/>
        <v/>
      </c>
      <c r="U225" s="29" t="str">
        <f t="shared" si="89"/>
        <v/>
      </c>
      <c r="V225" s="60" t="str">
        <f t="shared" si="73"/>
        <v/>
      </c>
      <c r="W225" s="60" t="str">
        <f t="shared" si="90"/>
        <v/>
      </c>
      <c r="X225" s="60" t="str">
        <f t="shared" si="91"/>
        <v/>
      </c>
      <c r="Y225" s="60" t="str">
        <f t="shared" si="92"/>
        <v/>
      </c>
      <c r="Z225" s="60" t="str">
        <f t="shared" si="93"/>
        <v/>
      </c>
      <c r="AA225" s="60" t="str">
        <f t="shared" si="94"/>
        <v/>
      </c>
      <c r="AB225" s="60" t="str">
        <f t="shared" si="95"/>
        <v/>
      </c>
    </row>
    <row r="226" spans="2:28">
      <c r="B226" s="57" t="str">
        <f t="shared" si="74"/>
        <v/>
      </c>
      <c r="C226" s="58" t="str">
        <f t="shared" si="75"/>
        <v/>
      </c>
      <c r="D226" s="28" t="str">
        <f t="shared" si="76"/>
        <v/>
      </c>
      <c r="E226" s="28" t="str">
        <f t="shared" si="77"/>
        <v/>
      </c>
      <c r="F226" s="29" t="str">
        <f t="shared" si="78"/>
        <v/>
      </c>
      <c r="G226" s="60" t="str">
        <f t="shared" si="79"/>
        <v/>
      </c>
      <c r="H226" s="60" t="str">
        <f t="shared" si="80"/>
        <v/>
      </c>
      <c r="I226" s="60" t="str">
        <f t="shared" si="81"/>
        <v/>
      </c>
      <c r="J226" s="60" t="str">
        <f t="shared" si="82"/>
        <v/>
      </c>
      <c r="K226" s="60" t="str">
        <f t="shared" si="83"/>
        <v/>
      </c>
      <c r="L226" s="60" t="str">
        <f t="shared" si="84"/>
        <v/>
      </c>
      <c r="M226" s="60" t="str">
        <f t="shared" si="85"/>
        <v/>
      </c>
      <c r="Q226" s="57" t="str">
        <f t="shared" si="86"/>
        <v/>
      </c>
      <c r="R226" s="58" t="str">
        <f t="shared" si="87"/>
        <v/>
      </c>
      <c r="S226" s="28" t="str">
        <f t="shared" si="72"/>
        <v/>
      </c>
      <c r="T226" s="28" t="str">
        <f t="shared" si="88"/>
        <v/>
      </c>
      <c r="U226" s="29" t="str">
        <f t="shared" si="89"/>
        <v/>
      </c>
      <c r="V226" s="60" t="str">
        <f t="shared" si="73"/>
        <v/>
      </c>
      <c r="W226" s="60" t="str">
        <f t="shared" si="90"/>
        <v/>
      </c>
      <c r="X226" s="60" t="str">
        <f t="shared" si="91"/>
        <v/>
      </c>
      <c r="Y226" s="60" t="str">
        <f t="shared" si="92"/>
        <v/>
      </c>
      <c r="Z226" s="60" t="str">
        <f t="shared" si="93"/>
        <v/>
      </c>
      <c r="AA226" s="60" t="str">
        <f t="shared" si="94"/>
        <v/>
      </c>
      <c r="AB226" s="60" t="str">
        <f t="shared" si="95"/>
        <v/>
      </c>
    </row>
    <row r="227" spans="2:28">
      <c r="B227" s="57" t="str">
        <f t="shared" si="74"/>
        <v/>
      </c>
      <c r="C227" s="58" t="str">
        <f t="shared" si="75"/>
        <v/>
      </c>
      <c r="D227" s="28" t="str">
        <f t="shared" si="76"/>
        <v/>
      </c>
      <c r="E227" s="28" t="str">
        <f t="shared" si="77"/>
        <v/>
      </c>
      <c r="F227" s="29" t="str">
        <f t="shared" si="78"/>
        <v/>
      </c>
      <c r="G227" s="60" t="str">
        <f t="shared" si="79"/>
        <v/>
      </c>
      <c r="H227" s="60" t="str">
        <f t="shared" si="80"/>
        <v/>
      </c>
      <c r="I227" s="60" t="str">
        <f t="shared" si="81"/>
        <v/>
      </c>
      <c r="J227" s="60" t="str">
        <f t="shared" si="82"/>
        <v/>
      </c>
      <c r="K227" s="60" t="str">
        <f t="shared" si="83"/>
        <v/>
      </c>
      <c r="L227" s="60" t="str">
        <f t="shared" si="84"/>
        <v/>
      </c>
      <c r="M227" s="60" t="str">
        <f t="shared" si="85"/>
        <v/>
      </c>
      <c r="Q227" s="57" t="str">
        <f t="shared" si="86"/>
        <v/>
      </c>
      <c r="R227" s="58" t="str">
        <f t="shared" si="87"/>
        <v/>
      </c>
      <c r="S227" s="28" t="str">
        <f t="shared" si="72"/>
        <v/>
      </c>
      <c r="T227" s="28" t="str">
        <f t="shared" si="88"/>
        <v/>
      </c>
      <c r="U227" s="29" t="str">
        <f t="shared" si="89"/>
        <v/>
      </c>
      <c r="V227" s="60" t="str">
        <f t="shared" si="73"/>
        <v/>
      </c>
      <c r="W227" s="60" t="str">
        <f t="shared" si="90"/>
        <v/>
      </c>
      <c r="X227" s="60" t="str">
        <f t="shared" si="91"/>
        <v/>
      </c>
      <c r="Y227" s="60" t="str">
        <f t="shared" si="92"/>
        <v/>
      </c>
      <c r="Z227" s="60" t="str">
        <f t="shared" si="93"/>
        <v/>
      </c>
      <c r="AA227" s="60" t="str">
        <f t="shared" si="94"/>
        <v/>
      </c>
      <c r="AB227" s="60" t="str">
        <f t="shared" si="95"/>
        <v/>
      </c>
    </row>
    <row r="228" spans="2:28">
      <c r="B228" s="57" t="str">
        <f t="shared" si="74"/>
        <v/>
      </c>
      <c r="C228" s="58" t="str">
        <f t="shared" si="75"/>
        <v/>
      </c>
      <c r="D228" s="28" t="str">
        <f t="shared" si="76"/>
        <v/>
      </c>
      <c r="E228" s="28" t="str">
        <f t="shared" si="77"/>
        <v/>
      </c>
      <c r="F228" s="29" t="str">
        <f t="shared" si="78"/>
        <v/>
      </c>
      <c r="G228" s="60" t="str">
        <f t="shared" si="79"/>
        <v/>
      </c>
      <c r="H228" s="60" t="str">
        <f t="shared" si="80"/>
        <v/>
      </c>
      <c r="I228" s="60" t="str">
        <f t="shared" si="81"/>
        <v/>
      </c>
      <c r="J228" s="60" t="str">
        <f t="shared" si="82"/>
        <v/>
      </c>
      <c r="K228" s="60" t="str">
        <f t="shared" si="83"/>
        <v/>
      </c>
      <c r="L228" s="60" t="str">
        <f t="shared" si="84"/>
        <v/>
      </c>
      <c r="M228" s="60" t="str">
        <f t="shared" si="85"/>
        <v/>
      </c>
      <c r="Q228" s="57" t="str">
        <f t="shared" si="86"/>
        <v/>
      </c>
      <c r="R228" s="58" t="str">
        <f t="shared" si="87"/>
        <v/>
      </c>
      <c r="S228" s="28" t="str">
        <f t="shared" si="72"/>
        <v/>
      </c>
      <c r="T228" s="28" t="str">
        <f t="shared" si="88"/>
        <v/>
      </c>
      <c r="U228" s="29" t="str">
        <f t="shared" si="89"/>
        <v/>
      </c>
      <c r="V228" s="60" t="str">
        <f t="shared" si="73"/>
        <v/>
      </c>
      <c r="W228" s="60" t="str">
        <f t="shared" si="90"/>
        <v/>
      </c>
      <c r="X228" s="60" t="str">
        <f t="shared" si="91"/>
        <v/>
      </c>
      <c r="Y228" s="60" t="str">
        <f t="shared" si="92"/>
        <v/>
      </c>
      <c r="Z228" s="60" t="str">
        <f t="shared" si="93"/>
        <v/>
      </c>
      <c r="AA228" s="60" t="str">
        <f t="shared" si="94"/>
        <v/>
      </c>
      <c r="AB228" s="60" t="str">
        <f t="shared" si="95"/>
        <v/>
      </c>
    </row>
    <row r="229" spans="2:28">
      <c r="B229" s="57" t="str">
        <f t="shared" si="74"/>
        <v/>
      </c>
      <c r="C229" s="58" t="str">
        <f t="shared" si="75"/>
        <v/>
      </c>
      <c r="D229" s="28" t="str">
        <f t="shared" si="76"/>
        <v/>
      </c>
      <c r="E229" s="28" t="str">
        <f t="shared" si="77"/>
        <v/>
      </c>
      <c r="F229" s="29" t="str">
        <f t="shared" si="78"/>
        <v/>
      </c>
      <c r="G229" s="60" t="str">
        <f t="shared" si="79"/>
        <v/>
      </c>
      <c r="H229" s="60" t="str">
        <f t="shared" si="80"/>
        <v/>
      </c>
      <c r="I229" s="60" t="str">
        <f t="shared" si="81"/>
        <v/>
      </c>
      <c r="J229" s="60" t="str">
        <f t="shared" si="82"/>
        <v/>
      </c>
      <c r="K229" s="60" t="str">
        <f t="shared" si="83"/>
        <v/>
      </c>
      <c r="L229" s="60" t="str">
        <f t="shared" si="84"/>
        <v/>
      </c>
      <c r="M229" s="60" t="str">
        <f t="shared" si="85"/>
        <v/>
      </c>
      <c r="Q229" s="57" t="str">
        <f t="shared" si="86"/>
        <v/>
      </c>
      <c r="R229" s="58" t="str">
        <f t="shared" si="87"/>
        <v/>
      </c>
      <c r="S229" s="28" t="str">
        <f t="shared" si="72"/>
        <v/>
      </c>
      <c r="T229" s="28" t="str">
        <f t="shared" si="88"/>
        <v/>
      </c>
      <c r="U229" s="29" t="str">
        <f t="shared" si="89"/>
        <v/>
      </c>
      <c r="V229" s="60" t="str">
        <f t="shared" si="73"/>
        <v/>
      </c>
      <c r="W229" s="60" t="str">
        <f t="shared" si="90"/>
        <v/>
      </c>
      <c r="X229" s="60" t="str">
        <f t="shared" si="91"/>
        <v/>
      </c>
      <c r="Y229" s="60" t="str">
        <f t="shared" si="92"/>
        <v/>
      </c>
      <c r="Z229" s="60" t="str">
        <f t="shared" si="93"/>
        <v/>
      </c>
      <c r="AA229" s="60" t="str">
        <f t="shared" si="94"/>
        <v/>
      </c>
      <c r="AB229" s="60" t="str">
        <f t="shared" si="95"/>
        <v/>
      </c>
    </row>
    <row r="230" spans="2:28">
      <c r="B230" s="57" t="str">
        <f t="shared" si="74"/>
        <v/>
      </c>
      <c r="C230" s="58" t="str">
        <f t="shared" si="75"/>
        <v/>
      </c>
      <c r="D230" s="28" t="str">
        <f t="shared" si="76"/>
        <v/>
      </c>
      <c r="E230" s="28" t="str">
        <f t="shared" si="77"/>
        <v/>
      </c>
      <c r="F230" s="29" t="str">
        <f t="shared" si="78"/>
        <v/>
      </c>
      <c r="G230" s="60" t="str">
        <f t="shared" si="79"/>
        <v/>
      </c>
      <c r="H230" s="60" t="str">
        <f t="shared" si="80"/>
        <v/>
      </c>
      <c r="I230" s="60" t="str">
        <f t="shared" si="81"/>
        <v/>
      </c>
      <c r="J230" s="60" t="str">
        <f t="shared" si="82"/>
        <v/>
      </c>
      <c r="K230" s="60" t="str">
        <f t="shared" si="83"/>
        <v/>
      </c>
      <c r="L230" s="60" t="str">
        <f t="shared" si="84"/>
        <v/>
      </c>
      <c r="M230" s="60" t="str">
        <f t="shared" si="85"/>
        <v/>
      </c>
      <c r="Q230" s="57" t="str">
        <f t="shared" si="86"/>
        <v/>
      </c>
      <c r="R230" s="58" t="str">
        <f t="shared" si="87"/>
        <v/>
      </c>
      <c r="S230" s="28" t="str">
        <f t="shared" si="72"/>
        <v/>
      </c>
      <c r="T230" s="28" t="str">
        <f t="shared" si="88"/>
        <v/>
      </c>
      <c r="U230" s="29" t="str">
        <f t="shared" si="89"/>
        <v/>
      </c>
      <c r="V230" s="60" t="str">
        <f t="shared" si="73"/>
        <v/>
      </c>
      <c r="W230" s="60" t="str">
        <f t="shared" si="90"/>
        <v/>
      </c>
      <c r="X230" s="60" t="str">
        <f t="shared" si="91"/>
        <v/>
      </c>
      <c r="Y230" s="60" t="str">
        <f t="shared" si="92"/>
        <v/>
      </c>
      <c r="Z230" s="60" t="str">
        <f t="shared" si="93"/>
        <v/>
      </c>
      <c r="AA230" s="60" t="str">
        <f t="shared" si="94"/>
        <v/>
      </c>
      <c r="AB230" s="60" t="str">
        <f t="shared" si="95"/>
        <v/>
      </c>
    </row>
    <row r="231" spans="2:28">
      <c r="B231" s="57" t="str">
        <f t="shared" si="74"/>
        <v/>
      </c>
      <c r="C231" s="58" t="str">
        <f t="shared" si="75"/>
        <v/>
      </c>
      <c r="D231" s="28" t="str">
        <f t="shared" si="76"/>
        <v/>
      </c>
      <c r="E231" s="28" t="str">
        <f t="shared" si="77"/>
        <v/>
      </c>
      <c r="F231" s="29" t="str">
        <f t="shared" si="78"/>
        <v/>
      </c>
      <c r="G231" s="60" t="str">
        <f t="shared" si="79"/>
        <v/>
      </c>
      <c r="H231" s="60" t="str">
        <f t="shared" si="80"/>
        <v/>
      </c>
      <c r="I231" s="60" t="str">
        <f t="shared" si="81"/>
        <v/>
      </c>
      <c r="J231" s="60" t="str">
        <f t="shared" si="82"/>
        <v/>
      </c>
      <c r="K231" s="60" t="str">
        <f t="shared" si="83"/>
        <v/>
      </c>
      <c r="L231" s="60" t="str">
        <f t="shared" si="84"/>
        <v/>
      </c>
      <c r="M231" s="60" t="str">
        <f t="shared" si="85"/>
        <v/>
      </c>
      <c r="Q231" s="57" t="str">
        <f t="shared" si="86"/>
        <v/>
      </c>
      <c r="R231" s="58" t="str">
        <f t="shared" si="87"/>
        <v/>
      </c>
      <c r="S231" s="28" t="str">
        <f t="shared" si="72"/>
        <v/>
      </c>
      <c r="T231" s="28" t="str">
        <f t="shared" si="88"/>
        <v/>
      </c>
      <c r="U231" s="29" t="str">
        <f t="shared" si="89"/>
        <v/>
      </c>
      <c r="V231" s="60" t="str">
        <f t="shared" si="73"/>
        <v/>
      </c>
      <c r="W231" s="60" t="str">
        <f t="shared" si="90"/>
        <v/>
      </c>
      <c r="X231" s="60" t="str">
        <f t="shared" si="91"/>
        <v/>
      </c>
      <c r="Y231" s="60" t="str">
        <f t="shared" si="92"/>
        <v/>
      </c>
      <c r="Z231" s="60" t="str">
        <f t="shared" si="93"/>
        <v/>
      </c>
      <c r="AA231" s="60" t="str">
        <f t="shared" si="94"/>
        <v/>
      </c>
      <c r="AB231" s="60" t="str">
        <f t="shared" si="95"/>
        <v/>
      </c>
    </row>
    <row r="232" spans="2:28">
      <c r="B232" s="57" t="str">
        <f t="shared" si="74"/>
        <v/>
      </c>
      <c r="C232" s="58" t="str">
        <f t="shared" si="75"/>
        <v/>
      </c>
      <c r="D232" s="28" t="str">
        <f t="shared" si="76"/>
        <v/>
      </c>
      <c r="E232" s="28" t="str">
        <f t="shared" si="77"/>
        <v/>
      </c>
      <c r="F232" s="29" t="str">
        <f t="shared" si="78"/>
        <v/>
      </c>
      <c r="G232" s="60" t="str">
        <f t="shared" si="79"/>
        <v/>
      </c>
      <c r="H232" s="60" t="str">
        <f t="shared" si="80"/>
        <v/>
      </c>
      <c r="I232" s="60" t="str">
        <f t="shared" si="81"/>
        <v/>
      </c>
      <c r="J232" s="60" t="str">
        <f t="shared" si="82"/>
        <v/>
      </c>
      <c r="K232" s="60" t="str">
        <f t="shared" si="83"/>
        <v/>
      </c>
      <c r="L232" s="60" t="str">
        <f t="shared" si="84"/>
        <v/>
      </c>
      <c r="M232" s="60" t="str">
        <f t="shared" si="85"/>
        <v/>
      </c>
      <c r="Q232" s="57" t="str">
        <f t="shared" si="86"/>
        <v/>
      </c>
      <c r="R232" s="58" t="str">
        <f t="shared" si="87"/>
        <v/>
      </c>
      <c r="S232" s="28" t="str">
        <f t="shared" si="72"/>
        <v/>
      </c>
      <c r="T232" s="28" t="str">
        <f t="shared" si="88"/>
        <v/>
      </c>
      <c r="U232" s="29" t="str">
        <f t="shared" si="89"/>
        <v/>
      </c>
      <c r="V232" s="60" t="str">
        <f t="shared" si="73"/>
        <v/>
      </c>
      <c r="W232" s="60" t="str">
        <f t="shared" si="90"/>
        <v/>
      </c>
      <c r="X232" s="60" t="str">
        <f t="shared" si="91"/>
        <v/>
      </c>
      <c r="Y232" s="60" t="str">
        <f t="shared" si="92"/>
        <v/>
      </c>
      <c r="Z232" s="60" t="str">
        <f t="shared" si="93"/>
        <v/>
      </c>
      <c r="AA232" s="60" t="str">
        <f t="shared" si="94"/>
        <v/>
      </c>
      <c r="AB232" s="60" t="str">
        <f t="shared" si="95"/>
        <v/>
      </c>
    </row>
    <row r="233" spans="2:28">
      <c r="B233" s="57" t="str">
        <f t="shared" si="74"/>
        <v/>
      </c>
      <c r="C233" s="58" t="str">
        <f t="shared" si="75"/>
        <v/>
      </c>
      <c r="D233" s="28" t="str">
        <f t="shared" si="76"/>
        <v/>
      </c>
      <c r="E233" s="28" t="str">
        <f t="shared" si="77"/>
        <v/>
      </c>
      <c r="F233" s="29" t="str">
        <f t="shared" si="78"/>
        <v/>
      </c>
      <c r="G233" s="60" t="str">
        <f t="shared" si="79"/>
        <v/>
      </c>
      <c r="H233" s="60" t="str">
        <f t="shared" si="80"/>
        <v/>
      </c>
      <c r="I233" s="60" t="str">
        <f t="shared" si="81"/>
        <v/>
      </c>
      <c r="J233" s="60" t="str">
        <f t="shared" si="82"/>
        <v/>
      </c>
      <c r="K233" s="60" t="str">
        <f t="shared" si="83"/>
        <v/>
      </c>
      <c r="L233" s="60" t="str">
        <f t="shared" si="84"/>
        <v/>
      </c>
      <c r="M233" s="60" t="str">
        <f t="shared" si="85"/>
        <v/>
      </c>
      <c r="Q233" s="57" t="str">
        <f t="shared" si="86"/>
        <v/>
      </c>
      <c r="R233" s="58" t="str">
        <f t="shared" si="87"/>
        <v/>
      </c>
      <c r="S233" s="28" t="str">
        <f t="shared" si="72"/>
        <v/>
      </c>
      <c r="T233" s="28" t="str">
        <f t="shared" si="88"/>
        <v/>
      </c>
      <c r="U233" s="29" t="str">
        <f t="shared" si="89"/>
        <v/>
      </c>
      <c r="V233" s="60" t="str">
        <f t="shared" si="73"/>
        <v/>
      </c>
      <c r="W233" s="60" t="str">
        <f t="shared" si="90"/>
        <v/>
      </c>
      <c r="X233" s="60" t="str">
        <f t="shared" si="91"/>
        <v/>
      </c>
      <c r="Y233" s="60" t="str">
        <f t="shared" si="92"/>
        <v/>
      </c>
      <c r="Z233" s="60" t="str">
        <f t="shared" si="93"/>
        <v/>
      </c>
      <c r="AA233" s="60" t="str">
        <f t="shared" si="94"/>
        <v/>
      </c>
      <c r="AB233" s="60" t="str">
        <f t="shared" si="95"/>
        <v/>
      </c>
    </row>
    <row r="234" spans="2:28">
      <c r="B234" s="57" t="str">
        <f t="shared" si="74"/>
        <v/>
      </c>
      <c r="C234" s="58" t="str">
        <f t="shared" si="75"/>
        <v/>
      </c>
      <c r="D234" s="28" t="str">
        <f t="shared" si="76"/>
        <v/>
      </c>
      <c r="E234" s="28" t="str">
        <f t="shared" si="77"/>
        <v/>
      </c>
      <c r="F234" s="29" t="str">
        <f t="shared" si="78"/>
        <v/>
      </c>
      <c r="G234" s="60" t="str">
        <f t="shared" si="79"/>
        <v/>
      </c>
      <c r="H234" s="60" t="str">
        <f t="shared" si="80"/>
        <v/>
      </c>
      <c r="I234" s="60" t="str">
        <f t="shared" si="81"/>
        <v/>
      </c>
      <c r="J234" s="60" t="str">
        <f t="shared" si="82"/>
        <v/>
      </c>
      <c r="K234" s="60" t="str">
        <f t="shared" si="83"/>
        <v/>
      </c>
      <c r="L234" s="60" t="str">
        <f t="shared" si="84"/>
        <v/>
      </c>
      <c r="M234" s="60" t="str">
        <f t="shared" si="85"/>
        <v/>
      </c>
      <c r="Q234" s="57" t="str">
        <f t="shared" si="86"/>
        <v/>
      </c>
      <c r="R234" s="58" t="str">
        <f t="shared" si="87"/>
        <v/>
      </c>
      <c r="S234" s="28" t="str">
        <f t="shared" si="72"/>
        <v/>
      </c>
      <c r="T234" s="28" t="str">
        <f t="shared" si="88"/>
        <v/>
      </c>
      <c r="U234" s="29" t="str">
        <f t="shared" si="89"/>
        <v/>
      </c>
      <c r="V234" s="60" t="str">
        <f t="shared" si="73"/>
        <v/>
      </c>
      <c r="W234" s="60" t="str">
        <f t="shared" si="90"/>
        <v/>
      </c>
      <c r="X234" s="60" t="str">
        <f t="shared" si="91"/>
        <v/>
      </c>
      <c r="Y234" s="60" t="str">
        <f t="shared" si="92"/>
        <v/>
      </c>
      <c r="Z234" s="60" t="str">
        <f t="shared" si="93"/>
        <v/>
      </c>
      <c r="AA234" s="60" t="str">
        <f t="shared" si="94"/>
        <v/>
      </c>
      <c r="AB234" s="60" t="str">
        <f t="shared" si="95"/>
        <v/>
      </c>
    </row>
    <row r="235" spans="2:28">
      <c r="B235" s="57" t="str">
        <f t="shared" si="74"/>
        <v/>
      </c>
      <c r="C235" s="58" t="str">
        <f t="shared" si="75"/>
        <v/>
      </c>
      <c r="D235" s="28" t="str">
        <f t="shared" si="76"/>
        <v/>
      </c>
      <c r="E235" s="28" t="str">
        <f t="shared" si="77"/>
        <v/>
      </c>
      <c r="F235" s="29" t="str">
        <f t="shared" si="78"/>
        <v/>
      </c>
      <c r="G235" s="60" t="str">
        <f t="shared" si="79"/>
        <v/>
      </c>
      <c r="H235" s="60" t="str">
        <f t="shared" si="80"/>
        <v/>
      </c>
      <c r="I235" s="60" t="str">
        <f t="shared" si="81"/>
        <v/>
      </c>
      <c r="J235" s="60" t="str">
        <f t="shared" si="82"/>
        <v/>
      </c>
      <c r="K235" s="60" t="str">
        <f t="shared" si="83"/>
        <v/>
      </c>
      <c r="L235" s="60" t="str">
        <f t="shared" si="84"/>
        <v/>
      </c>
      <c r="M235" s="60" t="str">
        <f t="shared" si="85"/>
        <v/>
      </c>
      <c r="Q235" s="57" t="str">
        <f t="shared" si="86"/>
        <v/>
      </c>
      <c r="R235" s="58" t="str">
        <f t="shared" si="87"/>
        <v/>
      </c>
      <c r="S235" s="28" t="str">
        <f t="shared" si="72"/>
        <v/>
      </c>
      <c r="T235" s="28" t="str">
        <f t="shared" si="88"/>
        <v/>
      </c>
      <c r="U235" s="29" t="str">
        <f t="shared" si="89"/>
        <v/>
      </c>
      <c r="V235" s="60" t="str">
        <f t="shared" si="73"/>
        <v/>
      </c>
      <c r="W235" s="60" t="str">
        <f t="shared" si="90"/>
        <v/>
      </c>
      <c r="X235" s="60" t="str">
        <f t="shared" si="91"/>
        <v/>
      </c>
      <c r="Y235" s="60" t="str">
        <f t="shared" si="92"/>
        <v/>
      </c>
      <c r="Z235" s="60" t="str">
        <f t="shared" si="93"/>
        <v/>
      </c>
      <c r="AA235" s="60" t="str">
        <f t="shared" si="94"/>
        <v/>
      </c>
      <c r="AB235" s="60" t="str">
        <f t="shared" si="95"/>
        <v/>
      </c>
    </row>
    <row r="236" spans="2:28">
      <c r="B236" s="57" t="str">
        <f t="shared" si="74"/>
        <v/>
      </c>
      <c r="C236" s="58" t="str">
        <f t="shared" si="75"/>
        <v/>
      </c>
      <c r="D236" s="28" t="str">
        <f t="shared" si="76"/>
        <v/>
      </c>
      <c r="E236" s="28" t="str">
        <f t="shared" si="77"/>
        <v/>
      </c>
      <c r="F236" s="29" t="str">
        <f t="shared" si="78"/>
        <v/>
      </c>
      <c r="G236" s="60" t="str">
        <f t="shared" si="79"/>
        <v/>
      </c>
      <c r="H236" s="60" t="str">
        <f t="shared" si="80"/>
        <v/>
      </c>
      <c r="I236" s="60" t="str">
        <f t="shared" si="81"/>
        <v/>
      </c>
      <c r="J236" s="60" t="str">
        <f t="shared" si="82"/>
        <v/>
      </c>
      <c r="K236" s="60" t="str">
        <f t="shared" si="83"/>
        <v/>
      </c>
      <c r="L236" s="60" t="str">
        <f t="shared" si="84"/>
        <v/>
      </c>
      <c r="M236" s="60" t="str">
        <f t="shared" si="85"/>
        <v/>
      </c>
      <c r="Q236" s="57" t="str">
        <f t="shared" si="86"/>
        <v/>
      </c>
      <c r="R236" s="58" t="str">
        <f t="shared" si="87"/>
        <v/>
      </c>
      <c r="S236" s="28" t="str">
        <f t="shared" si="72"/>
        <v/>
      </c>
      <c r="T236" s="28" t="str">
        <f t="shared" si="88"/>
        <v/>
      </c>
      <c r="U236" s="29" t="str">
        <f t="shared" si="89"/>
        <v/>
      </c>
      <c r="V236" s="60" t="str">
        <f t="shared" si="73"/>
        <v/>
      </c>
      <c r="W236" s="60" t="str">
        <f t="shared" si="90"/>
        <v/>
      </c>
      <c r="X236" s="60" t="str">
        <f t="shared" si="91"/>
        <v/>
      </c>
      <c r="Y236" s="60" t="str">
        <f t="shared" si="92"/>
        <v/>
      </c>
      <c r="Z236" s="60" t="str">
        <f t="shared" si="93"/>
        <v/>
      </c>
      <c r="AA236" s="60" t="str">
        <f t="shared" si="94"/>
        <v/>
      </c>
      <c r="AB236" s="60" t="str">
        <f t="shared" si="95"/>
        <v/>
      </c>
    </row>
    <row r="237" spans="2:28">
      <c r="B237" s="57" t="str">
        <f t="shared" si="74"/>
        <v/>
      </c>
      <c r="C237" s="58" t="str">
        <f t="shared" si="75"/>
        <v/>
      </c>
      <c r="D237" s="28" t="str">
        <f t="shared" si="76"/>
        <v/>
      </c>
      <c r="E237" s="28" t="str">
        <f t="shared" si="77"/>
        <v/>
      </c>
      <c r="F237" s="29" t="str">
        <f t="shared" si="78"/>
        <v/>
      </c>
      <c r="G237" s="60" t="str">
        <f t="shared" si="79"/>
        <v/>
      </c>
      <c r="H237" s="60" t="str">
        <f t="shared" si="80"/>
        <v/>
      </c>
      <c r="I237" s="60" t="str">
        <f t="shared" si="81"/>
        <v/>
      </c>
      <c r="J237" s="60" t="str">
        <f t="shared" si="82"/>
        <v/>
      </c>
      <c r="K237" s="60" t="str">
        <f t="shared" si="83"/>
        <v/>
      </c>
      <c r="L237" s="60" t="str">
        <f t="shared" si="84"/>
        <v/>
      </c>
      <c r="M237" s="60" t="str">
        <f t="shared" si="85"/>
        <v/>
      </c>
      <c r="Q237" s="57" t="str">
        <f t="shared" si="86"/>
        <v/>
      </c>
      <c r="R237" s="58" t="str">
        <f t="shared" si="87"/>
        <v/>
      </c>
      <c r="S237" s="28" t="str">
        <f t="shared" si="72"/>
        <v/>
      </c>
      <c r="T237" s="28" t="str">
        <f t="shared" si="88"/>
        <v/>
      </c>
      <c r="U237" s="29" t="str">
        <f t="shared" si="89"/>
        <v/>
      </c>
      <c r="V237" s="60" t="str">
        <f t="shared" si="73"/>
        <v/>
      </c>
      <c r="W237" s="60" t="str">
        <f t="shared" si="90"/>
        <v/>
      </c>
      <c r="X237" s="60" t="str">
        <f t="shared" si="91"/>
        <v/>
      </c>
      <c r="Y237" s="60" t="str">
        <f t="shared" si="92"/>
        <v/>
      </c>
      <c r="Z237" s="60" t="str">
        <f t="shared" si="93"/>
        <v/>
      </c>
      <c r="AA237" s="60" t="str">
        <f t="shared" si="94"/>
        <v/>
      </c>
      <c r="AB237" s="60" t="str">
        <f t="shared" si="95"/>
        <v/>
      </c>
    </row>
    <row r="238" spans="2:28">
      <c r="B238" s="57" t="str">
        <f t="shared" si="74"/>
        <v/>
      </c>
      <c r="C238" s="58" t="str">
        <f t="shared" si="75"/>
        <v/>
      </c>
      <c r="D238" s="28" t="str">
        <f t="shared" si="76"/>
        <v/>
      </c>
      <c r="E238" s="28" t="str">
        <f t="shared" si="77"/>
        <v/>
      </c>
      <c r="F238" s="29" t="str">
        <f t="shared" si="78"/>
        <v/>
      </c>
      <c r="G238" s="60" t="str">
        <f t="shared" si="79"/>
        <v/>
      </c>
      <c r="H238" s="60" t="str">
        <f t="shared" si="80"/>
        <v/>
      </c>
      <c r="I238" s="60" t="str">
        <f t="shared" si="81"/>
        <v/>
      </c>
      <c r="J238" s="60" t="str">
        <f t="shared" si="82"/>
        <v/>
      </c>
      <c r="K238" s="60" t="str">
        <f t="shared" si="83"/>
        <v/>
      </c>
      <c r="L238" s="60" t="str">
        <f t="shared" si="84"/>
        <v/>
      </c>
      <c r="M238" s="60" t="str">
        <f t="shared" si="85"/>
        <v/>
      </c>
      <c r="Q238" s="57" t="str">
        <f t="shared" si="86"/>
        <v/>
      </c>
      <c r="R238" s="58" t="str">
        <f t="shared" si="87"/>
        <v/>
      </c>
      <c r="S238" s="28" t="str">
        <f t="shared" si="72"/>
        <v/>
      </c>
      <c r="T238" s="28" t="str">
        <f t="shared" si="88"/>
        <v/>
      </c>
      <c r="U238" s="29" t="str">
        <f t="shared" si="89"/>
        <v/>
      </c>
      <c r="V238" s="60" t="str">
        <f t="shared" si="73"/>
        <v/>
      </c>
      <c r="W238" s="60" t="str">
        <f t="shared" si="90"/>
        <v/>
      </c>
      <c r="X238" s="60" t="str">
        <f t="shared" si="91"/>
        <v/>
      </c>
      <c r="Y238" s="60" t="str">
        <f t="shared" si="92"/>
        <v/>
      </c>
      <c r="Z238" s="60" t="str">
        <f t="shared" si="93"/>
        <v/>
      </c>
      <c r="AA238" s="60" t="str">
        <f t="shared" si="94"/>
        <v/>
      </c>
      <c r="AB238" s="60" t="str">
        <f t="shared" si="95"/>
        <v/>
      </c>
    </row>
    <row r="239" spans="2:28">
      <c r="B239" s="57" t="str">
        <f t="shared" si="74"/>
        <v/>
      </c>
      <c r="C239" s="58" t="str">
        <f t="shared" si="75"/>
        <v/>
      </c>
      <c r="D239" s="28" t="str">
        <f t="shared" si="76"/>
        <v/>
      </c>
      <c r="E239" s="28" t="str">
        <f t="shared" si="77"/>
        <v/>
      </c>
      <c r="F239" s="29" t="str">
        <f t="shared" si="78"/>
        <v/>
      </c>
      <c r="G239" s="60" t="str">
        <f t="shared" si="79"/>
        <v/>
      </c>
      <c r="H239" s="60" t="str">
        <f t="shared" si="80"/>
        <v/>
      </c>
      <c r="I239" s="60" t="str">
        <f t="shared" si="81"/>
        <v/>
      </c>
      <c r="J239" s="60" t="str">
        <f t="shared" si="82"/>
        <v/>
      </c>
      <c r="K239" s="60" t="str">
        <f t="shared" si="83"/>
        <v/>
      </c>
      <c r="L239" s="60" t="str">
        <f t="shared" si="84"/>
        <v/>
      </c>
      <c r="M239" s="60" t="str">
        <f t="shared" si="85"/>
        <v/>
      </c>
      <c r="Q239" s="57" t="str">
        <f t="shared" si="86"/>
        <v/>
      </c>
      <c r="R239" s="58" t="str">
        <f t="shared" si="87"/>
        <v/>
      </c>
      <c r="S239" s="28" t="str">
        <f t="shared" si="72"/>
        <v/>
      </c>
      <c r="T239" s="28" t="str">
        <f t="shared" si="88"/>
        <v/>
      </c>
      <c r="U239" s="29" t="str">
        <f t="shared" si="89"/>
        <v/>
      </c>
      <c r="V239" s="60" t="str">
        <f t="shared" si="73"/>
        <v/>
      </c>
      <c r="W239" s="60" t="str">
        <f t="shared" si="90"/>
        <v/>
      </c>
      <c r="X239" s="60" t="str">
        <f t="shared" si="91"/>
        <v/>
      </c>
      <c r="Y239" s="60" t="str">
        <f t="shared" si="92"/>
        <v/>
      </c>
      <c r="Z239" s="60" t="str">
        <f t="shared" si="93"/>
        <v/>
      </c>
      <c r="AA239" s="60" t="str">
        <f t="shared" si="94"/>
        <v/>
      </c>
      <c r="AB239" s="60" t="str">
        <f t="shared" si="95"/>
        <v/>
      </c>
    </row>
    <row r="240" spans="2:28">
      <c r="B240" s="57" t="str">
        <f t="shared" si="74"/>
        <v/>
      </c>
      <c r="C240" s="58" t="str">
        <f t="shared" si="75"/>
        <v/>
      </c>
      <c r="D240" s="28" t="str">
        <f t="shared" si="76"/>
        <v/>
      </c>
      <c r="E240" s="28" t="str">
        <f t="shared" si="77"/>
        <v/>
      </c>
      <c r="F240" s="29" t="str">
        <f t="shared" si="78"/>
        <v/>
      </c>
      <c r="G240" s="60" t="str">
        <f t="shared" si="79"/>
        <v/>
      </c>
      <c r="H240" s="60" t="str">
        <f t="shared" si="80"/>
        <v/>
      </c>
      <c r="I240" s="60" t="str">
        <f t="shared" si="81"/>
        <v/>
      </c>
      <c r="J240" s="60" t="str">
        <f t="shared" si="82"/>
        <v/>
      </c>
      <c r="K240" s="60" t="str">
        <f t="shared" si="83"/>
        <v/>
      </c>
      <c r="L240" s="60" t="str">
        <f t="shared" si="84"/>
        <v/>
      </c>
      <c r="M240" s="60" t="str">
        <f t="shared" si="85"/>
        <v/>
      </c>
      <c r="Q240" s="57" t="str">
        <f t="shared" si="86"/>
        <v/>
      </c>
      <c r="R240" s="58" t="str">
        <f t="shared" si="87"/>
        <v/>
      </c>
      <c r="S240" s="28" t="str">
        <f t="shared" si="72"/>
        <v/>
      </c>
      <c r="T240" s="28" t="str">
        <f t="shared" si="88"/>
        <v/>
      </c>
      <c r="U240" s="29" t="str">
        <f t="shared" si="89"/>
        <v/>
      </c>
      <c r="V240" s="60" t="str">
        <f t="shared" si="73"/>
        <v/>
      </c>
      <c r="W240" s="60" t="str">
        <f t="shared" si="90"/>
        <v/>
      </c>
      <c r="X240" s="60" t="str">
        <f t="shared" si="91"/>
        <v/>
      </c>
      <c r="Y240" s="60" t="str">
        <f t="shared" si="92"/>
        <v/>
      </c>
      <c r="Z240" s="60" t="str">
        <f t="shared" si="93"/>
        <v/>
      </c>
      <c r="AA240" s="60" t="str">
        <f t="shared" si="94"/>
        <v/>
      </c>
      <c r="AB240" s="60" t="str">
        <f t="shared" si="95"/>
        <v/>
      </c>
    </row>
    <row r="241" spans="2:28">
      <c r="B241" s="57" t="str">
        <f t="shared" si="74"/>
        <v/>
      </c>
      <c r="C241" s="58" t="str">
        <f t="shared" si="75"/>
        <v/>
      </c>
      <c r="D241" s="28" t="str">
        <f t="shared" si="76"/>
        <v/>
      </c>
      <c r="E241" s="28" t="str">
        <f t="shared" si="77"/>
        <v/>
      </c>
      <c r="F241" s="29" t="str">
        <f t="shared" si="78"/>
        <v/>
      </c>
      <c r="G241" s="60" t="str">
        <f t="shared" si="79"/>
        <v/>
      </c>
      <c r="H241" s="60" t="str">
        <f t="shared" si="80"/>
        <v/>
      </c>
      <c r="I241" s="60" t="str">
        <f t="shared" si="81"/>
        <v/>
      </c>
      <c r="J241" s="60" t="str">
        <f t="shared" si="82"/>
        <v/>
      </c>
      <c r="K241" s="60" t="str">
        <f t="shared" si="83"/>
        <v/>
      </c>
      <c r="L241" s="60" t="str">
        <f t="shared" si="84"/>
        <v/>
      </c>
      <c r="M241" s="60" t="str">
        <f t="shared" si="85"/>
        <v/>
      </c>
      <c r="Q241" s="57" t="str">
        <f t="shared" si="86"/>
        <v/>
      </c>
      <c r="R241" s="58" t="str">
        <f t="shared" si="87"/>
        <v/>
      </c>
      <c r="S241" s="28" t="str">
        <f t="shared" si="72"/>
        <v/>
      </c>
      <c r="T241" s="28" t="str">
        <f t="shared" si="88"/>
        <v/>
      </c>
      <c r="U241" s="29" t="str">
        <f t="shared" si="89"/>
        <v/>
      </c>
      <c r="V241" s="60" t="str">
        <f t="shared" si="73"/>
        <v/>
      </c>
      <c r="W241" s="60" t="str">
        <f t="shared" si="90"/>
        <v/>
      </c>
      <c r="X241" s="60" t="str">
        <f t="shared" si="91"/>
        <v/>
      </c>
      <c r="Y241" s="60" t="str">
        <f t="shared" si="92"/>
        <v/>
      </c>
      <c r="Z241" s="60" t="str">
        <f t="shared" si="93"/>
        <v/>
      </c>
      <c r="AA241" s="60" t="str">
        <f t="shared" si="94"/>
        <v/>
      </c>
      <c r="AB241" s="60" t="str">
        <f t="shared" si="95"/>
        <v/>
      </c>
    </row>
    <row r="242" spans="2:28">
      <c r="B242" s="57" t="str">
        <f t="shared" si="74"/>
        <v/>
      </c>
      <c r="C242" s="58" t="str">
        <f t="shared" si="75"/>
        <v/>
      </c>
      <c r="D242" s="28" t="str">
        <f t="shared" si="76"/>
        <v/>
      </c>
      <c r="E242" s="28" t="str">
        <f t="shared" si="77"/>
        <v/>
      </c>
      <c r="F242" s="29" t="str">
        <f t="shared" si="78"/>
        <v/>
      </c>
      <c r="G242" s="60" t="str">
        <f t="shared" si="79"/>
        <v/>
      </c>
      <c r="H242" s="60" t="str">
        <f t="shared" si="80"/>
        <v/>
      </c>
      <c r="I242" s="60" t="str">
        <f t="shared" si="81"/>
        <v/>
      </c>
      <c r="J242" s="60" t="str">
        <f t="shared" si="82"/>
        <v/>
      </c>
      <c r="K242" s="60" t="str">
        <f t="shared" si="83"/>
        <v/>
      </c>
      <c r="L242" s="60" t="str">
        <f t="shared" si="84"/>
        <v/>
      </c>
      <c r="M242" s="60" t="str">
        <f t="shared" si="85"/>
        <v/>
      </c>
      <c r="Q242" s="57" t="str">
        <f t="shared" si="86"/>
        <v/>
      </c>
      <c r="R242" s="58" t="str">
        <f t="shared" si="87"/>
        <v/>
      </c>
      <c r="S242" s="28" t="str">
        <f t="shared" si="72"/>
        <v/>
      </c>
      <c r="T242" s="28" t="str">
        <f t="shared" si="88"/>
        <v/>
      </c>
      <c r="U242" s="29" t="str">
        <f t="shared" si="89"/>
        <v/>
      </c>
      <c r="V242" s="60" t="str">
        <f t="shared" si="73"/>
        <v/>
      </c>
      <c r="W242" s="60" t="str">
        <f t="shared" si="90"/>
        <v/>
      </c>
      <c r="X242" s="60" t="str">
        <f t="shared" si="91"/>
        <v/>
      </c>
      <c r="Y242" s="60" t="str">
        <f t="shared" si="92"/>
        <v/>
      </c>
      <c r="Z242" s="60" t="str">
        <f t="shared" si="93"/>
        <v/>
      </c>
      <c r="AA242" s="60" t="str">
        <f t="shared" si="94"/>
        <v/>
      </c>
      <c r="AB242" s="60" t="str">
        <f t="shared" si="95"/>
        <v/>
      </c>
    </row>
    <row r="243" spans="2:28">
      <c r="B243" s="57" t="str">
        <f t="shared" si="74"/>
        <v/>
      </c>
      <c r="C243" s="58" t="str">
        <f t="shared" si="75"/>
        <v/>
      </c>
      <c r="D243" s="28" t="str">
        <f t="shared" si="76"/>
        <v/>
      </c>
      <c r="E243" s="28" t="str">
        <f t="shared" si="77"/>
        <v/>
      </c>
      <c r="F243" s="29" t="str">
        <f t="shared" si="78"/>
        <v/>
      </c>
      <c r="G243" s="60" t="str">
        <f t="shared" si="79"/>
        <v/>
      </c>
      <c r="H243" s="60" t="str">
        <f t="shared" si="80"/>
        <v/>
      </c>
      <c r="I243" s="60" t="str">
        <f t="shared" si="81"/>
        <v/>
      </c>
      <c r="J243" s="60" t="str">
        <f t="shared" si="82"/>
        <v/>
      </c>
      <c r="K243" s="60" t="str">
        <f t="shared" si="83"/>
        <v/>
      </c>
      <c r="L243" s="60" t="str">
        <f t="shared" si="84"/>
        <v/>
      </c>
      <c r="M243" s="60" t="str">
        <f t="shared" si="85"/>
        <v/>
      </c>
      <c r="Q243" s="57" t="str">
        <f t="shared" si="86"/>
        <v/>
      </c>
      <c r="R243" s="58" t="str">
        <f t="shared" si="87"/>
        <v/>
      </c>
      <c r="S243" s="28" t="str">
        <f t="shared" si="72"/>
        <v/>
      </c>
      <c r="T243" s="28" t="str">
        <f t="shared" si="88"/>
        <v/>
      </c>
      <c r="U243" s="29" t="str">
        <f t="shared" si="89"/>
        <v/>
      </c>
      <c r="V243" s="60" t="str">
        <f t="shared" si="73"/>
        <v/>
      </c>
      <c r="W243" s="60" t="str">
        <f t="shared" si="90"/>
        <v/>
      </c>
      <c r="X243" s="60" t="str">
        <f t="shared" si="91"/>
        <v/>
      </c>
      <c r="Y243" s="60" t="str">
        <f t="shared" si="92"/>
        <v/>
      </c>
      <c r="Z243" s="60" t="str">
        <f t="shared" si="93"/>
        <v/>
      </c>
      <c r="AA243" s="60" t="str">
        <f t="shared" si="94"/>
        <v/>
      </c>
      <c r="AB243" s="60" t="str">
        <f t="shared" si="95"/>
        <v/>
      </c>
    </row>
    <row r="244" spans="2:28">
      <c r="B244" s="57" t="str">
        <f t="shared" si="74"/>
        <v/>
      </c>
      <c r="C244" s="58" t="str">
        <f t="shared" si="75"/>
        <v/>
      </c>
      <c r="D244" s="28" t="str">
        <f t="shared" si="76"/>
        <v/>
      </c>
      <c r="E244" s="28" t="str">
        <f t="shared" si="77"/>
        <v/>
      </c>
      <c r="F244" s="29" t="str">
        <f t="shared" si="78"/>
        <v/>
      </c>
      <c r="G244" s="60" t="str">
        <f t="shared" si="79"/>
        <v/>
      </c>
      <c r="H244" s="60" t="str">
        <f t="shared" si="80"/>
        <v/>
      </c>
      <c r="I244" s="60" t="str">
        <f t="shared" si="81"/>
        <v/>
      </c>
      <c r="J244" s="60" t="str">
        <f t="shared" si="82"/>
        <v/>
      </c>
      <c r="K244" s="60" t="str">
        <f t="shared" si="83"/>
        <v/>
      </c>
      <c r="L244" s="60" t="str">
        <f t="shared" si="84"/>
        <v/>
      </c>
      <c r="M244" s="60" t="str">
        <f t="shared" si="85"/>
        <v/>
      </c>
      <c r="Q244" s="57" t="str">
        <f t="shared" si="86"/>
        <v/>
      </c>
      <c r="R244" s="58" t="str">
        <f t="shared" si="87"/>
        <v/>
      </c>
      <c r="S244" s="28" t="str">
        <f t="shared" si="72"/>
        <v/>
      </c>
      <c r="T244" s="28" t="str">
        <f t="shared" si="88"/>
        <v/>
      </c>
      <c r="U244" s="29" t="str">
        <f t="shared" si="89"/>
        <v/>
      </c>
      <c r="V244" s="60" t="str">
        <f t="shared" si="73"/>
        <v/>
      </c>
      <c r="W244" s="60" t="str">
        <f t="shared" si="90"/>
        <v/>
      </c>
      <c r="X244" s="60" t="str">
        <f t="shared" si="91"/>
        <v/>
      </c>
      <c r="Y244" s="60" t="str">
        <f t="shared" si="92"/>
        <v/>
      </c>
      <c r="Z244" s="60" t="str">
        <f t="shared" si="93"/>
        <v/>
      </c>
      <c r="AA244" s="60" t="str">
        <f t="shared" si="94"/>
        <v/>
      </c>
      <c r="AB244" s="60" t="str">
        <f t="shared" si="95"/>
        <v/>
      </c>
    </row>
    <row r="245" spans="2:28">
      <c r="B245" s="57" t="str">
        <f t="shared" si="74"/>
        <v/>
      </c>
      <c r="C245" s="58" t="str">
        <f t="shared" si="75"/>
        <v/>
      </c>
      <c r="D245" s="28" t="str">
        <f t="shared" si="76"/>
        <v/>
      </c>
      <c r="E245" s="28" t="str">
        <f t="shared" si="77"/>
        <v/>
      </c>
      <c r="F245" s="29" t="str">
        <f t="shared" si="78"/>
        <v/>
      </c>
      <c r="G245" s="60" t="str">
        <f t="shared" si="79"/>
        <v/>
      </c>
      <c r="H245" s="60" t="str">
        <f t="shared" si="80"/>
        <v/>
      </c>
      <c r="I245" s="60" t="str">
        <f t="shared" si="81"/>
        <v/>
      </c>
      <c r="J245" s="60" t="str">
        <f t="shared" si="82"/>
        <v/>
      </c>
      <c r="K245" s="60" t="str">
        <f t="shared" si="83"/>
        <v/>
      </c>
      <c r="L245" s="60" t="str">
        <f t="shared" si="84"/>
        <v/>
      </c>
      <c r="M245" s="60" t="str">
        <f t="shared" si="85"/>
        <v/>
      </c>
      <c r="Q245" s="57" t="str">
        <f t="shared" si="86"/>
        <v/>
      </c>
      <c r="R245" s="58" t="str">
        <f t="shared" si="87"/>
        <v/>
      </c>
      <c r="S245" s="28" t="str">
        <f t="shared" si="72"/>
        <v/>
      </c>
      <c r="T245" s="28" t="str">
        <f t="shared" si="88"/>
        <v/>
      </c>
      <c r="U245" s="29" t="str">
        <f t="shared" si="89"/>
        <v/>
      </c>
      <c r="V245" s="60" t="str">
        <f t="shared" si="73"/>
        <v/>
      </c>
      <c r="W245" s="60" t="str">
        <f t="shared" si="90"/>
        <v/>
      </c>
      <c r="X245" s="60" t="str">
        <f t="shared" si="91"/>
        <v/>
      </c>
      <c r="Y245" s="60" t="str">
        <f t="shared" si="92"/>
        <v/>
      </c>
      <c r="Z245" s="60" t="str">
        <f t="shared" si="93"/>
        <v/>
      </c>
      <c r="AA245" s="60" t="str">
        <f t="shared" si="94"/>
        <v/>
      </c>
      <c r="AB245" s="60" t="str">
        <f t="shared" si="95"/>
        <v/>
      </c>
    </row>
    <row r="246" spans="2:28">
      <c r="B246" s="57" t="str">
        <f t="shared" si="74"/>
        <v/>
      </c>
      <c r="C246" s="58" t="str">
        <f t="shared" si="75"/>
        <v/>
      </c>
      <c r="D246" s="28" t="str">
        <f t="shared" si="76"/>
        <v/>
      </c>
      <c r="E246" s="28" t="str">
        <f t="shared" si="77"/>
        <v/>
      </c>
      <c r="F246" s="29" t="str">
        <f t="shared" si="78"/>
        <v/>
      </c>
      <c r="G246" s="60" t="str">
        <f t="shared" si="79"/>
        <v/>
      </c>
      <c r="H246" s="60" t="str">
        <f t="shared" si="80"/>
        <v/>
      </c>
      <c r="I246" s="60" t="str">
        <f t="shared" si="81"/>
        <v/>
      </c>
      <c r="J246" s="60" t="str">
        <f t="shared" si="82"/>
        <v/>
      </c>
      <c r="K246" s="60" t="str">
        <f t="shared" si="83"/>
        <v/>
      </c>
      <c r="L246" s="60" t="str">
        <f t="shared" si="84"/>
        <v/>
      </c>
      <c r="M246" s="60" t="str">
        <f t="shared" si="85"/>
        <v/>
      </c>
      <c r="Q246" s="57" t="str">
        <f t="shared" si="86"/>
        <v/>
      </c>
      <c r="R246" s="58" t="str">
        <f t="shared" si="87"/>
        <v/>
      </c>
      <c r="S246" s="28" t="str">
        <f t="shared" si="72"/>
        <v/>
      </c>
      <c r="T246" s="28" t="str">
        <f t="shared" si="88"/>
        <v/>
      </c>
      <c r="U246" s="29" t="str">
        <f t="shared" si="89"/>
        <v/>
      </c>
      <c r="V246" s="60" t="str">
        <f t="shared" si="73"/>
        <v/>
      </c>
      <c r="W246" s="60" t="str">
        <f t="shared" si="90"/>
        <v/>
      </c>
      <c r="X246" s="60" t="str">
        <f t="shared" si="91"/>
        <v/>
      </c>
      <c r="Y246" s="60" t="str">
        <f t="shared" si="92"/>
        <v/>
      </c>
      <c r="Z246" s="60" t="str">
        <f t="shared" si="93"/>
        <v/>
      </c>
      <c r="AA246" s="60" t="str">
        <f t="shared" si="94"/>
        <v/>
      </c>
      <c r="AB246" s="60" t="str">
        <f t="shared" si="95"/>
        <v/>
      </c>
    </row>
    <row r="247" spans="2:28">
      <c r="B247" s="57" t="str">
        <f t="shared" si="74"/>
        <v/>
      </c>
      <c r="C247" s="58" t="str">
        <f t="shared" si="75"/>
        <v/>
      </c>
      <c r="D247" s="28" t="str">
        <f t="shared" si="76"/>
        <v/>
      </c>
      <c r="E247" s="28" t="str">
        <f t="shared" si="77"/>
        <v/>
      </c>
      <c r="F247" s="29" t="str">
        <f t="shared" si="78"/>
        <v/>
      </c>
      <c r="G247" s="60" t="str">
        <f t="shared" si="79"/>
        <v/>
      </c>
      <c r="H247" s="60" t="str">
        <f t="shared" si="80"/>
        <v/>
      </c>
      <c r="I247" s="60" t="str">
        <f t="shared" si="81"/>
        <v/>
      </c>
      <c r="J247" s="60" t="str">
        <f t="shared" si="82"/>
        <v/>
      </c>
      <c r="K247" s="60" t="str">
        <f t="shared" si="83"/>
        <v/>
      </c>
      <c r="L247" s="60" t="str">
        <f t="shared" si="84"/>
        <v/>
      </c>
      <c r="M247" s="60" t="str">
        <f t="shared" si="85"/>
        <v/>
      </c>
      <c r="Q247" s="57" t="str">
        <f t="shared" si="86"/>
        <v/>
      </c>
      <c r="R247" s="58" t="str">
        <f t="shared" si="87"/>
        <v/>
      </c>
      <c r="S247" s="28" t="str">
        <f t="shared" si="72"/>
        <v/>
      </c>
      <c r="T247" s="28" t="str">
        <f t="shared" si="88"/>
        <v/>
      </c>
      <c r="U247" s="29" t="str">
        <f t="shared" si="89"/>
        <v/>
      </c>
      <c r="V247" s="60" t="str">
        <f t="shared" si="73"/>
        <v/>
      </c>
      <c r="W247" s="60" t="str">
        <f t="shared" si="90"/>
        <v/>
      </c>
      <c r="X247" s="60" t="str">
        <f t="shared" si="91"/>
        <v/>
      </c>
      <c r="Y247" s="60" t="str">
        <f t="shared" si="92"/>
        <v/>
      </c>
      <c r="Z247" s="60" t="str">
        <f t="shared" si="93"/>
        <v/>
      </c>
      <c r="AA247" s="60" t="str">
        <f t="shared" si="94"/>
        <v/>
      </c>
      <c r="AB247" s="60" t="str">
        <f t="shared" si="95"/>
        <v/>
      </c>
    </row>
    <row r="248" spans="2:28">
      <c r="B248" s="57" t="str">
        <f t="shared" si="74"/>
        <v/>
      </c>
      <c r="C248" s="58" t="str">
        <f t="shared" si="75"/>
        <v/>
      </c>
      <c r="D248" s="28" t="str">
        <f t="shared" si="76"/>
        <v/>
      </c>
      <c r="E248" s="28" t="str">
        <f t="shared" si="77"/>
        <v/>
      </c>
      <c r="F248" s="29" t="str">
        <f t="shared" si="78"/>
        <v/>
      </c>
      <c r="G248" s="60" t="str">
        <f t="shared" si="79"/>
        <v/>
      </c>
      <c r="H248" s="60" t="str">
        <f t="shared" si="80"/>
        <v/>
      </c>
      <c r="I248" s="60" t="str">
        <f t="shared" si="81"/>
        <v/>
      </c>
      <c r="J248" s="60" t="str">
        <f t="shared" si="82"/>
        <v/>
      </c>
      <c r="K248" s="60" t="str">
        <f t="shared" si="83"/>
        <v/>
      </c>
      <c r="L248" s="60" t="str">
        <f t="shared" si="84"/>
        <v/>
      </c>
      <c r="M248" s="60" t="str">
        <f t="shared" si="85"/>
        <v/>
      </c>
      <c r="Q248" s="57" t="str">
        <f t="shared" si="86"/>
        <v/>
      </c>
      <c r="R248" s="58" t="str">
        <f t="shared" si="87"/>
        <v/>
      </c>
      <c r="S248" s="28" t="str">
        <f t="shared" si="72"/>
        <v/>
      </c>
      <c r="T248" s="28" t="str">
        <f t="shared" si="88"/>
        <v/>
      </c>
      <c r="U248" s="29" t="str">
        <f t="shared" si="89"/>
        <v/>
      </c>
      <c r="V248" s="60" t="str">
        <f t="shared" si="73"/>
        <v/>
      </c>
      <c r="W248" s="60" t="str">
        <f t="shared" si="90"/>
        <v/>
      </c>
      <c r="X248" s="60" t="str">
        <f t="shared" si="91"/>
        <v/>
      </c>
      <c r="Y248" s="60" t="str">
        <f t="shared" si="92"/>
        <v/>
      </c>
      <c r="Z248" s="60" t="str">
        <f t="shared" si="93"/>
        <v/>
      </c>
      <c r="AA248" s="60" t="str">
        <f t="shared" si="94"/>
        <v/>
      </c>
      <c r="AB248" s="60" t="str">
        <f t="shared" si="95"/>
        <v/>
      </c>
    </row>
    <row r="249" spans="2:28">
      <c r="B249" s="57" t="str">
        <f t="shared" si="74"/>
        <v/>
      </c>
      <c r="C249" s="58" t="str">
        <f t="shared" si="75"/>
        <v/>
      </c>
      <c r="D249" s="28" t="str">
        <f t="shared" si="76"/>
        <v/>
      </c>
      <c r="E249" s="28" t="str">
        <f t="shared" si="77"/>
        <v/>
      </c>
      <c r="F249" s="29" t="str">
        <f t="shared" si="78"/>
        <v/>
      </c>
      <c r="G249" s="60" t="str">
        <f t="shared" si="79"/>
        <v/>
      </c>
      <c r="H249" s="60" t="str">
        <f t="shared" si="80"/>
        <v/>
      </c>
      <c r="I249" s="60" t="str">
        <f t="shared" si="81"/>
        <v/>
      </c>
      <c r="J249" s="60" t="str">
        <f t="shared" si="82"/>
        <v/>
      </c>
      <c r="K249" s="60" t="str">
        <f t="shared" si="83"/>
        <v/>
      </c>
      <c r="L249" s="60" t="str">
        <f t="shared" si="84"/>
        <v/>
      </c>
      <c r="M249" s="60" t="str">
        <f t="shared" si="85"/>
        <v/>
      </c>
      <c r="Q249" s="57" t="str">
        <f t="shared" si="86"/>
        <v/>
      </c>
      <c r="R249" s="58" t="str">
        <f t="shared" si="87"/>
        <v/>
      </c>
      <c r="S249" s="28" t="str">
        <f t="shared" si="72"/>
        <v/>
      </c>
      <c r="T249" s="28" t="str">
        <f t="shared" si="88"/>
        <v/>
      </c>
      <c r="U249" s="29" t="str">
        <f t="shared" si="89"/>
        <v/>
      </c>
      <c r="V249" s="60" t="str">
        <f t="shared" si="73"/>
        <v/>
      </c>
      <c r="W249" s="60" t="str">
        <f t="shared" si="90"/>
        <v/>
      </c>
      <c r="X249" s="60" t="str">
        <f t="shared" si="91"/>
        <v/>
      </c>
      <c r="Y249" s="60" t="str">
        <f t="shared" si="92"/>
        <v/>
      </c>
      <c r="Z249" s="60" t="str">
        <f t="shared" si="93"/>
        <v/>
      </c>
      <c r="AA249" s="60" t="str">
        <f t="shared" si="94"/>
        <v/>
      </c>
      <c r="AB249" s="60" t="str">
        <f t="shared" si="95"/>
        <v/>
      </c>
    </row>
    <row r="250" spans="2:28">
      <c r="B250" s="57" t="str">
        <f t="shared" si="74"/>
        <v/>
      </c>
      <c r="C250" s="58" t="str">
        <f t="shared" si="75"/>
        <v/>
      </c>
      <c r="D250" s="28" t="str">
        <f t="shared" si="76"/>
        <v/>
      </c>
      <c r="E250" s="28" t="str">
        <f t="shared" si="77"/>
        <v/>
      </c>
      <c r="F250" s="29" t="str">
        <f t="shared" si="78"/>
        <v/>
      </c>
      <c r="G250" s="60" t="str">
        <f t="shared" si="79"/>
        <v/>
      </c>
      <c r="H250" s="60" t="str">
        <f t="shared" si="80"/>
        <v/>
      </c>
      <c r="I250" s="60" t="str">
        <f t="shared" si="81"/>
        <v/>
      </c>
      <c r="J250" s="60" t="str">
        <f t="shared" si="82"/>
        <v/>
      </c>
      <c r="K250" s="60" t="str">
        <f t="shared" si="83"/>
        <v/>
      </c>
      <c r="L250" s="60" t="str">
        <f t="shared" si="84"/>
        <v/>
      </c>
      <c r="M250" s="60" t="str">
        <f t="shared" si="85"/>
        <v/>
      </c>
      <c r="Q250" s="57" t="str">
        <f t="shared" si="86"/>
        <v/>
      </c>
      <c r="R250" s="58" t="str">
        <f t="shared" si="87"/>
        <v/>
      </c>
      <c r="S250" s="28" t="str">
        <f t="shared" si="72"/>
        <v/>
      </c>
      <c r="T250" s="28" t="str">
        <f t="shared" si="88"/>
        <v/>
      </c>
      <c r="U250" s="29" t="str">
        <f t="shared" si="89"/>
        <v/>
      </c>
      <c r="V250" s="60" t="str">
        <f t="shared" si="73"/>
        <v/>
      </c>
      <c r="W250" s="60" t="str">
        <f t="shared" si="90"/>
        <v/>
      </c>
      <c r="X250" s="60" t="str">
        <f t="shared" si="91"/>
        <v/>
      </c>
      <c r="Y250" s="60" t="str">
        <f t="shared" si="92"/>
        <v/>
      </c>
      <c r="Z250" s="60" t="str">
        <f t="shared" si="93"/>
        <v/>
      </c>
      <c r="AA250" s="60" t="str">
        <f t="shared" si="94"/>
        <v/>
      </c>
      <c r="AB250" s="60" t="str">
        <f t="shared" si="95"/>
        <v/>
      </c>
    </row>
    <row r="251" spans="2:28">
      <c r="B251" s="57" t="str">
        <f t="shared" si="74"/>
        <v/>
      </c>
      <c r="C251" s="58" t="str">
        <f t="shared" si="75"/>
        <v/>
      </c>
      <c r="D251" s="28" t="str">
        <f t="shared" si="76"/>
        <v/>
      </c>
      <c r="E251" s="28" t="str">
        <f t="shared" si="77"/>
        <v/>
      </c>
      <c r="F251" s="29" t="str">
        <f t="shared" si="78"/>
        <v/>
      </c>
      <c r="G251" s="60" t="str">
        <f t="shared" si="79"/>
        <v/>
      </c>
      <c r="H251" s="60" t="str">
        <f t="shared" si="80"/>
        <v/>
      </c>
      <c r="I251" s="60" t="str">
        <f t="shared" si="81"/>
        <v/>
      </c>
      <c r="J251" s="60" t="str">
        <f t="shared" si="82"/>
        <v/>
      </c>
      <c r="K251" s="60" t="str">
        <f t="shared" si="83"/>
        <v/>
      </c>
      <c r="L251" s="60" t="str">
        <f t="shared" si="84"/>
        <v/>
      </c>
      <c r="M251" s="60" t="str">
        <f t="shared" si="85"/>
        <v/>
      </c>
      <c r="Q251" s="57" t="str">
        <f t="shared" si="86"/>
        <v/>
      </c>
      <c r="R251" s="58" t="str">
        <f t="shared" si="87"/>
        <v/>
      </c>
      <c r="S251" s="28" t="str">
        <f t="shared" si="72"/>
        <v/>
      </c>
      <c r="T251" s="28" t="str">
        <f t="shared" si="88"/>
        <v/>
      </c>
      <c r="U251" s="29" t="str">
        <f t="shared" si="89"/>
        <v/>
      </c>
      <c r="V251" s="60" t="str">
        <f t="shared" si="73"/>
        <v/>
      </c>
      <c r="W251" s="60" t="str">
        <f t="shared" si="90"/>
        <v/>
      </c>
      <c r="X251" s="60" t="str">
        <f t="shared" si="91"/>
        <v/>
      </c>
      <c r="Y251" s="60" t="str">
        <f t="shared" si="92"/>
        <v/>
      </c>
      <c r="Z251" s="60" t="str">
        <f t="shared" si="93"/>
        <v/>
      </c>
      <c r="AA251" s="60" t="str">
        <f t="shared" si="94"/>
        <v/>
      </c>
      <c r="AB251" s="60" t="str">
        <f t="shared" si="95"/>
        <v/>
      </c>
    </row>
    <row r="252" spans="2:28">
      <c r="B252" s="57" t="str">
        <f t="shared" si="74"/>
        <v/>
      </c>
      <c r="C252" s="58" t="str">
        <f t="shared" si="75"/>
        <v/>
      </c>
      <c r="D252" s="28" t="str">
        <f t="shared" si="76"/>
        <v/>
      </c>
      <c r="E252" s="28" t="str">
        <f t="shared" si="77"/>
        <v/>
      </c>
      <c r="F252" s="29" t="str">
        <f t="shared" si="78"/>
        <v/>
      </c>
      <c r="G252" s="60" t="str">
        <f t="shared" si="79"/>
        <v/>
      </c>
      <c r="H252" s="60" t="str">
        <f t="shared" si="80"/>
        <v/>
      </c>
      <c r="I252" s="60" t="str">
        <f t="shared" si="81"/>
        <v/>
      </c>
      <c r="J252" s="60" t="str">
        <f t="shared" si="82"/>
        <v/>
      </c>
      <c r="K252" s="60" t="str">
        <f t="shared" si="83"/>
        <v/>
      </c>
      <c r="L252" s="60" t="str">
        <f t="shared" si="84"/>
        <v/>
      </c>
      <c r="M252" s="60" t="str">
        <f t="shared" si="85"/>
        <v/>
      </c>
      <c r="Q252" s="57" t="str">
        <f t="shared" si="86"/>
        <v/>
      </c>
      <c r="R252" s="58" t="str">
        <f t="shared" si="87"/>
        <v/>
      </c>
      <c r="S252" s="28" t="str">
        <f t="shared" si="72"/>
        <v/>
      </c>
      <c r="T252" s="28" t="str">
        <f t="shared" si="88"/>
        <v/>
      </c>
      <c r="U252" s="29" t="str">
        <f t="shared" si="89"/>
        <v/>
      </c>
      <c r="V252" s="60" t="str">
        <f t="shared" si="73"/>
        <v/>
      </c>
      <c r="W252" s="60" t="str">
        <f t="shared" si="90"/>
        <v/>
      </c>
      <c r="X252" s="60" t="str">
        <f t="shared" si="91"/>
        <v/>
      </c>
      <c r="Y252" s="60" t="str">
        <f t="shared" si="92"/>
        <v/>
      </c>
      <c r="Z252" s="60" t="str">
        <f t="shared" si="93"/>
        <v/>
      </c>
      <c r="AA252" s="60" t="str">
        <f t="shared" si="94"/>
        <v/>
      </c>
      <c r="AB252" s="60" t="str">
        <f t="shared" si="95"/>
        <v/>
      </c>
    </row>
    <row r="253" spans="2:28">
      <c r="B253" s="57" t="str">
        <f t="shared" si="74"/>
        <v/>
      </c>
      <c r="C253" s="58" t="str">
        <f t="shared" si="75"/>
        <v/>
      </c>
      <c r="D253" s="28" t="str">
        <f t="shared" si="76"/>
        <v/>
      </c>
      <c r="E253" s="28" t="str">
        <f t="shared" si="77"/>
        <v/>
      </c>
      <c r="F253" s="29" t="str">
        <f t="shared" si="78"/>
        <v/>
      </c>
      <c r="G253" s="60" t="str">
        <f t="shared" si="79"/>
        <v/>
      </c>
      <c r="H253" s="60" t="str">
        <f t="shared" si="80"/>
        <v/>
      </c>
      <c r="I253" s="60" t="str">
        <f t="shared" si="81"/>
        <v/>
      </c>
      <c r="J253" s="60" t="str">
        <f t="shared" si="82"/>
        <v/>
      </c>
      <c r="K253" s="60" t="str">
        <f t="shared" si="83"/>
        <v/>
      </c>
      <c r="L253" s="60" t="str">
        <f t="shared" si="84"/>
        <v/>
      </c>
      <c r="M253" s="60" t="str">
        <f t="shared" si="85"/>
        <v/>
      </c>
      <c r="Q253" s="57" t="str">
        <f t="shared" si="86"/>
        <v/>
      </c>
      <c r="R253" s="58" t="str">
        <f t="shared" si="87"/>
        <v/>
      </c>
      <c r="S253" s="28" t="str">
        <f t="shared" si="72"/>
        <v/>
      </c>
      <c r="T253" s="28" t="str">
        <f t="shared" si="88"/>
        <v/>
      </c>
      <c r="U253" s="29" t="str">
        <f t="shared" si="89"/>
        <v/>
      </c>
      <c r="V253" s="60" t="str">
        <f t="shared" si="73"/>
        <v/>
      </c>
      <c r="W253" s="60" t="str">
        <f t="shared" si="90"/>
        <v/>
      </c>
      <c r="X253" s="60" t="str">
        <f t="shared" si="91"/>
        <v/>
      </c>
      <c r="Y253" s="60" t="str">
        <f t="shared" si="92"/>
        <v/>
      </c>
      <c r="Z253" s="60" t="str">
        <f t="shared" si="93"/>
        <v/>
      </c>
      <c r="AA253" s="60" t="str">
        <f t="shared" si="94"/>
        <v/>
      </c>
      <c r="AB253" s="60" t="str">
        <f t="shared" si="95"/>
        <v/>
      </c>
    </row>
    <row r="254" spans="2:28">
      <c r="B254" s="57" t="str">
        <f t="shared" si="74"/>
        <v/>
      </c>
      <c r="C254" s="58" t="str">
        <f t="shared" si="75"/>
        <v/>
      </c>
      <c r="D254" s="28" t="str">
        <f t="shared" si="76"/>
        <v/>
      </c>
      <c r="E254" s="28" t="str">
        <f t="shared" si="77"/>
        <v/>
      </c>
      <c r="F254" s="29" t="str">
        <f t="shared" si="78"/>
        <v/>
      </c>
      <c r="G254" s="60" t="str">
        <f t="shared" si="79"/>
        <v/>
      </c>
      <c r="H254" s="60" t="str">
        <f t="shared" si="80"/>
        <v/>
      </c>
      <c r="I254" s="60" t="str">
        <f t="shared" si="81"/>
        <v/>
      </c>
      <c r="J254" s="60" t="str">
        <f t="shared" si="82"/>
        <v/>
      </c>
      <c r="K254" s="60" t="str">
        <f t="shared" si="83"/>
        <v/>
      </c>
      <c r="L254" s="60" t="str">
        <f t="shared" si="84"/>
        <v/>
      </c>
      <c r="M254" s="60" t="str">
        <f t="shared" si="85"/>
        <v/>
      </c>
      <c r="Q254" s="57" t="str">
        <f t="shared" si="86"/>
        <v/>
      </c>
      <c r="R254" s="58" t="str">
        <f t="shared" si="87"/>
        <v/>
      </c>
      <c r="S254" s="28" t="str">
        <f t="shared" si="72"/>
        <v/>
      </c>
      <c r="T254" s="28" t="str">
        <f t="shared" si="88"/>
        <v/>
      </c>
      <c r="U254" s="29" t="str">
        <f t="shared" si="89"/>
        <v/>
      </c>
      <c r="V254" s="60" t="str">
        <f t="shared" si="73"/>
        <v/>
      </c>
      <c r="W254" s="60" t="str">
        <f t="shared" si="90"/>
        <v/>
      </c>
      <c r="X254" s="60" t="str">
        <f t="shared" si="91"/>
        <v/>
      </c>
      <c r="Y254" s="60" t="str">
        <f t="shared" si="92"/>
        <v/>
      </c>
      <c r="Z254" s="60" t="str">
        <f t="shared" si="93"/>
        <v/>
      </c>
      <c r="AA254" s="60" t="str">
        <f t="shared" si="94"/>
        <v/>
      </c>
      <c r="AB254" s="60" t="str">
        <f t="shared" si="95"/>
        <v/>
      </c>
    </row>
    <row r="255" spans="2:28">
      <c r="B255" s="57" t="str">
        <f t="shared" si="74"/>
        <v/>
      </c>
      <c r="C255" s="58" t="str">
        <f t="shared" si="75"/>
        <v/>
      </c>
      <c r="D255" s="28" t="str">
        <f t="shared" si="76"/>
        <v/>
      </c>
      <c r="E255" s="28" t="str">
        <f t="shared" si="77"/>
        <v/>
      </c>
      <c r="F255" s="29" t="str">
        <f t="shared" si="78"/>
        <v/>
      </c>
      <c r="G255" s="60" t="str">
        <f t="shared" si="79"/>
        <v/>
      </c>
      <c r="H255" s="60" t="str">
        <f t="shared" si="80"/>
        <v/>
      </c>
      <c r="I255" s="60" t="str">
        <f t="shared" si="81"/>
        <v/>
      </c>
      <c r="J255" s="60" t="str">
        <f t="shared" si="82"/>
        <v/>
      </c>
      <c r="K255" s="60" t="str">
        <f t="shared" si="83"/>
        <v/>
      </c>
      <c r="L255" s="60" t="str">
        <f t="shared" si="84"/>
        <v/>
      </c>
      <c r="M255" s="60" t="str">
        <f t="shared" si="85"/>
        <v/>
      </c>
      <c r="Q255" s="57" t="str">
        <f t="shared" si="86"/>
        <v/>
      </c>
      <c r="R255" s="58" t="str">
        <f t="shared" si="87"/>
        <v/>
      </c>
      <c r="S255" s="28" t="str">
        <f t="shared" si="72"/>
        <v/>
      </c>
      <c r="T255" s="28" t="str">
        <f t="shared" si="88"/>
        <v/>
      </c>
      <c r="U255" s="29" t="str">
        <f t="shared" si="89"/>
        <v/>
      </c>
      <c r="V255" s="60" t="str">
        <f t="shared" si="73"/>
        <v/>
      </c>
      <c r="W255" s="60" t="str">
        <f t="shared" si="90"/>
        <v/>
      </c>
      <c r="X255" s="60" t="str">
        <f t="shared" si="91"/>
        <v/>
      </c>
      <c r="Y255" s="60" t="str">
        <f t="shared" si="92"/>
        <v/>
      </c>
      <c r="Z255" s="60" t="str">
        <f t="shared" si="93"/>
        <v/>
      </c>
      <c r="AA255" s="60" t="str">
        <f t="shared" si="94"/>
        <v/>
      </c>
      <c r="AB255" s="60" t="str">
        <f t="shared" si="95"/>
        <v/>
      </c>
    </row>
    <row r="256" spans="2:28">
      <c r="B256" s="57" t="str">
        <f t="shared" si="74"/>
        <v/>
      </c>
      <c r="C256" s="58" t="str">
        <f t="shared" si="75"/>
        <v/>
      </c>
      <c r="D256" s="28" t="str">
        <f t="shared" si="76"/>
        <v/>
      </c>
      <c r="E256" s="28" t="str">
        <f t="shared" si="77"/>
        <v/>
      </c>
      <c r="F256" s="29" t="str">
        <f t="shared" si="78"/>
        <v/>
      </c>
      <c r="G256" s="60" t="str">
        <f t="shared" si="79"/>
        <v/>
      </c>
      <c r="H256" s="60" t="str">
        <f t="shared" si="80"/>
        <v/>
      </c>
      <c r="I256" s="60" t="str">
        <f t="shared" si="81"/>
        <v/>
      </c>
      <c r="J256" s="60" t="str">
        <f t="shared" si="82"/>
        <v/>
      </c>
      <c r="K256" s="60" t="str">
        <f t="shared" si="83"/>
        <v/>
      </c>
      <c r="L256" s="60" t="str">
        <f t="shared" si="84"/>
        <v/>
      </c>
      <c r="M256" s="60" t="str">
        <f t="shared" si="85"/>
        <v/>
      </c>
      <c r="Q256" s="57" t="str">
        <f t="shared" si="86"/>
        <v/>
      </c>
      <c r="R256" s="58" t="str">
        <f t="shared" si="87"/>
        <v/>
      </c>
      <c r="S256" s="28" t="str">
        <f t="shared" si="72"/>
        <v/>
      </c>
      <c r="T256" s="28" t="str">
        <f t="shared" si="88"/>
        <v/>
      </c>
      <c r="U256" s="29" t="str">
        <f t="shared" si="89"/>
        <v/>
      </c>
      <c r="V256" s="60" t="str">
        <f t="shared" si="73"/>
        <v/>
      </c>
      <c r="W256" s="60" t="str">
        <f t="shared" si="90"/>
        <v/>
      </c>
      <c r="X256" s="60" t="str">
        <f t="shared" si="91"/>
        <v/>
      </c>
      <c r="Y256" s="60" t="str">
        <f t="shared" si="92"/>
        <v/>
      </c>
      <c r="Z256" s="60" t="str">
        <f t="shared" si="93"/>
        <v/>
      </c>
      <c r="AA256" s="60" t="str">
        <f t="shared" si="94"/>
        <v/>
      </c>
      <c r="AB256" s="60" t="str">
        <f t="shared" si="95"/>
        <v/>
      </c>
    </row>
    <row r="257" spans="2:28">
      <c r="B257" s="57" t="str">
        <f t="shared" si="74"/>
        <v/>
      </c>
      <c r="C257" s="58" t="str">
        <f t="shared" si="75"/>
        <v/>
      </c>
      <c r="D257" s="28" t="str">
        <f t="shared" si="76"/>
        <v/>
      </c>
      <c r="E257" s="28" t="str">
        <f t="shared" si="77"/>
        <v/>
      </c>
      <c r="F257" s="29" t="str">
        <f t="shared" si="78"/>
        <v/>
      </c>
      <c r="G257" s="60" t="str">
        <f t="shared" si="79"/>
        <v/>
      </c>
      <c r="H257" s="60" t="str">
        <f t="shared" si="80"/>
        <v/>
      </c>
      <c r="I257" s="60" t="str">
        <f t="shared" si="81"/>
        <v/>
      </c>
      <c r="J257" s="60" t="str">
        <f t="shared" si="82"/>
        <v/>
      </c>
      <c r="K257" s="60" t="str">
        <f t="shared" si="83"/>
        <v/>
      </c>
      <c r="L257" s="60" t="str">
        <f t="shared" si="84"/>
        <v/>
      </c>
      <c r="M257" s="60" t="str">
        <f t="shared" si="85"/>
        <v/>
      </c>
      <c r="Q257" s="57" t="str">
        <f t="shared" si="86"/>
        <v/>
      </c>
      <c r="R257" s="58" t="str">
        <f t="shared" si="87"/>
        <v/>
      </c>
      <c r="S257" s="28" t="str">
        <f t="shared" si="72"/>
        <v/>
      </c>
      <c r="T257" s="28" t="str">
        <f t="shared" si="88"/>
        <v/>
      </c>
      <c r="U257" s="29" t="str">
        <f t="shared" si="89"/>
        <v/>
      </c>
      <c r="V257" s="60" t="str">
        <f t="shared" si="73"/>
        <v/>
      </c>
      <c r="W257" s="60" t="str">
        <f t="shared" si="90"/>
        <v/>
      </c>
      <c r="X257" s="60" t="str">
        <f t="shared" si="91"/>
        <v/>
      </c>
      <c r="Y257" s="60" t="str">
        <f t="shared" si="92"/>
        <v/>
      </c>
      <c r="Z257" s="60" t="str">
        <f t="shared" si="93"/>
        <v/>
      </c>
      <c r="AA257" s="60" t="str">
        <f t="shared" si="94"/>
        <v/>
      </c>
      <c r="AB257" s="60" t="str">
        <f t="shared" si="95"/>
        <v/>
      </c>
    </row>
    <row r="258" spans="2:28">
      <c r="B258" s="57" t="str">
        <f t="shared" si="74"/>
        <v/>
      </c>
      <c r="C258" s="58" t="str">
        <f t="shared" si="75"/>
        <v/>
      </c>
      <c r="D258" s="28" t="str">
        <f t="shared" si="76"/>
        <v/>
      </c>
      <c r="E258" s="28" t="str">
        <f t="shared" si="77"/>
        <v/>
      </c>
      <c r="F258" s="29" t="str">
        <f t="shared" si="78"/>
        <v/>
      </c>
      <c r="G258" s="60" t="str">
        <f t="shared" si="79"/>
        <v/>
      </c>
      <c r="H258" s="60" t="str">
        <f t="shared" si="80"/>
        <v/>
      </c>
      <c r="I258" s="60" t="str">
        <f t="shared" si="81"/>
        <v/>
      </c>
      <c r="J258" s="60" t="str">
        <f t="shared" si="82"/>
        <v/>
      </c>
      <c r="K258" s="60" t="str">
        <f t="shared" si="83"/>
        <v/>
      </c>
      <c r="L258" s="60" t="str">
        <f t="shared" si="84"/>
        <v/>
      </c>
      <c r="M258" s="60" t="str">
        <f t="shared" si="85"/>
        <v/>
      </c>
      <c r="Q258" s="57" t="str">
        <f t="shared" si="86"/>
        <v/>
      </c>
      <c r="R258" s="58" t="str">
        <f t="shared" si="87"/>
        <v/>
      </c>
      <c r="S258" s="28" t="str">
        <f t="shared" si="72"/>
        <v/>
      </c>
      <c r="T258" s="28" t="str">
        <f t="shared" si="88"/>
        <v/>
      </c>
      <c r="U258" s="29" t="str">
        <f t="shared" si="89"/>
        <v/>
      </c>
      <c r="V258" s="60" t="str">
        <f t="shared" si="73"/>
        <v/>
      </c>
      <c r="W258" s="60" t="str">
        <f t="shared" si="90"/>
        <v/>
      </c>
      <c r="X258" s="60" t="str">
        <f t="shared" si="91"/>
        <v/>
      </c>
      <c r="Y258" s="60" t="str">
        <f t="shared" si="92"/>
        <v/>
      </c>
      <c r="Z258" s="60" t="str">
        <f t="shared" si="93"/>
        <v/>
      </c>
      <c r="AA258" s="60" t="str">
        <f t="shared" si="94"/>
        <v/>
      </c>
      <c r="AB258" s="60" t="str">
        <f t="shared" si="95"/>
        <v/>
      </c>
    </row>
    <row r="259" spans="2:28">
      <c r="B259" s="57" t="str">
        <f t="shared" si="74"/>
        <v/>
      </c>
      <c r="C259" s="58" t="str">
        <f t="shared" si="75"/>
        <v/>
      </c>
      <c r="D259" s="28" t="str">
        <f t="shared" si="76"/>
        <v/>
      </c>
      <c r="E259" s="28" t="str">
        <f t="shared" si="77"/>
        <v/>
      </c>
      <c r="F259" s="29" t="str">
        <f t="shared" si="78"/>
        <v/>
      </c>
      <c r="G259" s="60" t="str">
        <f t="shared" si="79"/>
        <v/>
      </c>
      <c r="H259" s="60" t="str">
        <f t="shared" si="80"/>
        <v/>
      </c>
      <c r="I259" s="60" t="str">
        <f t="shared" si="81"/>
        <v/>
      </c>
      <c r="J259" s="60" t="str">
        <f t="shared" si="82"/>
        <v/>
      </c>
      <c r="K259" s="60" t="str">
        <f t="shared" si="83"/>
        <v/>
      </c>
      <c r="L259" s="60" t="str">
        <f t="shared" si="84"/>
        <v/>
      </c>
      <c r="M259" s="60" t="str">
        <f t="shared" si="85"/>
        <v/>
      </c>
      <c r="Q259" s="57" t="str">
        <f t="shared" si="86"/>
        <v/>
      </c>
      <c r="R259" s="58" t="str">
        <f t="shared" si="87"/>
        <v/>
      </c>
      <c r="S259" s="28" t="str">
        <f t="shared" si="72"/>
        <v/>
      </c>
      <c r="T259" s="28" t="str">
        <f t="shared" si="88"/>
        <v/>
      </c>
      <c r="U259" s="29" t="str">
        <f t="shared" si="89"/>
        <v/>
      </c>
      <c r="V259" s="60" t="str">
        <f t="shared" si="73"/>
        <v/>
      </c>
      <c r="W259" s="60" t="str">
        <f t="shared" si="90"/>
        <v/>
      </c>
      <c r="X259" s="60" t="str">
        <f t="shared" si="91"/>
        <v/>
      </c>
      <c r="Y259" s="60" t="str">
        <f t="shared" si="92"/>
        <v/>
      </c>
      <c r="Z259" s="60" t="str">
        <f t="shared" si="93"/>
        <v/>
      </c>
      <c r="AA259" s="60" t="str">
        <f t="shared" si="94"/>
        <v/>
      </c>
      <c r="AB259" s="60" t="str">
        <f t="shared" si="95"/>
        <v/>
      </c>
    </row>
    <row r="260" spans="2:28">
      <c r="B260" s="57" t="str">
        <f t="shared" si="74"/>
        <v/>
      </c>
      <c r="C260" s="58" t="str">
        <f t="shared" si="75"/>
        <v/>
      </c>
      <c r="D260" s="28" t="str">
        <f t="shared" si="76"/>
        <v/>
      </c>
      <c r="E260" s="28" t="str">
        <f t="shared" si="77"/>
        <v/>
      </c>
      <c r="F260" s="29" t="str">
        <f t="shared" si="78"/>
        <v/>
      </c>
      <c r="G260" s="60" t="str">
        <f t="shared" si="79"/>
        <v/>
      </c>
      <c r="H260" s="60" t="str">
        <f t="shared" si="80"/>
        <v/>
      </c>
      <c r="I260" s="60" t="str">
        <f t="shared" si="81"/>
        <v/>
      </c>
      <c r="J260" s="60" t="str">
        <f t="shared" si="82"/>
        <v/>
      </c>
      <c r="K260" s="60" t="str">
        <f t="shared" si="83"/>
        <v/>
      </c>
      <c r="L260" s="60" t="str">
        <f t="shared" si="84"/>
        <v/>
      </c>
      <c r="M260" s="60" t="str">
        <f t="shared" si="85"/>
        <v/>
      </c>
      <c r="Q260" s="57" t="str">
        <f t="shared" si="86"/>
        <v/>
      </c>
      <c r="R260" s="58" t="str">
        <f t="shared" si="87"/>
        <v/>
      </c>
      <c r="S260" s="28" t="str">
        <f t="shared" si="72"/>
        <v/>
      </c>
      <c r="T260" s="28" t="str">
        <f t="shared" si="88"/>
        <v/>
      </c>
      <c r="U260" s="29" t="str">
        <f t="shared" si="89"/>
        <v/>
      </c>
      <c r="V260" s="60" t="str">
        <f t="shared" si="73"/>
        <v/>
      </c>
      <c r="W260" s="60" t="str">
        <f t="shared" si="90"/>
        <v/>
      </c>
      <c r="X260" s="60" t="str">
        <f t="shared" si="91"/>
        <v/>
      </c>
      <c r="Y260" s="60" t="str">
        <f t="shared" si="92"/>
        <v/>
      </c>
      <c r="Z260" s="60" t="str">
        <f t="shared" si="93"/>
        <v/>
      </c>
      <c r="AA260" s="60" t="str">
        <f t="shared" si="94"/>
        <v/>
      </c>
      <c r="AB260" s="60" t="str">
        <f t="shared" si="95"/>
        <v/>
      </c>
    </row>
    <row r="261" spans="2:28">
      <c r="B261" s="57" t="str">
        <f t="shared" si="74"/>
        <v/>
      </c>
      <c r="C261" s="58" t="str">
        <f t="shared" si="75"/>
        <v/>
      </c>
      <c r="D261" s="28" t="str">
        <f t="shared" si="76"/>
        <v/>
      </c>
      <c r="E261" s="28" t="str">
        <f t="shared" si="77"/>
        <v/>
      </c>
      <c r="F261" s="29" t="str">
        <f t="shared" si="78"/>
        <v/>
      </c>
      <c r="G261" s="60" t="str">
        <f t="shared" si="79"/>
        <v/>
      </c>
      <c r="H261" s="60" t="str">
        <f t="shared" si="80"/>
        <v/>
      </c>
      <c r="I261" s="60" t="str">
        <f t="shared" si="81"/>
        <v/>
      </c>
      <c r="J261" s="60" t="str">
        <f t="shared" si="82"/>
        <v/>
      </c>
      <c r="K261" s="60" t="str">
        <f t="shared" si="83"/>
        <v/>
      </c>
      <c r="L261" s="60" t="str">
        <f t="shared" si="84"/>
        <v/>
      </c>
      <c r="M261" s="60" t="str">
        <f t="shared" si="85"/>
        <v/>
      </c>
      <c r="Q261" s="57" t="str">
        <f t="shared" si="86"/>
        <v/>
      </c>
      <c r="R261" s="58" t="str">
        <f t="shared" si="87"/>
        <v/>
      </c>
      <c r="S261" s="28" t="str">
        <f t="shared" si="72"/>
        <v/>
      </c>
      <c r="T261" s="28" t="str">
        <f t="shared" si="88"/>
        <v/>
      </c>
      <c r="U261" s="29" t="str">
        <f t="shared" si="89"/>
        <v/>
      </c>
      <c r="V261" s="60" t="str">
        <f t="shared" si="73"/>
        <v/>
      </c>
      <c r="W261" s="60" t="str">
        <f t="shared" si="90"/>
        <v/>
      </c>
      <c r="X261" s="60" t="str">
        <f t="shared" si="91"/>
        <v/>
      </c>
      <c r="Y261" s="60" t="str">
        <f t="shared" si="92"/>
        <v/>
      </c>
      <c r="Z261" s="60" t="str">
        <f t="shared" si="93"/>
        <v/>
      </c>
      <c r="AA261" s="60" t="str">
        <f t="shared" si="94"/>
        <v/>
      </c>
      <c r="AB261" s="60" t="str">
        <f t="shared" si="95"/>
        <v/>
      </c>
    </row>
    <row r="262" spans="2:28">
      <c r="B262" s="57" t="str">
        <f t="shared" si="74"/>
        <v/>
      </c>
      <c r="C262" s="58" t="str">
        <f t="shared" si="75"/>
        <v/>
      </c>
      <c r="D262" s="28" t="str">
        <f t="shared" si="76"/>
        <v/>
      </c>
      <c r="E262" s="28" t="str">
        <f t="shared" si="77"/>
        <v/>
      </c>
      <c r="F262" s="29" t="str">
        <f t="shared" si="78"/>
        <v/>
      </c>
      <c r="G262" s="60" t="str">
        <f t="shared" si="79"/>
        <v/>
      </c>
      <c r="H262" s="60" t="str">
        <f t="shared" si="80"/>
        <v/>
      </c>
      <c r="I262" s="60" t="str">
        <f t="shared" si="81"/>
        <v/>
      </c>
      <c r="J262" s="60" t="str">
        <f t="shared" si="82"/>
        <v/>
      </c>
      <c r="K262" s="60" t="str">
        <f t="shared" si="83"/>
        <v/>
      </c>
      <c r="L262" s="60" t="str">
        <f t="shared" si="84"/>
        <v/>
      </c>
      <c r="M262" s="60" t="str">
        <f t="shared" si="85"/>
        <v/>
      </c>
      <c r="Q262" s="57" t="str">
        <f t="shared" si="86"/>
        <v/>
      </c>
      <c r="R262" s="58" t="str">
        <f t="shared" si="87"/>
        <v/>
      </c>
      <c r="S262" s="28" t="str">
        <f t="shared" si="72"/>
        <v/>
      </c>
      <c r="T262" s="28" t="str">
        <f t="shared" si="88"/>
        <v/>
      </c>
      <c r="U262" s="29" t="str">
        <f t="shared" si="89"/>
        <v/>
      </c>
      <c r="V262" s="60" t="str">
        <f t="shared" si="73"/>
        <v/>
      </c>
      <c r="W262" s="60" t="str">
        <f t="shared" si="90"/>
        <v/>
      </c>
      <c r="X262" s="60" t="str">
        <f t="shared" si="91"/>
        <v/>
      </c>
      <c r="Y262" s="60" t="str">
        <f t="shared" si="92"/>
        <v/>
      </c>
      <c r="Z262" s="60" t="str">
        <f t="shared" si="93"/>
        <v/>
      </c>
      <c r="AA262" s="60" t="str">
        <f t="shared" si="94"/>
        <v/>
      </c>
      <c r="AB262" s="60" t="str">
        <f t="shared" si="95"/>
        <v/>
      </c>
    </row>
    <row r="263" spans="2:28">
      <c r="B263" s="57" t="str">
        <f t="shared" si="74"/>
        <v/>
      </c>
      <c r="C263" s="58" t="str">
        <f t="shared" si="75"/>
        <v/>
      </c>
      <c r="D263" s="28" t="str">
        <f t="shared" si="76"/>
        <v/>
      </c>
      <c r="E263" s="28" t="str">
        <f t="shared" si="77"/>
        <v/>
      </c>
      <c r="F263" s="29" t="str">
        <f t="shared" si="78"/>
        <v/>
      </c>
      <c r="G263" s="60" t="str">
        <f t="shared" si="79"/>
        <v/>
      </c>
      <c r="H263" s="60" t="str">
        <f t="shared" si="80"/>
        <v/>
      </c>
      <c r="I263" s="60" t="str">
        <f t="shared" si="81"/>
        <v/>
      </c>
      <c r="J263" s="60" t="str">
        <f t="shared" si="82"/>
        <v/>
      </c>
      <c r="K263" s="60" t="str">
        <f t="shared" si="83"/>
        <v/>
      </c>
      <c r="L263" s="60" t="str">
        <f t="shared" si="84"/>
        <v/>
      </c>
      <c r="M263" s="60" t="str">
        <f t="shared" si="85"/>
        <v/>
      </c>
      <c r="Q263" s="57" t="str">
        <f t="shared" si="86"/>
        <v/>
      </c>
      <c r="R263" s="58" t="str">
        <f t="shared" si="87"/>
        <v/>
      </c>
      <c r="S263" s="28" t="str">
        <f t="shared" si="72"/>
        <v/>
      </c>
      <c r="T263" s="28" t="str">
        <f t="shared" si="88"/>
        <v/>
      </c>
      <c r="U263" s="29" t="str">
        <f t="shared" si="89"/>
        <v/>
      </c>
      <c r="V263" s="60" t="str">
        <f t="shared" si="73"/>
        <v/>
      </c>
      <c r="W263" s="60" t="str">
        <f t="shared" si="90"/>
        <v/>
      </c>
      <c r="X263" s="60" t="str">
        <f t="shared" si="91"/>
        <v/>
      </c>
      <c r="Y263" s="60" t="str">
        <f t="shared" si="92"/>
        <v/>
      </c>
      <c r="Z263" s="60" t="str">
        <f t="shared" si="93"/>
        <v/>
      </c>
      <c r="AA263" s="60" t="str">
        <f t="shared" si="94"/>
        <v/>
      </c>
      <c r="AB263" s="60" t="str">
        <f t="shared" si="95"/>
        <v/>
      </c>
    </row>
    <row r="264" spans="2:28">
      <c r="B264" s="57" t="str">
        <f t="shared" si="74"/>
        <v/>
      </c>
      <c r="C264" s="58" t="str">
        <f t="shared" si="75"/>
        <v/>
      </c>
      <c r="D264" s="28" t="str">
        <f t="shared" si="76"/>
        <v/>
      </c>
      <c r="E264" s="28" t="str">
        <f t="shared" si="77"/>
        <v/>
      </c>
      <c r="F264" s="29" t="str">
        <f t="shared" si="78"/>
        <v/>
      </c>
      <c r="G264" s="60" t="str">
        <f t="shared" si="79"/>
        <v/>
      </c>
      <c r="H264" s="60" t="str">
        <f t="shared" si="80"/>
        <v/>
      </c>
      <c r="I264" s="60" t="str">
        <f t="shared" si="81"/>
        <v/>
      </c>
      <c r="J264" s="60" t="str">
        <f t="shared" si="82"/>
        <v/>
      </c>
      <c r="K264" s="60" t="str">
        <f t="shared" si="83"/>
        <v/>
      </c>
      <c r="L264" s="60" t="str">
        <f t="shared" si="84"/>
        <v/>
      </c>
      <c r="M264" s="60" t="str">
        <f t="shared" si="85"/>
        <v/>
      </c>
      <c r="Q264" s="57" t="str">
        <f t="shared" si="86"/>
        <v/>
      </c>
      <c r="R264" s="58" t="str">
        <f t="shared" si="87"/>
        <v/>
      </c>
      <c r="S264" s="28" t="str">
        <f t="shared" si="72"/>
        <v/>
      </c>
      <c r="T264" s="28" t="str">
        <f t="shared" si="88"/>
        <v/>
      </c>
      <c r="U264" s="29" t="str">
        <f t="shared" si="89"/>
        <v/>
      </c>
      <c r="V264" s="60" t="str">
        <f t="shared" si="73"/>
        <v/>
      </c>
      <c r="W264" s="60" t="str">
        <f t="shared" si="90"/>
        <v/>
      </c>
      <c r="X264" s="60" t="str">
        <f t="shared" si="91"/>
        <v/>
      </c>
      <c r="Y264" s="60" t="str">
        <f t="shared" si="92"/>
        <v/>
      </c>
      <c r="Z264" s="60" t="str">
        <f t="shared" si="93"/>
        <v/>
      </c>
      <c r="AA264" s="60" t="str">
        <f t="shared" si="94"/>
        <v/>
      </c>
      <c r="AB264" s="60" t="str">
        <f t="shared" si="95"/>
        <v/>
      </c>
    </row>
    <row r="265" spans="2:28">
      <c r="B265" s="57" t="str">
        <f t="shared" si="74"/>
        <v/>
      </c>
      <c r="C265" s="58" t="str">
        <f t="shared" si="75"/>
        <v/>
      </c>
      <c r="D265" s="28" t="str">
        <f t="shared" si="76"/>
        <v/>
      </c>
      <c r="E265" s="28" t="str">
        <f t="shared" si="77"/>
        <v/>
      </c>
      <c r="F265" s="29" t="str">
        <f t="shared" si="78"/>
        <v/>
      </c>
      <c r="G265" s="60" t="str">
        <f t="shared" si="79"/>
        <v/>
      </c>
      <c r="H265" s="60" t="str">
        <f t="shared" si="80"/>
        <v/>
      </c>
      <c r="I265" s="60" t="str">
        <f t="shared" si="81"/>
        <v/>
      </c>
      <c r="J265" s="60" t="str">
        <f t="shared" si="82"/>
        <v/>
      </c>
      <c r="K265" s="60" t="str">
        <f t="shared" si="83"/>
        <v/>
      </c>
      <c r="L265" s="60" t="str">
        <f t="shared" si="84"/>
        <v/>
      </c>
      <c r="M265" s="60" t="str">
        <f t="shared" si="85"/>
        <v/>
      </c>
      <c r="Q265" s="57" t="str">
        <f t="shared" si="86"/>
        <v/>
      </c>
      <c r="R265" s="58" t="str">
        <f t="shared" si="87"/>
        <v/>
      </c>
      <c r="S265" s="28" t="str">
        <f t="shared" si="72"/>
        <v/>
      </c>
      <c r="T265" s="28" t="str">
        <f t="shared" si="88"/>
        <v/>
      </c>
      <c r="U265" s="29" t="str">
        <f t="shared" si="89"/>
        <v/>
      </c>
      <c r="V265" s="60" t="str">
        <f t="shared" si="73"/>
        <v/>
      </c>
      <c r="W265" s="60" t="str">
        <f t="shared" si="90"/>
        <v/>
      </c>
      <c r="X265" s="60" t="str">
        <f t="shared" si="91"/>
        <v/>
      </c>
      <c r="Y265" s="60" t="str">
        <f t="shared" si="92"/>
        <v/>
      </c>
      <c r="Z265" s="60" t="str">
        <f t="shared" si="93"/>
        <v/>
      </c>
      <c r="AA265" s="60" t="str">
        <f t="shared" si="94"/>
        <v/>
      </c>
      <c r="AB265" s="60" t="str">
        <f t="shared" si="95"/>
        <v/>
      </c>
    </row>
    <row r="266" spans="2:28">
      <c r="B266" s="57" t="str">
        <f t="shared" si="74"/>
        <v/>
      </c>
      <c r="C266" s="58" t="str">
        <f t="shared" si="75"/>
        <v/>
      </c>
      <c r="D266" s="28" t="str">
        <f t="shared" si="76"/>
        <v/>
      </c>
      <c r="E266" s="28" t="str">
        <f t="shared" si="77"/>
        <v/>
      </c>
      <c r="F266" s="29" t="str">
        <f t="shared" si="78"/>
        <v/>
      </c>
      <c r="G266" s="60" t="str">
        <f t="shared" si="79"/>
        <v/>
      </c>
      <c r="H266" s="60" t="str">
        <f t="shared" si="80"/>
        <v/>
      </c>
      <c r="I266" s="60" t="str">
        <f t="shared" si="81"/>
        <v/>
      </c>
      <c r="J266" s="60" t="str">
        <f t="shared" si="82"/>
        <v/>
      </c>
      <c r="K266" s="60" t="str">
        <f t="shared" si="83"/>
        <v/>
      </c>
      <c r="L266" s="60" t="str">
        <f t="shared" si="84"/>
        <v/>
      </c>
      <c r="M266" s="60" t="str">
        <f t="shared" si="85"/>
        <v/>
      </c>
      <c r="Q266" s="57" t="str">
        <f t="shared" si="86"/>
        <v/>
      </c>
      <c r="R266" s="58" t="str">
        <f t="shared" si="87"/>
        <v/>
      </c>
      <c r="S266" s="28" t="str">
        <f t="shared" si="72"/>
        <v/>
      </c>
      <c r="T266" s="28" t="str">
        <f t="shared" si="88"/>
        <v/>
      </c>
      <c r="U266" s="29" t="str">
        <f t="shared" si="89"/>
        <v/>
      </c>
      <c r="V266" s="60" t="str">
        <f t="shared" si="73"/>
        <v/>
      </c>
      <c r="W266" s="60" t="str">
        <f t="shared" si="90"/>
        <v/>
      </c>
      <c r="X266" s="60" t="str">
        <f t="shared" si="91"/>
        <v/>
      </c>
      <c r="Y266" s="60" t="str">
        <f t="shared" si="92"/>
        <v/>
      </c>
      <c r="Z266" s="60" t="str">
        <f t="shared" si="93"/>
        <v/>
      </c>
      <c r="AA266" s="60" t="str">
        <f t="shared" si="94"/>
        <v/>
      </c>
      <c r="AB266" s="60" t="str">
        <f t="shared" si="95"/>
        <v/>
      </c>
    </row>
    <row r="267" spans="2:28">
      <c r="B267" s="57" t="str">
        <f t="shared" si="74"/>
        <v/>
      </c>
      <c r="C267" s="58" t="str">
        <f t="shared" si="75"/>
        <v/>
      </c>
      <c r="D267" s="28" t="str">
        <f t="shared" si="76"/>
        <v/>
      </c>
      <c r="E267" s="28" t="str">
        <f t="shared" si="77"/>
        <v/>
      </c>
      <c r="F267" s="29" t="str">
        <f t="shared" si="78"/>
        <v/>
      </c>
      <c r="G267" s="60" t="str">
        <f t="shared" si="79"/>
        <v/>
      </c>
      <c r="H267" s="60" t="str">
        <f t="shared" si="80"/>
        <v/>
      </c>
      <c r="I267" s="60" t="str">
        <f t="shared" si="81"/>
        <v/>
      </c>
      <c r="J267" s="60" t="str">
        <f t="shared" si="82"/>
        <v/>
      </c>
      <c r="K267" s="60" t="str">
        <f t="shared" si="83"/>
        <v/>
      </c>
      <c r="L267" s="60" t="str">
        <f t="shared" si="84"/>
        <v/>
      </c>
      <c r="M267" s="60" t="str">
        <f t="shared" si="85"/>
        <v/>
      </c>
      <c r="Q267" s="57" t="str">
        <f t="shared" si="86"/>
        <v/>
      </c>
      <c r="R267" s="58" t="str">
        <f t="shared" si="87"/>
        <v/>
      </c>
      <c r="S267" s="28" t="str">
        <f t="shared" si="72"/>
        <v/>
      </c>
      <c r="T267" s="28" t="str">
        <f t="shared" si="88"/>
        <v/>
      </c>
      <c r="U267" s="29" t="str">
        <f t="shared" si="89"/>
        <v/>
      </c>
      <c r="V267" s="60" t="str">
        <f t="shared" si="73"/>
        <v/>
      </c>
      <c r="W267" s="60" t="str">
        <f t="shared" si="90"/>
        <v/>
      </c>
      <c r="X267" s="60" t="str">
        <f t="shared" si="91"/>
        <v/>
      </c>
      <c r="Y267" s="60" t="str">
        <f t="shared" si="92"/>
        <v/>
      </c>
      <c r="Z267" s="60" t="str">
        <f t="shared" si="93"/>
        <v/>
      </c>
      <c r="AA267" s="60" t="str">
        <f t="shared" si="94"/>
        <v/>
      </c>
      <c r="AB267" s="60" t="str">
        <f t="shared" si="95"/>
        <v/>
      </c>
    </row>
    <row r="268" spans="2:28">
      <c r="B268" s="57" t="str">
        <f t="shared" si="74"/>
        <v/>
      </c>
      <c r="C268" s="58" t="str">
        <f t="shared" si="75"/>
        <v/>
      </c>
      <c r="D268" s="28" t="str">
        <f t="shared" si="76"/>
        <v/>
      </c>
      <c r="E268" s="28" t="str">
        <f t="shared" si="77"/>
        <v/>
      </c>
      <c r="F268" s="29" t="str">
        <f t="shared" si="78"/>
        <v/>
      </c>
      <c r="G268" s="60" t="str">
        <f t="shared" si="79"/>
        <v/>
      </c>
      <c r="H268" s="60" t="str">
        <f t="shared" si="80"/>
        <v/>
      </c>
      <c r="I268" s="60" t="str">
        <f t="shared" si="81"/>
        <v/>
      </c>
      <c r="J268" s="60" t="str">
        <f t="shared" si="82"/>
        <v/>
      </c>
      <c r="K268" s="60" t="str">
        <f t="shared" si="83"/>
        <v/>
      </c>
      <c r="L268" s="60" t="str">
        <f t="shared" si="84"/>
        <v/>
      </c>
      <c r="M268" s="60" t="str">
        <f t="shared" si="85"/>
        <v/>
      </c>
      <c r="Q268" s="57" t="str">
        <f t="shared" si="86"/>
        <v/>
      </c>
      <c r="R268" s="58" t="str">
        <f t="shared" si="87"/>
        <v/>
      </c>
      <c r="S268" s="28" t="str">
        <f t="shared" si="72"/>
        <v/>
      </c>
      <c r="T268" s="28" t="str">
        <f t="shared" si="88"/>
        <v/>
      </c>
      <c r="U268" s="29" t="str">
        <f t="shared" si="89"/>
        <v/>
      </c>
      <c r="V268" s="60" t="str">
        <f t="shared" si="73"/>
        <v/>
      </c>
      <c r="W268" s="60" t="str">
        <f t="shared" si="90"/>
        <v/>
      </c>
      <c r="X268" s="60" t="str">
        <f t="shared" si="91"/>
        <v/>
      </c>
      <c r="Y268" s="60" t="str">
        <f t="shared" si="92"/>
        <v/>
      </c>
      <c r="Z268" s="60" t="str">
        <f t="shared" si="93"/>
        <v/>
      </c>
      <c r="AA268" s="60" t="str">
        <f t="shared" si="94"/>
        <v/>
      </c>
      <c r="AB268" s="60" t="str">
        <f t="shared" si="95"/>
        <v/>
      </c>
    </row>
    <row r="269" spans="2:28">
      <c r="B269" s="57" t="str">
        <f t="shared" si="74"/>
        <v/>
      </c>
      <c r="C269" s="58" t="str">
        <f t="shared" si="75"/>
        <v/>
      </c>
      <c r="D269" s="28" t="str">
        <f t="shared" si="76"/>
        <v/>
      </c>
      <c r="E269" s="28" t="str">
        <f t="shared" si="77"/>
        <v/>
      </c>
      <c r="F269" s="29" t="str">
        <f t="shared" si="78"/>
        <v/>
      </c>
      <c r="G269" s="60" t="str">
        <f t="shared" si="79"/>
        <v/>
      </c>
      <c r="H269" s="60" t="str">
        <f t="shared" si="80"/>
        <v/>
      </c>
      <c r="I269" s="60" t="str">
        <f t="shared" si="81"/>
        <v/>
      </c>
      <c r="J269" s="60" t="str">
        <f t="shared" si="82"/>
        <v/>
      </c>
      <c r="K269" s="60" t="str">
        <f t="shared" si="83"/>
        <v/>
      </c>
      <c r="L269" s="60" t="str">
        <f t="shared" si="84"/>
        <v/>
      </c>
      <c r="M269" s="60" t="str">
        <f t="shared" si="85"/>
        <v/>
      </c>
      <c r="Q269" s="57" t="str">
        <f t="shared" si="86"/>
        <v/>
      </c>
      <c r="R269" s="58" t="str">
        <f t="shared" si="87"/>
        <v/>
      </c>
      <c r="S269" s="28" t="str">
        <f t="shared" ref="S269:S332" si="96">IF(Q269="","",EOMONTH(S268,1))</f>
        <v/>
      </c>
      <c r="T269" s="28" t="str">
        <f t="shared" si="88"/>
        <v/>
      </c>
      <c r="U269" s="29" t="str">
        <f t="shared" si="89"/>
        <v/>
      </c>
      <c r="V269" s="60" t="str">
        <f t="shared" ref="V269:V332" si="97">IF(Q269="","",AA268)</f>
        <v/>
      </c>
      <c r="W269" s="60" t="str">
        <f t="shared" si="90"/>
        <v/>
      </c>
      <c r="X269" s="60" t="str">
        <f t="shared" si="91"/>
        <v/>
      </c>
      <c r="Y269" s="60" t="str">
        <f t="shared" si="92"/>
        <v/>
      </c>
      <c r="Z269" s="60" t="str">
        <f t="shared" si="93"/>
        <v/>
      </c>
      <c r="AA269" s="60" t="str">
        <f t="shared" si="94"/>
        <v/>
      </c>
      <c r="AB269" s="60" t="str">
        <f t="shared" si="95"/>
        <v/>
      </c>
    </row>
    <row r="270" spans="2:28">
      <c r="B270" s="57" t="str">
        <f t="shared" si="74"/>
        <v/>
      </c>
      <c r="C270" s="58" t="str">
        <f t="shared" si="75"/>
        <v/>
      </c>
      <c r="D270" s="28" t="str">
        <f t="shared" si="76"/>
        <v/>
      </c>
      <c r="E270" s="28" t="str">
        <f t="shared" si="77"/>
        <v/>
      </c>
      <c r="F270" s="29" t="str">
        <f t="shared" si="78"/>
        <v/>
      </c>
      <c r="G270" s="60" t="str">
        <f t="shared" si="79"/>
        <v/>
      </c>
      <c r="H270" s="60" t="str">
        <f t="shared" si="80"/>
        <v/>
      </c>
      <c r="I270" s="60" t="str">
        <f t="shared" si="81"/>
        <v/>
      </c>
      <c r="J270" s="60" t="str">
        <f t="shared" si="82"/>
        <v/>
      </c>
      <c r="K270" s="60" t="str">
        <f t="shared" si="83"/>
        <v/>
      </c>
      <c r="L270" s="60" t="str">
        <f t="shared" si="84"/>
        <v/>
      </c>
      <c r="M270" s="60" t="str">
        <f t="shared" si="85"/>
        <v/>
      </c>
      <c r="Q270" s="57" t="str">
        <f t="shared" si="86"/>
        <v/>
      </c>
      <c r="R270" s="58" t="str">
        <f t="shared" si="87"/>
        <v/>
      </c>
      <c r="S270" s="28" t="str">
        <f t="shared" si="96"/>
        <v/>
      </c>
      <c r="T270" s="28" t="str">
        <f t="shared" si="88"/>
        <v/>
      </c>
      <c r="U270" s="29" t="str">
        <f t="shared" si="89"/>
        <v/>
      </c>
      <c r="V270" s="60" t="str">
        <f t="shared" si="97"/>
        <v/>
      </c>
      <c r="W270" s="60" t="str">
        <f t="shared" si="90"/>
        <v/>
      </c>
      <c r="X270" s="60" t="str">
        <f t="shared" si="91"/>
        <v/>
      </c>
      <c r="Y270" s="60" t="str">
        <f t="shared" si="92"/>
        <v/>
      </c>
      <c r="Z270" s="60" t="str">
        <f t="shared" si="93"/>
        <v/>
      </c>
      <c r="AA270" s="60" t="str">
        <f t="shared" si="94"/>
        <v/>
      </c>
      <c r="AB270" s="60" t="str">
        <f t="shared" si="95"/>
        <v/>
      </c>
    </row>
    <row r="271" spans="2:28">
      <c r="B271" s="57" t="str">
        <f t="shared" si="74"/>
        <v/>
      </c>
      <c r="C271" s="58" t="str">
        <f t="shared" si="75"/>
        <v/>
      </c>
      <c r="D271" s="28" t="str">
        <f t="shared" si="76"/>
        <v/>
      </c>
      <c r="E271" s="28" t="str">
        <f t="shared" si="77"/>
        <v/>
      </c>
      <c r="F271" s="29" t="str">
        <f t="shared" si="78"/>
        <v/>
      </c>
      <c r="G271" s="60" t="str">
        <f t="shared" si="79"/>
        <v/>
      </c>
      <c r="H271" s="60" t="str">
        <f t="shared" si="80"/>
        <v/>
      </c>
      <c r="I271" s="60" t="str">
        <f t="shared" si="81"/>
        <v/>
      </c>
      <c r="J271" s="60" t="str">
        <f t="shared" si="82"/>
        <v/>
      </c>
      <c r="K271" s="60" t="str">
        <f t="shared" si="83"/>
        <v/>
      </c>
      <c r="L271" s="60" t="str">
        <f t="shared" si="84"/>
        <v/>
      </c>
      <c r="M271" s="60" t="str">
        <f t="shared" si="85"/>
        <v/>
      </c>
      <c r="Q271" s="57" t="str">
        <f t="shared" si="86"/>
        <v/>
      </c>
      <c r="R271" s="58" t="str">
        <f t="shared" si="87"/>
        <v/>
      </c>
      <c r="S271" s="28" t="str">
        <f t="shared" si="96"/>
        <v/>
      </c>
      <c r="T271" s="28" t="str">
        <f t="shared" si="88"/>
        <v/>
      </c>
      <c r="U271" s="29" t="str">
        <f t="shared" si="89"/>
        <v/>
      </c>
      <c r="V271" s="60" t="str">
        <f t="shared" si="97"/>
        <v/>
      </c>
      <c r="W271" s="60" t="str">
        <f t="shared" si="90"/>
        <v/>
      </c>
      <c r="X271" s="60" t="str">
        <f t="shared" si="91"/>
        <v/>
      </c>
      <c r="Y271" s="60" t="str">
        <f t="shared" si="92"/>
        <v/>
      </c>
      <c r="Z271" s="60" t="str">
        <f t="shared" si="93"/>
        <v/>
      </c>
      <c r="AA271" s="60" t="str">
        <f t="shared" si="94"/>
        <v/>
      </c>
      <c r="AB271" s="60" t="str">
        <f t="shared" si="95"/>
        <v/>
      </c>
    </row>
    <row r="272" spans="2:28">
      <c r="B272" s="57" t="str">
        <f t="shared" si="74"/>
        <v/>
      </c>
      <c r="C272" s="58" t="str">
        <f t="shared" si="75"/>
        <v/>
      </c>
      <c r="D272" s="28" t="str">
        <f t="shared" si="76"/>
        <v/>
      </c>
      <c r="E272" s="28" t="str">
        <f t="shared" si="77"/>
        <v/>
      </c>
      <c r="F272" s="29" t="str">
        <f t="shared" si="78"/>
        <v/>
      </c>
      <c r="G272" s="60" t="str">
        <f t="shared" si="79"/>
        <v/>
      </c>
      <c r="H272" s="60" t="str">
        <f t="shared" si="80"/>
        <v/>
      </c>
      <c r="I272" s="60" t="str">
        <f t="shared" si="81"/>
        <v/>
      </c>
      <c r="J272" s="60" t="str">
        <f t="shared" si="82"/>
        <v/>
      </c>
      <c r="K272" s="60" t="str">
        <f t="shared" si="83"/>
        <v/>
      </c>
      <c r="L272" s="60" t="str">
        <f t="shared" si="84"/>
        <v/>
      </c>
      <c r="M272" s="60" t="str">
        <f t="shared" si="85"/>
        <v/>
      </c>
      <c r="Q272" s="57" t="str">
        <f t="shared" si="86"/>
        <v/>
      </c>
      <c r="R272" s="58" t="str">
        <f t="shared" si="87"/>
        <v/>
      </c>
      <c r="S272" s="28" t="str">
        <f t="shared" si="96"/>
        <v/>
      </c>
      <c r="T272" s="28" t="str">
        <f t="shared" si="88"/>
        <v/>
      </c>
      <c r="U272" s="29" t="str">
        <f t="shared" si="89"/>
        <v/>
      </c>
      <c r="V272" s="60" t="str">
        <f t="shared" si="97"/>
        <v/>
      </c>
      <c r="W272" s="60" t="str">
        <f t="shared" si="90"/>
        <v/>
      </c>
      <c r="X272" s="60" t="str">
        <f t="shared" si="91"/>
        <v/>
      </c>
      <c r="Y272" s="60" t="str">
        <f t="shared" si="92"/>
        <v/>
      </c>
      <c r="Z272" s="60" t="str">
        <f t="shared" si="93"/>
        <v/>
      </c>
      <c r="AA272" s="60" t="str">
        <f t="shared" si="94"/>
        <v/>
      </c>
      <c r="AB272" s="60" t="str">
        <f t="shared" si="95"/>
        <v/>
      </c>
    </row>
    <row r="273" spans="2:28">
      <c r="B273" s="57" t="str">
        <f t="shared" si="74"/>
        <v/>
      </c>
      <c r="C273" s="58" t="str">
        <f t="shared" si="75"/>
        <v/>
      </c>
      <c r="D273" s="28" t="str">
        <f t="shared" si="76"/>
        <v/>
      </c>
      <c r="E273" s="28" t="str">
        <f t="shared" si="77"/>
        <v/>
      </c>
      <c r="F273" s="29" t="str">
        <f t="shared" si="78"/>
        <v/>
      </c>
      <c r="G273" s="60" t="str">
        <f t="shared" si="79"/>
        <v/>
      </c>
      <c r="H273" s="60" t="str">
        <f t="shared" si="80"/>
        <v/>
      </c>
      <c r="I273" s="60" t="str">
        <f t="shared" si="81"/>
        <v/>
      </c>
      <c r="J273" s="60" t="str">
        <f t="shared" si="82"/>
        <v/>
      </c>
      <c r="K273" s="60" t="str">
        <f t="shared" si="83"/>
        <v/>
      </c>
      <c r="L273" s="60" t="str">
        <f t="shared" si="84"/>
        <v/>
      </c>
      <c r="M273" s="60" t="str">
        <f t="shared" si="85"/>
        <v/>
      </c>
      <c r="Q273" s="57" t="str">
        <f t="shared" si="86"/>
        <v/>
      </c>
      <c r="R273" s="58" t="str">
        <f t="shared" si="87"/>
        <v/>
      </c>
      <c r="S273" s="28" t="str">
        <f t="shared" si="96"/>
        <v/>
      </c>
      <c r="T273" s="28" t="str">
        <f t="shared" si="88"/>
        <v/>
      </c>
      <c r="U273" s="29" t="str">
        <f t="shared" si="89"/>
        <v/>
      </c>
      <c r="V273" s="60" t="str">
        <f t="shared" si="97"/>
        <v/>
      </c>
      <c r="W273" s="60" t="str">
        <f t="shared" si="90"/>
        <v/>
      </c>
      <c r="X273" s="60" t="str">
        <f t="shared" si="91"/>
        <v/>
      </c>
      <c r="Y273" s="60" t="str">
        <f t="shared" si="92"/>
        <v/>
      </c>
      <c r="Z273" s="60" t="str">
        <f t="shared" si="93"/>
        <v/>
      </c>
      <c r="AA273" s="60" t="str">
        <f t="shared" si="94"/>
        <v/>
      </c>
      <c r="AB273" s="60" t="str">
        <f t="shared" si="95"/>
        <v/>
      </c>
    </row>
    <row r="274" spans="2:28">
      <c r="B274" s="57" t="str">
        <f t="shared" si="74"/>
        <v/>
      </c>
      <c r="C274" s="58" t="str">
        <f t="shared" si="75"/>
        <v/>
      </c>
      <c r="D274" s="28" t="str">
        <f t="shared" si="76"/>
        <v/>
      </c>
      <c r="E274" s="28" t="str">
        <f t="shared" si="77"/>
        <v/>
      </c>
      <c r="F274" s="29" t="str">
        <f t="shared" si="78"/>
        <v/>
      </c>
      <c r="G274" s="60" t="str">
        <f t="shared" si="79"/>
        <v/>
      </c>
      <c r="H274" s="60" t="str">
        <f t="shared" si="80"/>
        <v/>
      </c>
      <c r="I274" s="60" t="str">
        <f t="shared" si="81"/>
        <v/>
      </c>
      <c r="J274" s="60" t="str">
        <f t="shared" si="82"/>
        <v/>
      </c>
      <c r="K274" s="60" t="str">
        <f t="shared" si="83"/>
        <v/>
      </c>
      <c r="L274" s="60" t="str">
        <f t="shared" si="84"/>
        <v/>
      </c>
      <c r="M274" s="60" t="str">
        <f t="shared" si="85"/>
        <v/>
      </c>
      <c r="Q274" s="57" t="str">
        <f t="shared" si="86"/>
        <v/>
      </c>
      <c r="R274" s="58" t="str">
        <f t="shared" si="87"/>
        <v/>
      </c>
      <c r="S274" s="28" t="str">
        <f t="shared" si="96"/>
        <v/>
      </c>
      <c r="T274" s="28" t="str">
        <f t="shared" si="88"/>
        <v/>
      </c>
      <c r="U274" s="29" t="str">
        <f t="shared" si="89"/>
        <v/>
      </c>
      <c r="V274" s="60" t="str">
        <f t="shared" si="97"/>
        <v/>
      </c>
      <c r="W274" s="60" t="str">
        <f t="shared" si="90"/>
        <v/>
      </c>
      <c r="X274" s="60" t="str">
        <f t="shared" si="91"/>
        <v/>
      </c>
      <c r="Y274" s="60" t="str">
        <f t="shared" si="92"/>
        <v/>
      </c>
      <c r="Z274" s="60" t="str">
        <f t="shared" si="93"/>
        <v/>
      </c>
      <c r="AA274" s="60" t="str">
        <f t="shared" si="94"/>
        <v/>
      </c>
      <c r="AB274" s="60" t="str">
        <f t="shared" si="95"/>
        <v/>
      </c>
    </row>
    <row r="275" spans="2:28">
      <c r="B275" s="57" t="str">
        <f t="shared" ref="B275:B338" si="98">IF(C275="","",ROUNDUP(C275/12,0))</f>
        <v/>
      </c>
      <c r="C275" s="58" t="str">
        <f t="shared" si="75"/>
        <v/>
      </c>
      <c r="D275" s="28" t="str">
        <f t="shared" si="76"/>
        <v/>
      </c>
      <c r="E275" s="28" t="str">
        <f t="shared" si="77"/>
        <v/>
      </c>
      <c r="F275" s="29" t="str">
        <f t="shared" si="78"/>
        <v/>
      </c>
      <c r="G275" s="60" t="str">
        <f t="shared" si="79"/>
        <v/>
      </c>
      <c r="H275" s="60" t="str">
        <f t="shared" si="80"/>
        <v/>
      </c>
      <c r="I275" s="60" t="str">
        <f t="shared" si="81"/>
        <v/>
      </c>
      <c r="J275" s="60" t="str">
        <f t="shared" si="82"/>
        <v/>
      </c>
      <c r="K275" s="60" t="str">
        <f t="shared" si="83"/>
        <v/>
      </c>
      <c r="L275" s="60" t="str">
        <f t="shared" si="84"/>
        <v/>
      </c>
      <c r="M275" s="60" t="str">
        <f t="shared" si="85"/>
        <v/>
      </c>
      <c r="Q275" s="57" t="str">
        <f t="shared" si="86"/>
        <v/>
      </c>
      <c r="R275" s="58" t="str">
        <f t="shared" si="87"/>
        <v/>
      </c>
      <c r="S275" s="28" t="str">
        <f t="shared" si="96"/>
        <v/>
      </c>
      <c r="T275" s="28" t="str">
        <f t="shared" si="88"/>
        <v/>
      </c>
      <c r="U275" s="29" t="str">
        <f t="shared" si="89"/>
        <v/>
      </c>
      <c r="V275" s="60" t="str">
        <f t="shared" si="97"/>
        <v/>
      </c>
      <c r="W275" s="60" t="str">
        <f t="shared" si="90"/>
        <v/>
      </c>
      <c r="X275" s="60" t="str">
        <f t="shared" si="91"/>
        <v/>
      </c>
      <c r="Y275" s="60" t="str">
        <f t="shared" si="92"/>
        <v/>
      </c>
      <c r="Z275" s="60" t="str">
        <f t="shared" si="93"/>
        <v/>
      </c>
      <c r="AA275" s="60" t="str">
        <f t="shared" si="94"/>
        <v/>
      </c>
      <c r="AB275" s="60" t="str">
        <f t="shared" si="95"/>
        <v/>
      </c>
    </row>
    <row r="276" spans="2:28">
      <c r="B276" s="57" t="str">
        <f t="shared" si="98"/>
        <v/>
      </c>
      <c r="C276" s="58" t="str">
        <f t="shared" ref="C276:C339" si="99">IF(OR(C275="",C275&gt;=$I$13),"",C275+1)</f>
        <v/>
      </c>
      <c r="D276" s="28" t="str">
        <f t="shared" ref="D276:D339" si="100">IF(B276="","",EOMONTH(D275,1))</f>
        <v/>
      </c>
      <c r="E276" s="28" t="str">
        <f t="shared" ref="E276:E339" si="101">IF(B276="","",$M$15)</f>
        <v/>
      </c>
      <c r="F276" s="29" t="str">
        <f t="shared" ref="F276:F339" si="102">IF(B276="","",IF($M$16="Actual",D276-D275,30))</f>
        <v/>
      </c>
      <c r="G276" s="60" t="str">
        <f t="shared" ref="G276:G339" si="103">IF(B276="","",L275)</f>
        <v/>
      </c>
      <c r="H276" s="60" t="str">
        <f t="shared" ref="H276:H339" si="104">IF(B276="","",(C276&lt;=$I$14)*I276+(C276&gt;$I$14)*PMT($I$11/(E276/F276),$I$12+$I$14-C275,-G276))</f>
        <v/>
      </c>
      <c r="I276" s="60" t="str">
        <f t="shared" ref="I276:I339" si="105">IF(B276="","",G276*$I$11/E276*F276)</f>
        <v/>
      </c>
      <c r="J276" s="60" t="str">
        <f t="shared" ref="J276:J339" si="106">IF(B276="","",H276-I276)</f>
        <v/>
      </c>
      <c r="K276" s="60" t="str">
        <f t="shared" ref="K276:K339" si="107">IF(B276="","",(C276=$I$13)*(G276-J276))</f>
        <v/>
      </c>
      <c r="L276" s="60" t="str">
        <f t="shared" ref="L276:L339" si="108">IF(B276="","",G276-J276-K276)</f>
        <v/>
      </c>
      <c r="M276" s="60" t="str">
        <f t="shared" ref="M276:M339" si="109">IF(B276="","",I276+J276+K276)</f>
        <v/>
      </c>
      <c r="Q276" s="57" t="str">
        <f t="shared" ref="Q276:Q339" si="110">IF(R276="","",ROUNDUP(R276/12,0))</f>
        <v/>
      </c>
      <c r="R276" s="58" t="str">
        <f t="shared" si="87"/>
        <v/>
      </c>
      <c r="S276" s="28" t="str">
        <f t="shared" si="96"/>
        <v/>
      </c>
      <c r="T276" s="28" t="str">
        <f t="shared" si="88"/>
        <v/>
      </c>
      <c r="U276" s="29" t="str">
        <f t="shared" si="89"/>
        <v/>
      </c>
      <c r="V276" s="60" t="str">
        <f t="shared" si="97"/>
        <v/>
      </c>
      <c r="W276" s="60" t="str">
        <f t="shared" si="90"/>
        <v/>
      </c>
      <c r="X276" s="60" t="str">
        <f t="shared" si="91"/>
        <v/>
      </c>
      <c r="Y276" s="60" t="str">
        <f t="shared" si="92"/>
        <v/>
      </c>
      <c r="Z276" s="60" t="str">
        <f t="shared" si="93"/>
        <v/>
      </c>
      <c r="AA276" s="60" t="str">
        <f t="shared" si="94"/>
        <v/>
      </c>
      <c r="AB276" s="60" t="str">
        <f t="shared" si="95"/>
        <v/>
      </c>
    </row>
    <row r="277" spans="2:28">
      <c r="B277" s="57" t="str">
        <f t="shared" si="98"/>
        <v/>
      </c>
      <c r="C277" s="58" t="str">
        <f t="shared" si="99"/>
        <v/>
      </c>
      <c r="D277" s="28" t="str">
        <f t="shared" si="100"/>
        <v/>
      </c>
      <c r="E277" s="28" t="str">
        <f t="shared" si="101"/>
        <v/>
      </c>
      <c r="F277" s="29" t="str">
        <f t="shared" si="102"/>
        <v/>
      </c>
      <c r="G277" s="60" t="str">
        <f t="shared" si="103"/>
        <v/>
      </c>
      <c r="H277" s="60" t="str">
        <f t="shared" si="104"/>
        <v/>
      </c>
      <c r="I277" s="60" t="str">
        <f t="shared" si="105"/>
        <v/>
      </c>
      <c r="J277" s="60" t="str">
        <f t="shared" si="106"/>
        <v/>
      </c>
      <c r="K277" s="60" t="str">
        <f t="shared" si="107"/>
        <v/>
      </c>
      <c r="L277" s="60" t="str">
        <f t="shared" si="108"/>
        <v/>
      </c>
      <c r="M277" s="60" t="str">
        <f t="shared" si="109"/>
        <v/>
      </c>
      <c r="Q277" s="57" t="str">
        <f t="shared" si="110"/>
        <v/>
      </c>
      <c r="R277" s="58" t="str">
        <f t="shared" ref="R277:R340" si="111">IF(OR(R276="",R276&gt;=$I$13),"",R276+1)</f>
        <v/>
      </c>
      <c r="S277" s="28" t="str">
        <f t="shared" si="96"/>
        <v/>
      </c>
      <c r="T277" s="28" t="str">
        <f t="shared" ref="T277:T340" si="112">IF(Q277="","",$M$15)</f>
        <v/>
      </c>
      <c r="U277" s="29" t="str">
        <f t="shared" ref="U277:U340" si="113">IF(Q277="","",IF($M$16="Actual",S277-S276,30))</f>
        <v/>
      </c>
      <c r="V277" s="60" t="str">
        <f t="shared" si="97"/>
        <v/>
      </c>
      <c r="W277" s="60" t="str">
        <f t="shared" ref="W277:W340" si="114">IF(Q277="","",(R277&lt;=$I$14)*X277+(R277&gt;$I$14)*PMT($I$11/(T277/U277),$I$12+$I$14-R276,-V277))</f>
        <v/>
      </c>
      <c r="X277" s="60" t="str">
        <f t="shared" ref="X277:X340" si="115">IF(Q277="","",V277*$I$11/T277*U277)</f>
        <v/>
      </c>
      <c r="Y277" s="60" t="str">
        <f t="shared" ref="Y277:Y340" si="116">IF(Q277="","",W277-X277)</f>
        <v/>
      </c>
      <c r="Z277" s="60" t="str">
        <f t="shared" ref="Z277:Z340" si="117">IF(Q277="","",(R277=$I$13)*(V277-Y277))</f>
        <v/>
      </c>
      <c r="AA277" s="60" t="str">
        <f t="shared" ref="AA277:AA340" si="118">IF(Q277="","",V277-Y277-Z277)</f>
        <v/>
      </c>
      <c r="AB277" s="60" t="str">
        <f t="shared" ref="AB277:AB340" si="119">IF(Q277="","",X277+Y277+Z277)</f>
        <v/>
      </c>
    </row>
    <row r="278" spans="2:28">
      <c r="B278" s="57" t="str">
        <f t="shared" si="98"/>
        <v/>
      </c>
      <c r="C278" s="58" t="str">
        <f t="shared" si="99"/>
        <v/>
      </c>
      <c r="D278" s="28" t="str">
        <f t="shared" si="100"/>
        <v/>
      </c>
      <c r="E278" s="28" t="str">
        <f t="shared" si="101"/>
        <v/>
      </c>
      <c r="F278" s="29" t="str">
        <f t="shared" si="102"/>
        <v/>
      </c>
      <c r="G278" s="60" t="str">
        <f t="shared" si="103"/>
        <v/>
      </c>
      <c r="H278" s="60" t="str">
        <f t="shared" si="104"/>
        <v/>
      </c>
      <c r="I278" s="60" t="str">
        <f t="shared" si="105"/>
        <v/>
      </c>
      <c r="J278" s="60" t="str">
        <f t="shared" si="106"/>
        <v/>
      </c>
      <c r="K278" s="60" t="str">
        <f t="shared" si="107"/>
        <v/>
      </c>
      <c r="L278" s="60" t="str">
        <f t="shared" si="108"/>
        <v/>
      </c>
      <c r="M278" s="60" t="str">
        <f t="shared" si="109"/>
        <v/>
      </c>
      <c r="Q278" s="57" t="str">
        <f t="shared" si="110"/>
        <v/>
      </c>
      <c r="R278" s="58" t="str">
        <f t="shared" si="111"/>
        <v/>
      </c>
      <c r="S278" s="28" t="str">
        <f t="shared" si="96"/>
        <v/>
      </c>
      <c r="T278" s="28" t="str">
        <f t="shared" si="112"/>
        <v/>
      </c>
      <c r="U278" s="29" t="str">
        <f t="shared" si="113"/>
        <v/>
      </c>
      <c r="V278" s="60" t="str">
        <f t="shared" si="97"/>
        <v/>
      </c>
      <c r="W278" s="60" t="str">
        <f t="shared" si="114"/>
        <v/>
      </c>
      <c r="X278" s="60" t="str">
        <f t="shared" si="115"/>
        <v/>
      </c>
      <c r="Y278" s="60" t="str">
        <f t="shared" si="116"/>
        <v/>
      </c>
      <c r="Z278" s="60" t="str">
        <f t="shared" si="117"/>
        <v/>
      </c>
      <c r="AA278" s="60" t="str">
        <f t="shared" si="118"/>
        <v/>
      </c>
      <c r="AB278" s="60" t="str">
        <f t="shared" si="119"/>
        <v/>
      </c>
    </row>
    <row r="279" spans="2:28">
      <c r="B279" s="57" t="str">
        <f t="shared" si="98"/>
        <v/>
      </c>
      <c r="C279" s="58" t="str">
        <f t="shared" si="99"/>
        <v/>
      </c>
      <c r="D279" s="28" t="str">
        <f t="shared" si="100"/>
        <v/>
      </c>
      <c r="E279" s="28" t="str">
        <f t="shared" si="101"/>
        <v/>
      </c>
      <c r="F279" s="29" t="str">
        <f t="shared" si="102"/>
        <v/>
      </c>
      <c r="G279" s="60" t="str">
        <f t="shared" si="103"/>
        <v/>
      </c>
      <c r="H279" s="60" t="str">
        <f t="shared" si="104"/>
        <v/>
      </c>
      <c r="I279" s="60" t="str">
        <f t="shared" si="105"/>
        <v/>
      </c>
      <c r="J279" s="60" t="str">
        <f t="shared" si="106"/>
        <v/>
      </c>
      <c r="K279" s="60" t="str">
        <f t="shared" si="107"/>
        <v/>
      </c>
      <c r="L279" s="60" t="str">
        <f t="shared" si="108"/>
        <v/>
      </c>
      <c r="M279" s="60" t="str">
        <f t="shared" si="109"/>
        <v/>
      </c>
      <c r="Q279" s="57" t="str">
        <f t="shared" si="110"/>
        <v/>
      </c>
      <c r="R279" s="58" t="str">
        <f t="shared" si="111"/>
        <v/>
      </c>
      <c r="S279" s="28" t="str">
        <f t="shared" si="96"/>
        <v/>
      </c>
      <c r="T279" s="28" t="str">
        <f t="shared" si="112"/>
        <v/>
      </c>
      <c r="U279" s="29" t="str">
        <f t="shared" si="113"/>
        <v/>
      </c>
      <c r="V279" s="60" t="str">
        <f t="shared" si="97"/>
        <v/>
      </c>
      <c r="W279" s="60" t="str">
        <f t="shared" si="114"/>
        <v/>
      </c>
      <c r="X279" s="60" t="str">
        <f t="shared" si="115"/>
        <v/>
      </c>
      <c r="Y279" s="60" t="str">
        <f t="shared" si="116"/>
        <v/>
      </c>
      <c r="Z279" s="60" t="str">
        <f t="shared" si="117"/>
        <v/>
      </c>
      <c r="AA279" s="60" t="str">
        <f t="shared" si="118"/>
        <v/>
      </c>
      <c r="AB279" s="60" t="str">
        <f t="shared" si="119"/>
        <v/>
      </c>
    </row>
    <row r="280" spans="2:28">
      <c r="B280" s="57" t="str">
        <f t="shared" si="98"/>
        <v/>
      </c>
      <c r="C280" s="58" t="str">
        <f t="shared" si="99"/>
        <v/>
      </c>
      <c r="D280" s="28" t="str">
        <f t="shared" si="100"/>
        <v/>
      </c>
      <c r="E280" s="28" t="str">
        <f t="shared" si="101"/>
        <v/>
      </c>
      <c r="F280" s="29" t="str">
        <f t="shared" si="102"/>
        <v/>
      </c>
      <c r="G280" s="60" t="str">
        <f t="shared" si="103"/>
        <v/>
      </c>
      <c r="H280" s="60" t="str">
        <f t="shared" si="104"/>
        <v/>
      </c>
      <c r="I280" s="60" t="str">
        <f t="shared" si="105"/>
        <v/>
      </c>
      <c r="J280" s="60" t="str">
        <f t="shared" si="106"/>
        <v/>
      </c>
      <c r="K280" s="60" t="str">
        <f t="shared" si="107"/>
        <v/>
      </c>
      <c r="L280" s="60" t="str">
        <f t="shared" si="108"/>
        <v/>
      </c>
      <c r="M280" s="60" t="str">
        <f t="shared" si="109"/>
        <v/>
      </c>
      <c r="Q280" s="57" t="str">
        <f t="shared" si="110"/>
        <v/>
      </c>
      <c r="R280" s="58" t="str">
        <f t="shared" si="111"/>
        <v/>
      </c>
      <c r="S280" s="28" t="str">
        <f t="shared" si="96"/>
        <v/>
      </c>
      <c r="T280" s="28" t="str">
        <f t="shared" si="112"/>
        <v/>
      </c>
      <c r="U280" s="29" t="str">
        <f t="shared" si="113"/>
        <v/>
      </c>
      <c r="V280" s="60" t="str">
        <f t="shared" si="97"/>
        <v/>
      </c>
      <c r="W280" s="60" t="str">
        <f t="shared" si="114"/>
        <v/>
      </c>
      <c r="X280" s="60" t="str">
        <f t="shared" si="115"/>
        <v/>
      </c>
      <c r="Y280" s="60" t="str">
        <f t="shared" si="116"/>
        <v/>
      </c>
      <c r="Z280" s="60" t="str">
        <f t="shared" si="117"/>
        <v/>
      </c>
      <c r="AA280" s="60" t="str">
        <f t="shared" si="118"/>
        <v/>
      </c>
      <c r="AB280" s="60" t="str">
        <f t="shared" si="119"/>
        <v/>
      </c>
    </row>
    <row r="281" spans="2:28">
      <c r="B281" s="57" t="str">
        <f t="shared" si="98"/>
        <v/>
      </c>
      <c r="C281" s="58" t="str">
        <f t="shared" si="99"/>
        <v/>
      </c>
      <c r="D281" s="28" t="str">
        <f t="shared" si="100"/>
        <v/>
      </c>
      <c r="E281" s="28" t="str">
        <f t="shared" si="101"/>
        <v/>
      </c>
      <c r="F281" s="29" t="str">
        <f t="shared" si="102"/>
        <v/>
      </c>
      <c r="G281" s="60" t="str">
        <f t="shared" si="103"/>
        <v/>
      </c>
      <c r="H281" s="60" t="str">
        <f t="shared" si="104"/>
        <v/>
      </c>
      <c r="I281" s="60" t="str">
        <f t="shared" si="105"/>
        <v/>
      </c>
      <c r="J281" s="60" t="str">
        <f t="shared" si="106"/>
        <v/>
      </c>
      <c r="K281" s="60" t="str">
        <f t="shared" si="107"/>
        <v/>
      </c>
      <c r="L281" s="60" t="str">
        <f t="shared" si="108"/>
        <v/>
      </c>
      <c r="M281" s="60" t="str">
        <f t="shared" si="109"/>
        <v/>
      </c>
      <c r="Q281" s="57" t="str">
        <f t="shared" si="110"/>
        <v/>
      </c>
      <c r="R281" s="58" t="str">
        <f t="shared" si="111"/>
        <v/>
      </c>
      <c r="S281" s="28" t="str">
        <f t="shared" si="96"/>
        <v/>
      </c>
      <c r="T281" s="28" t="str">
        <f t="shared" si="112"/>
        <v/>
      </c>
      <c r="U281" s="29" t="str">
        <f t="shared" si="113"/>
        <v/>
      </c>
      <c r="V281" s="60" t="str">
        <f t="shared" si="97"/>
        <v/>
      </c>
      <c r="W281" s="60" t="str">
        <f t="shared" si="114"/>
        <v/>
      </c>
      <c r="X281" s="60" t="str">
        <f t="shared" si="115"/>
        <v/>
      </c>
      <c r="Y281" s="60" t="str">
        <f t="shared" si="116"/>
        <v/>
      </c>
      <c r="Z281" s="60" t="str">
        <f t="shared" si="117"/>
        <v/>
      </c>
      <c r="AA281" s="60" t="str">
        <f t="shared" si="118"/>
        <v/>
      </c>
      <c r="AB281" s="60" t="str">
        <f t="shared" si="119"/>
        <v/>
      </c>
    </row>
    <row r="282" spans="2:28">
      <c r="B282" s="57" t="str">
        <f t="shared" si="98"/>
        <v/>
      </c>
      <c r="C282" s="58" t="str">
        <f t="shared" si="99"/>
        <v/>
      </c>
      <c r="D282" s="28" t="str">
        <f t="shared" si="100"/>
        <v/>
      </c>
      <c r="E282" s="28" t="str">
        <f t="shared" si="101"/>
        <v/>
      </c>
      <c r="F282" s="29" t="str">
        <f t="shared" si="102"/>
        <v/>
      </c>
      <c r="G282" s="60" t="str">
        <f t="shared" si="103"/>
        <v/>
      </c>
      <c r="H282" s="60" t="str">
        <f t="shared" si="104"/>
        <v/>
      </c>
      <c r="I282" s="60" t="str">
        <f t="shared" si="105"/>
        <v/>
      </c>
      <c r="J282" s="60" t="str">
        <f t="shared" si="106"/>
        <v/>
      </c>
      <c r="K282" s="60" t="str">
        <f t="shared" si="107"/>
        <v/>
      </c>
      <c r="L282" s="60" t="str">
        <f t="shared" si="108"/>
        <v/>
      </c>
      <c r="M282" s="60" t="str">
        <f t="shared" si="109"/>
        <v/>
      </c>
      <c r="Q282" s="57" t="str">
        <f t="shared" si="110"/>
        <v/>
      </c>
      <c r="R282" s="58" t="str">
        <f t="shared" si="111"/>
        <v/>
      </c>
      <c r="S282" s="28" t="str">
        <f t="shared" si="96"/>
        <v/>
      </c>
      <c r="T282" s="28" t="str">
        <f t="shared" si="112"/>
        <v/>
      </c>
      <c r="U282" s="29" t="str">
        <f t="shared" si="113"/>
        <v/>
      </c>
      <c r="V282" s="60" t="str">
        <f t="shared" si="97"/>
        <v/>
      </c>
      <c r="W282" s="60" t="str">
        <f t="shared" si="114"/>
        <v/>
      </c>
      <c r="X282" s="60" t="str">
        <f t="shared" si="115"/>
        <v/>
      </c>
      <c r="Y282" s="60" t="str">
        <f t="shared" si="116"/>
        <v/>
      </c>
      <c r="Z282" s="60" t="str">
        <f t="shared" si="117"/>
        <v/>
      </c>
      <c r="AA282" s="60" t="str">
        <f t="shared" si="118"/>
        <v/>
      </c>
      <c r="AB282" s="60" t="str">
        <f t="shared" si="119"/>
        <v/>
      </c>
    </row>
    <row r="283" spans="2:28">
      <c r="B283" s="57" t="str">
        <f t="shared" si="98"/>
        <v/>
      </c>
      <c r="C283" s="58" t="str">
        <f t="shared" si="99"/>
        <v/>
      </c>
      <c r="D283" s="28" t="str">
        <f t="shared" si="100"/>
        <v/>
      </c>
      <c r="E283" s="28" t="str">
        <f t="shared" si="101"/>
        <v/>
      </c>
      <c r="F283" s="29" t="str">
        <f t="shared" si="102"/>
        <v/>
      </c>
      <c r="G283" s="60" t="str">
        <f t="shared" si="103"/>
        <v/>
      </c>
      <c r="H283" s="60" t="str">
        <f t="shared" si="104"/>
        <v/>
      </c>
      <c r="I283" s="60" t="str">
        <f t="shared" si="105"/>
        <v/>
      </c>
      <c r="J283" s="60" t="str">
        <f t="shared" si="106"/>
        <v/>
      </c>
      <c r="K283" s="60" t="str">
        <f t="shared" si="107"/>
        <v/>
      </c>
      <c r="L283" s="60" t="str">
        <f t="shared" si="108"/>
        <v/>
      </c>
      <c r="M283" s="60" t="str">
        <f t="shared" si="109"/>
        <v/>
      </c>
      <c r="Q283" s="57" t="str">
        <f t="shared" si="110"/>
        <v/>
      </c>
      <c r="R283" s="58" t="str">
        <f t="shared" si="111"/>
        <v/>
      </c>
      <c r="S283" s="28" t="str">
        <f t="shared" si="96"/>
        <v/>
      </c>
      <c r="T283" s="28" t="str">
        <f t="shared" si="112"/>
        <v/>
      </c>
      <c r="U283" s="29" t="str">
        <f t="shared" si="113"/>
        <v/>
      </c>
      <c r="V283" s="60" t="str">
        <f t="shared" si="97"/>
        <v/>
      </c>
      <c r="W283" s="60" t="str">
        <f t="shared" si="114"/>
        <v/>
      </c>
      <c r="X283" s="60" t="str">
        <f t="shared" si="115"/>
        <v/>
      </c>
      <c r="Y283" s="60" t="str">
        <f t="shared" si="116"/>
        <v/>
      </c>
      <c r="Z283" s="60" t="str">
        <f t="shared" si="117"/>
        <v/>
      </c>
      <c r="AA283" s="60" t="str">
        <f t="shared" si="118"/>
        <v/>
      </c>
      <c r="AB283" s="60" t="str">
        <f t="shared" si="119"/>
        <v/>
      </c>
    </row>
    <row r="284" spans="2:28">
      <c r="B284" s="57" t="str">
        <f t="shared" si="98"/>
        <v/>
      </c>
      <c r="C284" s="58" t="str">
        <f t="shared" si="99"/>
        <v/>
      </c>
      <c r="D284" s="28" t="str">
        <f t="shared" si="100"/>
        <v/>
      </c>
      <c r="E284" s="28" t="str">
        <f t="shared" si="101"/>
        <v/>
      </c>
      <c r="F284" s="29" t="str">
        <f t="shared" si="102"/>
        <v/>
      </c>
      <c r="G284" s="60" t="str">
        <f t="shared" si="103"/>
        <v/>
      </c>
      <c r="H284" s="60" t="str">
        <f t="shared" si="104"/>
        <v/>
      </c>
      <c r="I284" s="60" t="str">
        <f t="shared" si="105"/>
        <v/>
      </c>
      <c r="J284" s="60" t="str">
        <f t="shared" si="106"/>
        <v/>
      </c>
      <c r="K284" s="60" t="str">
        <f t="shared" si="107"/>
        <v/>
      </c>
      <c r="L284" s="60" t="str">
        <f t="shared" si="108"/>
        <v/>
      </c>
      <c r="M284" s="60" t="str">
        <f t="shared" si="109"/>
        <v/>
      </c>
      <c r="Q284" s="57" t="str">
        <f t="shared" si="110"/>
        <v/>
      </c>
      <c r="R284" s="58" t="str">
        <f t="shared" si="111"/>
        <v/>
      </c>
      <c r="S284" s="28" t="str">
        <f t="shared" si="96"/>
        <v/>
      </c>
      <c r="T284" s="28" t="str">
        <f t="shared" si="112"/>
        <v/>
      </c>
      <c r="U284" s="29" t="str">
        <f t="shared" si="113"/>
        <v/>
      </c>
      <c r="V284" s="60" t="str">
        <f t="shared" si="97"/>
        <v/>
      </c>
      <c r="W284" s="60" t="str">
        <f t="shared" si="114"/>
        <v/>
      </c>
      <c r="X284" s="60" t="str">
        <f t="shared" si="115"/>
        <v/>
      </c>
      <c r="Y284" s="60" t="str">
        <f t="shared" si="116"/>
        <v/>
      </c>
      <c r="Z284" s="60" t="str">
        <f t="shared" si="117"/>
        <v/>
      </c>
      <c r="AA284" s="60" t="str">
        <f t="shared" si="118"/>
        <v/>
      </c>
      <c r="AB284" s="60" t="str">
        <f t="shared" si="119"/>
        <v/>
      </c>
    </row>
    <row r="285" spans="2:28">
      <c r="B285" s="57" t="str">
        <f t="shared" si="98"/>
        <v/>
      </c>
      <c r="C285" s="58" t="str">
        <f t="shared" si="99"/>
        <v/>
      </c>
      <c r="D285" s="28" t="str">
        <f t="shared" si="100"/>
        <v/>
      </c>
      <c r="E285" s="28" t="str">
        <f t="shared" si="101"/>
        <v/>
      </c>
      <c r="F285" s="29" t="str">
        <f t="shared" si="102"/>
        <v/>
      </c>
      <c r="G285" s="60" t="str">
        <f t="shared" si="103"/>
        <v/>
      </c>
      <c r="H285" s="60" t="str">
        <f t="shared" si="104"/>
        <v/>
      </c>
      <c r="I285" s="60" t="str">
        <f t="shared" si="105"/>
        <v/>
      </c>
      <c r="J285" s="60" t="str">
        <f t="shared" si="106"/>
        <v/>
      </c>
      <c r="K285" s="60" t="str">
        <f t="shared" si="107"/>
        <v/>
      </c>
      <c r="L285" s="60" t="str">
        <f t="shared" si="108"/>
        <v/>
      </c>
      <c r="M285" s="60" t="str">
        <f t="shared" si="109"/>
        <v/>
      </c>
      <c r="Q285" s="57" t="str">
        <f t="shared" si="110"/>
        <v/>
      </c>
      <c r="R285" s="58" t="str">
        <f t="shared" si="111"/>
        <v/>
      </c>
      <c r="S285" s="28" t="str">
        <f t="shared" si="96"/>
        <v/>
      </c>
      <c r="T285" s="28" t="str">
        <f t="shared" si="112"/>
        <v/>
      </c>
      <c r="U285" s="29" t="str">
        <f t="shared" si="113"/>
        <v/>
      </c>
      <c r="V285" s="60" t="str">
        <f t="shared" si="97"/>
        <v/>
      </c>
      <c r="W285" s="60" t="str">
        <f t="shared" si="114"/>
        <v/>
      </c>
      <c r="X285" s="60" t="str">
        <f t="shared" si="115"/>
        <v/>
      </c>
      <c r="Y285" s="60" t="str">
        <f t="shared" si="116"/>
        <v/>
      </c>
      <c r="Z285" s="60" t="str">
        <f t="shared" si="117"/>
        <v/>
      </c>
      <c r="AA285" s="60" t="str">
        <f t="shared" si="118"/>
        <v/>
      </c>
      <c r="AB285" s="60" t="str">
        <f t="shared" si="119"/>
        <v/>
      </c>
    </row>
    <row r="286" spans="2:28">
      <c r="B286" s="57" t="str">
        <f t="shared" si="98"/>
        <v/>
      </c>
      <c r="C286" s="58" t="str">
        <f t="shared" si="99"/>
        <v/>
      </c>
      <c r="D286" s="28" t="str">
        <f t="shared" si="100"/>
        <v/>
      </c>
      <c r="E286" s="28" t="str">
        <f t="shared" si="101"/>
        <v/>
      </c>
      <c r="F286" s="29" t="str">
        <f t="shared" si="102"/>
        <v/>
      </c>
      <c r="G286" s="60" t="str">
        <f t="shared" si="103"/>
        <v/>
      </c>
      <c r="H286" s="60" t="str">
        <f t="shared" si="104"/>
        <v/>
      </c>
      <c r="I286" s="60" t="str">
        <f t="shared" si="105"/>
        <v/>
      </c>
      <c r="J286" s="60" t="str">
        <f t="shared" si="106"/>
        <v/>
      </c>
      <c r="K286" s="60" t="str">
        <f t="shared" si="107"/>
        <v/>
      </c>
      <c r="L286" s="60" t="str">
        <f t="shared" si="108"/>
        <v/>
      </c>
      <c r="M286" s="60" t="str">
        <f t="shared" si="109"/>
        <v/>
      </c>
      <c r="Q286" s="57" t="str">
        <f t="shared" si="110"/>
        <v/>
      </c>
      <c r="R286" s="58" t="str">
        <f t="shared" si="111"/>
        <v/>
      </c>
      <c r="S286" s="28" t="str">
        <f t="shared" si="96"/>
        <v/>
      </c>
      <c r="T286" s="28" t="str">
        <f t="shared" si="112"/>
        <v/>
      </c>
      <c r="U286" s="29" t="str">
        <f t="shared" si="113"/>
        <v/>
      </c>
      <c r="V286" s="60" t="str">
        <f t="shared" si="97"/>
        <v/>
      </c>
      <c r="W286" s="60" t="str">
        <f t="shared" si="114"/>
        <v/>
      </c>
      <c r="X286" s="60" t="str">
        <f t="shared" si="115"/>
        <v/>
      </c>
      <c r="Y286" s="60" t="str">
        <f t="shared" si="116"/>
        <v/>
      </c>
      <c r="Z286" s="60" t="str">
        <f t="shared" si="117"/>
        <v/>
      </c>
      <c r="AA286" s="60" t="str">
        <f t="shared" si="118"/>
        <v/>
      </c>
      <c r="AB286" s="60" t="str">
        <f t="shared" si="119"/>
        <v/>
      </c>
    </row>
    <row r="287" spans="2:28">
      <c r="B287" s="57" t="str">
        <f t="shared" si="98"/>
        <v/>
      </c>
      <c r="C287" s="58" t="str">
        <f t="shared" si="99"/>
        <v/>
      </c>
      <c r="D287" s="28" t="str">
        <f t="shared" si="100"/>
        <v/>
      </c>
      <c r="E287" s="28" t="str">
        <f t="shared" si="101"/>
        <v/>
      </c>
      <c r="F287" s="29" t="str">
        <f t="shared" si="102"/>
        <v/>
      </c>
      <c r="G287" s="60" t="str">
        <f t="shared" si="103"/>
        <v/>
      </c>
      <c r="H287" s="60" t="str">
        <f t="shared" si="104"/>
        <v/>
      </c>
      <c r="I287" s="60" t="str">
        <f t="shared" si="105"/>
        <v/>
      </c>
      <c r="J287" s="60" t="str">
        <f t="shared" si="106"/>
        <v/>
      </c>
      <c r="K287" s="60" t="str">
        <f t="shared" si="107"/>
        <v/>
      </c>
      <c r="L287" s="60" t="str">
        <f t="shared" si="108"/>
        <v/>
      </c>
      <c r="M287" s="60" t="str">
        <f t="shared" si="109"/>
        <v/>
      </c>
      <c r="Q287" s="57" t="str">
        <f t="shared" si="110"/>
        <v/>
      </c>
      <c r="R287" s="58" t="str">
        <f t="shared" si="111"/>
        <v/>
      </c>
      <c r="S287" s="28" t="str">
        <f t="shared" si="96"/>
        <v/>
      </c>
      <c r="T287" s="28" t="str">
        <f t="shared" si="112"/>
        <v/>
      </c>
      <c r="U287" s="29" t="str">
        <f t="shared" si="113"/>
        <v/>
      </c>
      <c r="V287" s="60" t="str">
        <f t="shared" si="97"/>
        <v/>
      </c>
      <c r="W287" s="60" t="str">
        <f t="shared" si="114"/>
        <v/>
      </c>
      <c r="X287" s="60" t="str">
        <f t="shared" si="115"/>
        <v/>
      </c>
      <c r="Y287" s="60" t="str">
        <f t="shared" si="116"/>
        <v/>
      </c>
      <c r="Z287" s="60" t="str">
        <f t="shared" si="117"/>
        <v/>
      </c>
      <c r="AA287" s="60" t="str">
        <f t="shared" si="118"/>
        <v/>
      </c>
      <c r="AB287" s="60" t="str">
        <f t="shared" si="119"/>
        <v/>
      </c>
    </row>
    <row r="288" spans="2:28">
      <c r="B288" s="57" t="str">
        <f t="shared" si="98"/>
        <v/>
      </c>
      <c r="C288" s="58" t="str">
        <f t="shared" si="99"/>
        <v/>
      </c>
      <c r="D288" s="28" t="str">
        <f t="shared" si="100"/>
        <v/>
      </c>
      <c r="E288" s="28" t="str">
        <f t="shared" si="101"/>
        <v/>
      </c>
      <c r="F288" s="29" t="str">
        <f t="shared" si="102"/>
        <v/>
      </c>
      <c r="G288" s="60" t="str">
        <f t="shared" si="103"/>
        <v/>
      </c>
      <c r="H288" s="60" t="str">
        <f t="shared" si="104"/>
        <v/>
      </c>
      <c r="I288" s="60" t="str">
        <f t="shared" si="105"/>
        <v/>
      </c>
      <c r="J288" s="60" t="str">
        <f t="shared" si="106"/>
        <v/>
      </c>
      <c r="K288" s="60" t="str">
        <f t="shared" si="107"/>
        <v/>
      </c>
      <c r="L288" s="60" t="str">
        <f t="shared" si="108"/>
        <v/>
      </c>
      <c r="M288" s="60" t="str">
        <f t="shared" si="109"/>
        <v/>
      </c>
      <c r="Q288" s="57" t="str">
        <f t="shared" si="110"/>
        <v/>
      </c>
      <c r="R288" s="58" t="str">
        <f t="shared" si="111"/>
        <v/>
      </c>
      <c r="S288" s="28" t="str">
        <f t="shared" si="96"/>
        <v/>
      </c>
      <c r="T288" s="28" t="str">
        <f t="shared" si="112"/>
        <v/>
      </c>
      <c r="U288" s="29" t="str">
        <f t="shared" si="113"/>
        <v/>
      </c>
      <c r="V288" s="60" t="str">
        <f t="shared" si="97"/>
        <v/>
      </c>
      <c r="W288" s="60" t="str">
        <f t="shared" si="114"/>
        <v/>
      </c>
      <c r="X288" s="60" t="str">
        <f t="shared" si="115"/>
        <v/>
      </c>
      <c r="Y288" s="60" t="str">
        <f t="shared" si="116"/>
        <v/>
      </c>
      <c r="Z288" s="60" t="str">
        <f t="shared" si="117"/>
        <v/>
      </c>
      <c r="AA288" s="60" t="str">
        <f t="shared" si="118"/>
        <v/>
      </c>
      <c r="AB288" s="60" t="str">
        <f t="shared" si="119"/>
        <v/>
      </c>
    </row>
    <row r="289" spans="2:28">
      <c r="B289" s="57" t="str">
        <f t="shared" si="98"/>
        <v/>
      </c>
      <c r="C289" s="58" t="str">
        <f t="shared" si="99"/>
        <v/>
      </c>
      <c r="D289" s="28" t="str">
        <f t="shared" si="100"/>
        <v/>
      </c>
      <c r="E289" s="28" t="str">
        <f t="shared" si="101"/>
        <v/>
      </c>
      <c r="F289" s="29" t="str">
        <f t="shared" si="102"/>
        <v/>
      </c>
      <c r="G289" s="60" t="str">
        <f t="shared" si="103"/>
        <v/>
      </c>
      <c r="H289" s="60" t="str">
        <f t="shared" si="104"/>
        <v/>
      </c>
      <c r="I289" s="60" t="str">
        <f t="shared" si="105"/>
        <v/>
      </c>
      <c r="J289" s="60" t="str">
        <f t="shared" si="106"/>
        <v/>
      </c>
      <c r="K289" s="60" t="str">
        <f t="shared" si="107"/>
        <v/>
      </c>
      <c r="L289" s="60" t="str">
        <f t="shared" si="108"/>
        <v/>
      </c>
      <c r="M289" s="60" t="str">
        <f t="shared" si="109"/>
        <v/>
      </c>
      <c r="Q289" s="57" t="str">
        <f t="shared" si="110"/>
        <v/>
      </c>
      <c r="R289" s="58" t="str">
        <f t="shared" si="111"/>
        <v/>
      </c>
      <c r="S289" s="28" t="str">
        <f t="shared" si="96"/>
        <v/>
      </c>
      <c r="T289" s="28" t="str">
        <f t="shared" si="112"/>
        <v/>
      </c>
      <c r="U289" s="29" t="str">
        <f t="shared" si="113"/>
        <v/>
      </c>
      <c r="V289" s="60" t="str">
        <f t="shared" si="97"/>
        <v/>
      </c>
      <c r="W289" s="60" t="str">
        <f t="shared" si="114"/>
        <v/>
      </c>
      <c r="X289" s="60" t="str">
        <f t="shared" si="115"/>
        <v/>
      </c>
      <c r="Y289" s="60" t="str">
        <f t="shared" si="116"/>
        <v/>
      </c>
      <c r="Z289" s="60" t="str">
        <f t="shared" si="117"/>
        <v/>
      </c>
      <c r="AA289" s="60" t="str">
        <f t="shared" si="118"/>
        <v/>
      </c>
      <c r="AB289" s="60" t="str">
        <f t="shared" si="119"/>
        <v/>
      </c>
    </row>
    <row r="290" spans="2:28">
      <c r="B290" s="57" t="str">
        <f t="shared" si="98"/>
        <v/>
      </c>
      <c r="C290" s="58" t="str">
        <f t="shared" si="99"/>
        <v/>
      </c>
      <c r="D290" s="28" t="str">
        <f t="shared" si="100"/>
        <v/>
      </c>
      <c r="E290" s="28" t="str">
        <f t="shared" si="101"/>
        <v/>
      </c>
      <c r="F290" s="29" t="str">
        <f t="shared" si="102"/>
        <v/>
      </c>
      <c r="G290" s="60" t="str">
        <f t="shared" si="103"/>
        <v/>
      </c>
      <c r="H290" s="60" t="str">
        <f t="shared" si="104"/>
        <v/>
      </c>
      <c r="I290" s="60" t="str">
        <f t="shared" si="105"/>
        <v/>
      </c>
      <c r="J290" s="60" t="str">
        <f t="shared" si="106"/>
        <v/>
      </c>
      <c r="K290" s="60" t="str">
        <f t="shared" si="107"/>
        <v/>
      </c>
      <c r="L290" s="60" t="str">
        <f t="shared" si="108"/>
        <v/>
      </c>
      <c r="M290" s="60" t="str">
        <f t="shared" si="109"/>
        <v/>
      </c>
      <c r="Q290" s="57" t="str">
        <f t="shared" si="110"/>
        <v/>
      </c>
      <c r="R290" s="58" t="str">
        <f t="shared" si="111"/>
        <v/>
      </c>
      <c r="S290" s="28" t="str">
        <f t="shared" si="96"/>
        <v/>
      </c>
      <c r="T290" s="28" t="str">
        <f t="shared" si="112"/>
        <v/>
      </c>
      <c r="U290" s="29" t="str">
        <f t="shared" si="113"/>
        <v/>
      </c>
      <c r="V290" s="60" t="str">
        <f t="shared" si="97"/>
        <v/>
      </c>
      <c r="W290" s="60" t="str">
        <f t="shared" si="114"/>
        <v/>
      </c>
      <c r="X290" s="60" t="str">
        <f t="shared" si="115"/>
        <v/>
      </c>
      <c r="Y290" s="60" t="str">
        <f t="shared" si="116"/>
        <v/>
      </c>
      <c r="Z290" s="60" t="str">
        <f t="shared" si="117"/>
        <v/>
      </c>
      <c r="AA290" s="60" t="str">
        <f t="shared" si="118"/>
        <v/>
      </c>
      <c r="AB290" s="60" t="str">
        <f t="shared" si="119"/>
        <v/>
      </c>
    </row>
    <row r="291" spans="2:28">
      <c r="B291" s="57" t="str">
        <f t="shared" si="98"/>
        <v/>
      </c>
      <c r="C291" s="58" t="str">
        <f t="shared" si="99"/>
        <v/>
      </c>
      <c r="D291" s="28" t="str">
        <f t="shared" si="100"/>
        <v/>
      </c>
      <c r="E291" s="28" t="str">
        <f t="shared" si="101"/>
        <v/>
      </c>
      <c r="F291" s="29" t="str">
        <f t="shared" si="102"/>
        <v/>
      </c>
      <c r="G291" s="60" t="str">
        <f t="shared" si="103"/>
        <v/>
      </c>
      <c r="H291" s="60" t="str">
        <f t="shared" si="104"/>
        <v/>
      </c>
      <c r="I291" s="60" t="str">
        <f t="shared" si="105"/>
        <v/>
      </c>
      <c r="J291" s="60" t="str">
        <f t="shared" si="106"/>
        <v/>
      </c>
      <c r="K291" s="60" t="str">
        <f t="shared" si="107"/>
        <v/>
      </c>
      <c r="L291" s="60" t="str">
        <f t="shared" si="108"/>
        <v/>
      </c>
      <c r="M291" s="60" t="str">
        <f t="shared" si="109"/>
        <v/>
      </c>
      <c r="Q291" s="57" t="str">
        <f t="shared" si="110"/>
        <v/>
      </c>
      <c r="R291" s="58" t="str">
        <f t="shared" si="111"/>
        <v/>
      </c>
      <c r="S291" s="28" t="str">
        <f t="shared" si="96"/>
        <v/>
      </c>
      <c r="T291" s="28" t="str">
        <f t="shared" si="112"/>
        <v/>
      </c>
      <c r="U291" s="29" t="str">
        <f t="shared" si="113"/>
        <v/>
      </c>
      <c r="V291" s="60" t="str">
        <f t="shared" si="97"/>
        <v/>
      </c>
      <c r="W291" s="60" t="str">
        <f t="shared" si="114"/>
        <v/>
      </c>
      <c r="X291" s="60" t="str">
        <f t="shared" si="115"/>
        <v/>
      </c>
      <c r="Y291" s="60" t="str">
        <f t="shared" si="116"/>
        <v/>
      </c>
      <c r="Z291" s="60" t="str">
        <f t="shared" si="117"/>
        <v/>
      </c>
      <c r="AA291" s="60" t="str">
        <f t="shared" si="118"/>
        <v/>
      </c>
      <c r="AB291" s="60" t="str">
        <f t="shared" si="119"/>
        <v/>
      </c>
    </row>
    <row r="292" spans="2:28">
      <c r="B292" s="57" t="str">
        <f t="shared" si="98"/>
        <v/>
      </c>
      <c r="C292" s="58" t="str">
        <f t="shared" si="99"/>
        <v/>
      </c>
      <c r="D292" s="28" t="str">
        <f t="shared" si="100"/>
        <v/>
      </c>
      <c r="E292" s="28" t="str">
        <f t="shared" si="101"/>
        <v/>
      </c>
      <c r="F292" s="29" t="str">
        <f t="shared" si="102"/>
        <v/>
      </c>
      <c r="G292" s="60" t="str">
        <f t="shared" si="103"/>
        <v/>
      </c>
      <c r="H292" s="60" t="str">
        <f t="shared" si="104"/>
        <v/>
      </c>
      <c r="I292" s="60" t="str">
        <f t="shared" si="105"/>
        <v/>
      </c>
      <c r="J292" s="60" t="str">
        <f t="shared" si="106"/>
        <v/>
      </c>
      <c r="K292" s="60" t="str">
        <f t="shared" si="107"/>
        <v/>
      </c>
      <c r="L292" s="60" t="str">
        <f t="shared" si="108"/>
        <v/>
      </c>
      <c r="M292" s="60" t="str">
        <f t="shared" si="109"/>
        <v/>
      </c>
      <c r="Q292" s="57" t="str">
        <f t="shared" si="110"/>
        <v/>
      </c>
      <c r="R292" s="58" t="str">
        <f t="shared" si="111"/>
        <v/>
      </c>
      <c r="S292" s="28" t="str">
        <f t="shared" si="96"/>
        <v/>
      </c>
      <c r="T292" s="28" t="str">
        <f t="shared" si="112"/>
        <v/>
      </c>
      <c r="U292" s="29" t="str">
        <f t="shared" si="113"/>
        <v/>
      </c>
      <c r="V292" s="60" t="str">
        <f t="shared" si="97"/>
        <v/>
      </c>
      <c r="W292" s="60" t="str">
        <f t="shared" si="114"/>
        <v/>
      </c>
      <c r="X292" s="60" t="str">
        <f t="shared" si="115"/>
        <v/>
      </c>
      <c r="Y292" s="60" t="str">
        <f t="shared" si="116"/>
        <v/>
      </c>
      <c r="Z292" s="60" t="str">
        <f t="shared" si="117"/>
        <v/>
      </c>
      <c r="AA292" s="60" t="str">
        <f t="shared" si="118"/>
        <v/>
      </c>
      <c r="AB292" s="60" t="str">
        <f t="shared" si="119"/>
        <v/>
      </c>
    </row>
    <row r="293" spans="2:28">
      <c r="B293" s="57" t="str">
        <f t="shared" si="98"/>
        <v/>
      </c>
      <c r="C293" s="58" t="str">
        <f t="shared" si="99"/>
        <v/>
      </c>
      <c r="D293" s="28" t="str">
        <f t="shared" si="100"/>
        <v/>
      </c>
      <c r="E293" s="28" t="str">
        <f t="shared" si="101"/>
        <v/>
      </c>
      <c r="F293" s="29" t="str">
        <f t="shared" si="102"/>
        <v/>
      </c>
      <c r="G293" s="60" t="str">
        <f t="shared" si="103"/>
        <v/>
      </c>
      <c r="H293" s="60" t="str">
        <f t="shared" si="104"/>
        <v/>
      </c>
      <c r="I293" s="60" t="str">
        <f t="shared" si="105"/>
        <v/>
      </c>
      <c r="J293" s="60" t="str">
        <f t="shared" si="106"/>
        <v/>
      </c>
      <c r="K293" s="60" t="str">
        <f t="shared" si="107"/>
        <v/>
      </c>
      <c r="L293" s="60" t="str">
        <f t="shared" si="108"/>
        <v/>
      </c>
      <c r="M293" s="60" t="str">
        <f t="shared" si="109"/>
        <v/>
      </c>
      <c r="Q293" s="57" t="str">
        <f t="shared" si="110"/>
        <v/>
      </c>
      <c r="R293" s="58" t="str">
        <f t="shared" si="111"/>
        <v/>
      </c>
      <c r="S293" s="28" t="str">
        <f t="shared" si="96"/>
        <v/>
      </c>
      <c r="T293" s="28" t="str">
        <f t="shared" si="112"/>
        <v/>
      </c>
      <c r="U293" s="29" t="str">
        <f t="shared" si="113"/>
        <v/>
      </c>
      <c r="V293" s="60" t="str">
        <f t="shared" si="97"/>
        <v/>
      </c>
      <c r="W293" s="60" t="str">
        <f t="shared" si="114"/>
        <v/>
      </c>
      <c r="X293" s="60" t="str">
        <f t="shared" si="115"/>
        <v/>
      </c>
      <c r="Y293" s="60" t="str">
        <f t="shared" si="116"/>
        <v/>
      </c>
      <c r="Z293" s="60" t="str">
        <f t="shared" si="117"/>
        <v/>
      </c>
      <c r="AA293" s="60" t="str">
        <f t="shared" si="118"/>
        <v/>
      </c>
      <c r="AB293" s="60" t="str">
        <f t="shared" si="119"/>
        <v/>
      </c>
    </row>
    <row r="294" spans="2:28">
      <c r="B294" s="57" t="str">
        <f t="shared" si="98"/>
        <v/>
      </c>
      <c r="C294" s="58" t="str">
        <f t="shared" si="99"/>
        <v/>
      </c>
      <c r="D294" s="28" t="str">
        <f t="shared" si="100"/>
        <v/>
      </c>
      <c r="E294" s="28" t="str">
        <f t="shared" si="101"/>
        <v/>
      </c>
      <c r="F294" s="29" t="str">
        <f t="shared" si="102"/>
        <v/>
      </c>
      <c r="G294" s="60" t="str">
        <f t="shared" si="103"/>
        <v/>
      </c>
      <c r="H294" s="60" t="str">
        <f t="shared" si="104"/>
        <v/>
      </c>
      <c r="I294" s="60" t="str">
        <f t="shared" si="105"/>
        <v/>
      </c>
      <c r="J294" s="60" t="str">
        <f t="shared" si="106"/>
        <v/>
      </c>
      <c r="K294" s="60" t="str">
        <f t="shared" si="107"/>
        <v/>
      </c>
      <c r="L294" s="60" t="str">
        <f t="shared" si="108"/>
        <v/>
      </c>
      <c r="M294" s="60" t="str">
        <f t="shared" si="109"/>
        <v/>
      </c>
      <c r="Q294" s="57" t="str">
        <f t="shared" si="110"/>
        <v/>
      </c>
      <c r="R294" s="58" t="str">
        <f t="shared" si="111"/>
        <v/>
      </c>
      <c r="S294" s="28" t="str">
        <f t="shared" si="96"/>
        <v/>
      </c>
      <c r="T294" s="28" t="str">
        <f t="shared" si="112"/>
        <v/>
      </c>
      <c r="U294" s="29" t="str">
        <f t="shared" si="113"/>
        <v/>
      </c>
      <c r="V294" s="60" t="str">
        <f t="shared" si="97"/>
        <v/>
      </c>
      <c r="W294" s="60" t="str">
        <f t="shared" si="114"/>
        <v/>
      </c>
      <c r="X294" s="60" t="str">
        <f t="shared" si="115"/>
        <v/>
      </c>
      <c r="Y294" s="60" t="str">
        <f t="shared" si="116"/>
        <v/>
      </c>
      <c r="Z294" s="60" t="str">
        <f t="shared" si="117"/>
        <v/>
      </c>
      <c r="AA294" s="60" t="str">
        <f t="shared" si="118"/>
        <v/>
      </c>
      <c r="AB294" s="60" t="str">
        <f t="shared" si="119"/>
        <v/>
      </c>
    </row>
    <row r="295" spans="2:28">
      <c r="B295" s="57" t="str">
        <f t="shared" si="98"/>
        <v/>
      </c>
      <c r="C295" s="58" t="str">
        <f t="shared" si="99"/>
        <v/>
      </c>
      <c r="D295" s="28" t="str">
        <f t="shared" si="100"/>
        <v/>
      </c>
      <c r="E295" s="28" t="str">
        <f t="shared" si="101"/>
        <v/>
      </c>
      <c r="F295" s="29" t="str">
        <f t="shared" si="102"/>
        <v/>
      </c>
      <c r="G295" s="60" t="str">
        <f t="shared" si="103"/>
        <v/>
      </c>
      <c r="H295" s="60" t="str">
        <f t="shared" si="104"/>
        <v/>
      </c>
      <c r="I295" s="60" t="str">
        <f t="shared" si="105"/>
        <v/>
      </c>
      <c r="J295" s="60" t="str">
        <f t="shared" si="106"/>
        <v/>
      </c>
      <c r="K295" s="60" t="str">
        <f t="shared" si="107"/>
        <v/>
      </c>
      <c r="L295" s="60" t="str">
        <f t="shared" si="108"/>
        <v/>
      </c>
      <c r="M295" s="60" t="str">
        <f t="shared" si="109"/>
        <v/>
      </c>
      <c r="Q295" s="57" t="str">
        <f t="shared" si="110"/>
        <v/>
      </c>
      <c r="R295" s="58" t="str">
        <f t="shared" si="111"/>
        <v/>
      </c>
      <c r="S295" s="28" t="str">
        <f t="shared" si="96"/>
        <v/>
      </c>
      <c r="T295" s="28" t="str">
        <f t="shared" si="112"/>
        <v/>
      </c>
      <c r="U295" s="29" t="str">
        <f t="shared" si="113"/>
        <v/>
      </c>
      <c r="V295" s="60" t="str">
        <f t="shared" si="97"/>
        <v/>
      </c>
      <c r="W295" s="60" t="str">
        <f t="shared" si="114"/>
        <v/>
      </c>
      <c r="X295" s="60" t="str">
        <f t="shared" si="115"/>
        <v/>
      </c>
      <c r="Y295" s="60" t="str">
        <f t="shared" si="116"/>
        <v/>
      </c>
      <c r="Z295" s="60" t="str">
        <f t="shared" si="117"/>
        <v/>
      </c>
      <c r="AA295" s="60" t="str">
        <f t="shared" si="118"/>
        <v/>
      </c>
      <c r="AB295" s="60" t="str">
        <f t="shared" si="119"/>
        <v/>
      </c>
    </row>
    <row r="296" spans="2:28">
      <c r="B296" s="57" t="str">
        <f t="shared" si="98"/>
        <v/>
      </c>
      <c r="C296" s="58" t="str">
        <f t="shared" si="99"/>
        <v/>
      </c>
      <c r="D296" s="28" t="str">
        <f t="shared" si="100"/>
        <v/>
      </c>
      <c r="E296" s="28" t="str">
        <f t="shared" si="101"/>
        <v/>
      </c>
      <c r="F296" s="29" t="str">
        <f t="shared" si="102"/>
        <v/>
      </c>
      <c r="G296" s="60" t="str">
        <f t="shared" si="103"/>
        <v/>
      </c>
      <c r="H296" s="60" t="str">
        <f t="shared" si="104"/>
        <v/>
      </c>
      <c r="I296" s="60" t="str">
        <f t="shared" si="105"/>
        <v/>
      </c>
      <c r="J296" s="60" t="str">
        <f t="shared" si="106"/>
        <v/>
      </c>
      <c r="K296" s="60" t="str">
        <f t="shared" si="107"/>
        <v/>
      </c>
      <c r="L296" s="60" t="str">
        <f t="shared" si="108"/>
        <v/>
      </c>
      <c r="M296" s="60" t="str">
        <f t="shared" si="109"/>
        <v/>
      </c>
      <c r="Q296" s="57" t="str">
        <f t="shared" si="110"/>
        <v/>
      </c>
      <c r="R296" s="58" t="str">
        <f t="shared" si="111"/>
        <v/>
      </c>
      <c r="S296" s="28" t="str">
        <f t="shared" si="96"/>
        <v/>
      </c>
      <c r="T296" s="28" t="str">
        <f t="shared" si="112"/>
        <v/>
      </c>
      <c r="U296" s="29" t="str">
        <f t="shared" si="113"/>
        <v/>
      </c>
      <c r="V296" s="60" t="str">
        <f t="shared" si="97"/>
        <v/>
      </c>
      <c r="W296" s="60" t="str">
        <f t="shared" si="114"/>
        <v/>
      </c>
      <c r="X296" s="60" t="str">
        <f t="shared" si="115"/>
        <v/>
      </c>
      <c r="Y296" s="60" t="str">
        <f t="shared" si="116"/>
        <v/>
      </c>
      <c r="Z296" s="60" t="str">
        <f t="shared" si="117"/>
        <v/>
      </c>
      <c r="AA296" s="60" t="str">
        <f t="shared" si="118"/>
        <v/>
      </c>
      <c r="AB296" s="60" t="str">
        <f t="shared" si="119"/>
        <v/>
      </c>
    </row>
    <row r="297" spans="2:28">
      <c r="B297" s="57" t="str">
        <f t="shared" si="98"/>
        <v/>
      </c>
      <c r="C297" s="58" t="str">
        <f t="shared" si="99"/>
        <v/>
      </c>
      <c r="D297" s="28" t="str">
        <f t="shared" si="100"/>
        <v/>
      </c>
      <c r="E297" s="28" t="str">
        <f t="shared" si="101"/>
        <v/>
      </c>
      <c r="F297" s="29" t="str">
        <f t="shared" si="102"/>
        <v/>
      </c>
      <c r="G297" s="60" t="str">
        <f t="shared" si="103"/>
        <v/>
      </c>
      <c r="H297" s="60" t="str">
        <f t="shared" si="104"/>
        <v/>
      </c>
      <c r="I297" s="60" t="str">
        <f t="shared" si="105"/>
        <v/>
      </c>
      <c r="J297" s="60" t="str">
        <f t="shared" si="106"/>
        <v/>
      </c>
      <c r="K297" s="60" t="str">
        <f t="shared" si="107"/>
        <v/>
      </c>
      <c r="L297" s="60" t="str">
        <f t="shared" si="108"/>
        <v/>
      </c>
      <c r="M297" s="60" t="str">
        <f t="shared" si="109"/>
        <v/>
      </c>
      <c r="Q297" s="57" t="str">
        <f t="shared" si="110"/>
        <v/>
      </c>
      <c r="R297" s="58" t="str">
        <f t="shared" si="111"/>
        <v/>
      </c>
      <c r="S297" s="28" t="str">
        <f t="shared" si="96"/>
        <v/>
      </c>
      <c r="T297" s="28" t="str">
        <f t="shared" si="112"/>
        <v/>
      </c>
      <c r="U297" s="29" t="str">
        <f t="shared" si="113"/>
        <v/>
      </c>
      <c r="V297" s="60" t="str">
        <f t="shared" si="97"/>
        <v/>
      </c>
      <c r="W297" s="60" t="str">
        <f t="shared" si="114"/>
        <v/>
      </c>
      <c r="X297" s="60" t="str">
        <f t="shared" si="115"/>
        <v/>
      </c>
      <c r="Y297" s="60" t="str">
        <f t="shared" si="116"/>
        <v/>
      </c>
      <c r="Z297" s="60" t="str">
        <f t="shared" si="117"/>
        <v/>
      </c>
      <c r="AA297" s="60" t="str">
        <f t="shared" si="118"/>
        <v/>
      </c>
      <c r="AB297" s="60" t="str">
        <f t="shared" si="119"/>
        <v/>
      </c>
    </row>
    <row r="298" spans="2:28">
      <c r="B298" s="57" t="str">
        <f t="shared" si="98"/>
        <v/>
      </c>
      <c r="C298" s="58" t="str">
        <f t="shared" si="99"/>
        <v/>
      </c>
      <c r="D298" s="28" t="str">
        <f t="shared" si="100"/>
        <v/>
      </c>
      <c r="E298" s="28" t="str">
        <f t="shared" si="101"/>
        <v/>
      </c>
      <c r="F298" s="29" t="str">
        <f t="shared" si="102"/>
        <v/>
      </c>
      <c r="G298" s="60" t="str">
        <f t="shared" si="103"/>
        <v/>
      </c>
      <c r="H298" s="60" t="str">
        <f t="shared" si="104"/>
        <v/>
      </c>
      <c r="I298" s="60" t="str">
        <f t="shared" si="105"/>
        <v/>
      </c>
      <c r="J298" s="60" t="str">
        <f t="shared" si="106"/>
        <v/>
      </c>
      <c r="K298" s="60" t="str">
        <f t="shared" si="107"/>
        <v/>
      </c>
      <c r="L298" s="60" t="str">
        <f t="shared" si="108"/>
        <v/>
      </c>
      <c r="M298" s="60" t="str">
        <f t="shared" si="109"/>
        <v/>
      </c>
      <c r="Q298" s="57" t="str">
        <f t="shared" si="110"/>
        <v/>
      </c>
      <c r="R298" s="58" t="str">
        <f t="shared" si="111"/>
        <v/>
      </c>
      <c r="S298" s="28" t="str">
        <f t="shared" si="96"/>
        <v/>
      </c>
      <c r="T298" s="28" t="str">
        <f t="shared" si="112"/>
        <v/>
      </c>
      <c r="U298" s="29" t="str">
        <f t="shared" si="113"/>
        <v/>
      </c>
      <c r="V298" s="60" t="str">
        <f t="shared" si="97"/>
        <v/>
      </c>
      <c r="W298" s="60" t="str">
        <f t="shared" si="114"/>
        <v/>
      </c>
      <c r="X298" s="60" t="str">
        <f t="shared" si="115"/>
        <v/>
      </c>
      <c r="Y298" s="60" t="str">
        <f t="shared" si="116"/>
        <v/>
      </c>
      <c r="Z298" s="60" t="str">
        <f t="shared" si="117"/>
        <v/>
      </c>
      <c r="AA298" s="60" t="str">
        <f t="shared" si="118"/>
        <v/>
      </c>
      <c r="AB298" s="60" t="str">
        <f t="shared" si="119"/>
        <v/>
      </c>
    </row>
    <row r="299" spans="2:28">
      <c r="B299" s="57" t="str">
        <f t="shared" si="98"/>
        <v/>
      </c>
      <c r="C299" s="58" t="str">
        <f t="shared" si="99"/>
        <v/>
      </c>
      <c r="D299" s="28" t="str">
        <f t="shared" si="100"/>
        <v/>
      </c>
      <c r="E299" s="28" t="str">
        <f t="shared" si="101"/>
        <v/>
      </c>
      <c r="F299" s="29" t="str">
        <f t="shared" si="102"/>
        <v/>
      </c>
      <c r="G299" s="60" t="str">
        <f t="shared" si="103"/>
        <v/>
      </c>
      <c r="H299" s="60" t="str">
        <f t="shared" si="104"/>
        <v/>
      </c>
      <c r="I299" s="60" t="str">
        <f t="shared" si="105"/>
        <v/>
      </c>
      <c r="J299" s="60" t="str">
        <f t="shared" si="106"/>
        <v/>
      </c>
      <c r="K299" s="60" t="str">
        <f t="shared" si="107"/>
        <v/>
      </c>
      <c r="L299" s="60" t="str">
        <f t="shared" si="108"/>
        <v/>
      </c>
      <c r="M299" s="60" t="str">
        <f t="shared" si="109"/>
        <v/>
      </c>
      <c r="Q299" s="57" t="str">
        <f t="shared" si="110"/>
        <v/>
      </c>
      <c r="R299" s="58" t="str">
        <f t="shared" si="111"/>
        <v/>
      </c>
      <c r="S299" s="28" t="str">
        <f t="shared" si="96"/>
        <v/>
      </c>
      <c r="T299" s="28" t="str">
        <f t="shared" si="112"/>
        <v/>
      </c>
      <c r="U299" s="29" t="str">
        <f t="shared" si="113"/>
        <v/>
      </c>
      <c r="V299" s="60" t="str">
        <f t="shared" si="97"/>
        <v/>
      </c>
      <c r="W299" s="60" t="str">
        <f t="shared" si="114"/>
        <v/>
      </c>
      <c r="X299" s="60" t="str">
        <f t="shared" si="115"/>
        <v/>
      </c>
      <c r="Y299" s="60" t="str">
        <f t="shared" si="116"/>
        <v/>
      </c>
      <c r="Z299" s="60" t="str">
        <f t="shared" si="117"/>
        <v/>
      </c>
      <c r="AA299" s="60" t="str">
        <f t="shared" si="118"/>
        <v/>
      </c>
      <c r="AB299" s="60" t="str">
        <f t="shared" si="119"/>
        <v/>
      </c>
    </row>
    <row r="300" spans="2:28">
      <c r="B300" s="57" t="str">
        <f t="shared" si="98"/>
        <v/>
      </c>
      <c r="C300" s="58" t="str">
        <f t="shared" si="99"/>
        <v/>
      </c>
      <c r="D300" s="28" t="str">
        <f t="shared" si="100"/>
        <v/>
      </c>
      <c r="E300" s="28" t="str">
        <f t="shared" si="101"/>
        <v/>
      </c>
      <c r="F300" s="29" t="str">
        <f t="shared" si="102"/>
        <v/>
      </c>
      <c r="G300" s="60" t="str">
        <f t="shared" si="103"/>
        <v/>
      </c>
      <c r="H300" s="60" t="str">
        <f t="shared" si="104"/>
        <v/>
      </c>
      <c r="I300" s="60" t="str">
        <f t="shared" si="105"/>
        <v/>
      </c>
      <c r="J300" s="60" t="str">
        <f t="shared" si="106"/>
        <v/>
      </c>
      <c r="K300" s="60" t="str">
        <f t="shared" si="107"/>
        <v/>
      </c>
      <c r="L300" s="60" t="str">
        <f t="shared" si="108"/>
        <v/>
      </c>
      <c r="M300" s="60" t="str">
        <f t="shared" si="109"/>
        <v/>
      </c>
      <c r="Q300" s="57" t="str">
        <f t="shared" si="110"/>
        <v/>
      </c>
      <c r="R300" s="58" t="str">
        <f t="shared" si="111"/>
        <v/>
      </c>
      <c r="S300" s="28" t="str">
        <f t="shared" si="96"/>
        <v/>
      </c>
      <c r="T300" s="28" t="str">
        <f t="shared" si="112"/>
        <v/>
      </c>
      <c r="U300" s="29" t="str">
        <f t="shared" si="113"/>
        <v/>
      </c>
      <c r="V300" s="60" t="str">
        <f t="shared" si="97"/>
        <v/>
      </c>
      <c r="W300" s="60" t="str">
        <f t="shared" si="114"/>
        <v/>
      </c>
      <c r="X300" s="60" t="str">
        <f t="shared" si="115"/>
        <v/>
      </c>
      <c r="Y300" s="60" t="str">
        <f t="shared" si="116"/>
        <v/>
      </c>
      <c r="Z300" s="60" t="str">
        <f t="shared" si="117"/>
        <v/>
      </c>
      <c r="AA300" s="60" t="str">
        <f t="shared" si="118"/>
        <v/>
      </c>
      <c r="AB300" s="60" t="str">
        <f t="shared" si="119"/>
        <v/>
      </c>
    </row>
    <row r="301" spans="2:28">
      <c r="B301" s="57" t="str">
        <f t="shared" si="98"/>
        <v/>
      </c>
      <c r="C301" s="58" t="str">
        <f t="shared" si="99"/>
        <v/>
      </c>
      <c r="D301" s="28" t="str">
        <f t="shared" si="100"/>
        <v/>
      </c>
      <c r="E301" s="28" t="str">
        <f t="shared" si="101"/>
        <v/>
      </c>
      <c r="F301" s="29" t="str">
        <f t="shared" si="102"/>
        <v/>
      </c>
      <c r="G301" s="60" t="str">
        <f t="shared" si="103"/>
        <v/>
      </c>
      <c r="H301" s="60" t="str">
        <f t="shared" si="104"/>
        <v/>
      </c>
      <c r="I301" s="60" t="str">
        <f t="shared" si="105"/>
        <v/>
      </c>
      <c r="J301" s="60" t="str">
        <f t="shared" si="106"/>
        <v/>
      </c>
      <c r="K301" s="60" t="str">
        <f t="shared" si="107"/>
        <v/>
      </c>
      <c r="L301" s="60" t="str">
        <f t="shared" si="108"/>
        <v/>
      </c>
      <c r="M301" s="60" t="str">
        <f t="shared" si="109"/>
        <v/>
      </c>
      <c r="Q301" s="57" t="str">
        <f t="shared" si="110"/>
        <v/>
      </c>
      <c r="R301" s="58" t="str">
        <f t="shared" si="111"/>
        <v/>
      </c>
      <c r="S301" s="28" t="str">
        <f t="shared" si="96"/>
        <v/>
      </c>
      <c r="T301" s="28" t="str">
        <f t="shared" si="112"/>
        <v/>
      </c>
      <c r="U301" s="29" t="str">
        <f t="shared" si="113"/>
        <v/>
      </c>
      <c r="V301" s="60" t="str">
        <f t="shared" si="97"/>
        <v/>
      </c>
      <c r="W301" s="60" t="str">
        <f t="shared" si="114"/>
        <v/>
      </c>
      <c r="X301" s="60" t="str">
        <f t="shared" si="115"/>
        <v/>
      </c>
      <c r="Y301" s="60" t="str">
        <f t="shared" si="116"/>
        <v/>
      </c>
      <c r="Z301" s="60" t="str">
        <f t="shared" si="117"/>
        <v/>
      </c>
      <c r="AA301" s="60" t="str">
        <f t="shared" si="118"/>
        <v/>
      </c>
      <c r="AB301" s="60" t="str">
        <f t="shared" si="119"/>
        <v/>
      </c>
    </row>
    <row r="302" spans="2:28">
      <c r="B302" s="57" t="str">
        <f t="shared" si="98"/>
        <v/>
      </c>
      <c r="C302" s="58" t="str">
        <f t="shared" si="99"/>
        <v/>
      </c>
      <c r="D302" s="28" t="str">
        <f t="shared" si="100"/>
        <v/>
      </c>
      <c r="E302" s="28" t="str">
        <f t="shared" si="101"/>
        <v/>
      </c>
      <c r="F302" s="29" t="str">
        <f t="shared" si="102"/>
        <v/>
      </c>
      <c r="G302" s="60" t="str">
        <f t="shared" si="103"/>
        <v/>
      </c>
      <c r="H302" s="60" t="str">
        <f t="shared" si="104"/>
        <v/>
      </c>
      <c r="I302" s="60" t="str">
        <f t="shared" si="105"/>
        <v/>
      </c>
      <c r="J302" s="60" t="str">
        <f t="shared" si="106"/>
        <v/>
      </c>
      <c r="K302" s="60" t="str">
        <f t="shared" si="107"/>
        <v/>
      </c>
      <c r="L302" s="60" t="str">
        <f t="shared" si="108"/>
        <v/>
      </c>
      <c r="M302" s="60" t="str">
        <f t="shared" si="109"/>
        <v/>
      </c>
      <c r="Q302" s="57" t="str">
        <f t="shared" si="110"/>
        <v/>
      </c>
      <c r="R302" s="58" t="str">
        <f t="shared" si="111"/>
        <v/>
      </c>
      <c r="S302" s="28" t="str">
        <f t="shared" si="96"/>
        <v/>
      </c>
      <c r="T302" s="28" t="str">
        <f t="shared" si="112"/>
        <v/>
      </c>
      <c r="U302" s="29" t="str">
        <f t="shared" si="113"/>
        <v/>
      </c>
      <c r="V302" s="60" t="str">
        <f t="shared" si="97"/>
        <v/>
      </c>
      <c r="W302" s="60" t="str">
        <f t="shared" si="114"/>
        <v/>
      </c>
      <c r="X302" s="60" t="str">
        <f t="shared" si="115"/>
        <v/>
      </c>
      <c r="Y302" s="60" t="str">
        <f t="shared" si="116"/>
        <v/>
      </c>
      <c r="Z302" s="60" t="str">
        <f t="shared" si="117"/>
        <v/>
      </c>
      <c r="AA302" s="60" t="str">
        <f t="shared" si="118"/>
        <v/>
      </c>
      <c r="AB302" s="60" t="str">
        <f t="shared" si="119"/>
        <v/>
      </c>
    </row>
    <row r="303" spans="2:28">
      <c r="B303" s="57" t="str">
        <f t="shared" si="98"/>
        <v/>
      </c>
      <c r="C303" s="58" t="str">
        <f t="shared" si="99"/>
        <v/>
      </c>
      <c r="D303" s="28" t="str">
        <f t="shared" si="100"/>
        <v/>
      </c>
      <c r="E303" s="28" t="str">
        <f t="shared" si="101"/>
        <v/>
      </c>
      <c r="F303" s="29" t="str">
        <f t="shared" si="102"/>
        <v/>
      </c>
      <c r="G303" s="60" t="str">
        <f t="shared" si="103"/>
        <v/>
      </c>
      <c r="H303" s="60" t="str">
        <f t="shared" si="104"/>
        <v/>
      </c>
      <c r="I303" s="60" t="str">
        <f t="shared" si="105"/>
        <v/>
      </c>
      <c r="J303" s="60" t="str">
        <f t="shared" si="106"/>
        <v/>
      </c>
      <c r="K303" s="60" t="str">
        <f t="shared" si="107"/>
        <v/>
      </c>
      <c r="L303" s="60" t="str">
        <f t="shared" si="108"/>
        <v/>
      </c>
      <c r="M303" s="60" t="str">
        <f t="shared" si="109"/>
        <v/>
      </c>
      <c r="Q303" s="57" t="str">
        <f t="shared" si="110"/>
        <v/>
      </c>
      <c r="R303" s="58" t="str">
        <f t="shared" si="111"/>
        <v/>
      </c>
      <c r="S303" s="28" t="str">
        <f t="shared" si="96"/>
        <v/>
      </c>
      <c r="T303" s="28" t="str">
        <f t="shared" si="112"/>
        <v/>
      </c>
      <c r="U303" s="29" t="str">
        <f t="shared" si="113"/>
        <v/>
      </c>
      <c r="V303" s="60" t="str">
        <f t="shared" si="97"/>
        <v/>
      </c>
      <c r="W303" s="60" t="str">
        <f t="shared" si="114"/>
        <v/>
      </c>
      <c r="X303" s="60" t="str">
        <f t="shared" si="115"/>
        <v/>
      </c>
      <c r="Y303" s="60" t="str">
        <f t="shared" si="116"/>
        <v/>
      </c>
      <c r="Z303" s="60" t="str">
        <f t="shared" si="117"/>
        <v/>
      </c>
      <c r="AA303" s="60" t="str">
        <f t="shared" si="118"/>
        <v/>
      </c>
      <c r="AB303" s="60" t="str">
        <f t="shared" si="119"/>
        <v/>
      </c>
    </row>
    <row r="304" spans="2:28">
      <c r="B304" s="57" t="str">
        <f t="shared" si="98"/>
        <v/>
      </c>
      <c r="C304" s="58" t="str">
        <f t="shared" si="99"/>
        <v/>
      </c>
      <c r="D304" s="28" t="str">
        <f t="shared" si="100"/>
        <v/>
      </c>
      <c r="E304" s="28" t="str">
        <f t="shared" si="101"/>
        <v/>
      </c>
      <c r="F304" s="29" t="str">
        <f t="shared" si="102"/>
        <v/>
      </c>
      <c r="G304" s="60" t="str">
        <f t="shared" si="103"/>
        <v/>
      </c>
      <c r="H304" s="60" t="str">
        <f t="shared" si="104"/>
        <v/>
      </c>
      <c r="I304" s="60" t="str">
        <f t="shared" si="105"/>
        <v/>
      </c>
      <c r="J304" s="60" t="str">
        <f t="shared" si="106"/>
        <v/>
      </c>
      <c r="K304" s="60" t="str">
        <f t="shared" si="107"/>
        <v/>
      </c>
      <c r="L304" s="60" t="str">
        <f t="shared" si="108"/>
        <v/>
      </c>
      <c r="M304" s="60" t="str">
        <f t="shared" si="109"/>
        <v/>
      </c>
      <c r="Q304" s="57" t="str">
        <f t="shared" si="110"/>
        <v/>
      </c>
      <c r="R304" s="58" t="str">
        <f t="shared" si="111"/>
        <v/>
      </c>
      <c r="S304" s="28" t="str">
        <f t="shared" si="96"/>
        <v/>
      </c>
      <c r="T304" s="28" t="str">
        <f t="shared" si="112"/>
        <v/>
      </c>
      <c r="U304" s="29" t="str">
        <f t="shared" si="113"/>
        <v/>
      </c>
      <c r="V304" s="60" t="str">
        <f t="shared" si="97"/>
        <v/>
      </c>
      <c r="W304" s="60" t="str">
        <f t="shared" si="114"/>
        <v/>
      </c>
      <c r="X304" s="60" t="str">
        <f t="shared" si="115"/>
        <v/>
      </c>
      <c r="Y304" s="60" t="str">
        <f t="shared" si="116"/>
        <v/>
      </c>
      <c r="Z304" s="60" t="str">
        <f t="shared" si="117"/>
        <v/>
      </c>
      <c r="AA304" s="60" t="str">
        <f t="shared" si="118"/>
        <v/>
      </c>
      <c r="AB304" s="60" t="str">
        <f t="shared" si="119"/>
        <v/>
      </c>
    </row>
    <row r="305" spans="2:28">
      <c r="B305" s="57" t="str">
        <f t="shared" si="98"/>
        <v/>
      </c>
      <c r="C305" s="58" t="str">
        <f t="shared" si="99"/>
        <v/>
      </c>
      <c r="D305" s="28" t="str">
        <f t="shared" si="100"/>
        <v/>
      </c>
      <c r="E305" s="28" t="str">
        <f t="shared" si="101"/>
        <v/>
      </c>
      <c r="F305" s="29" t="str">
        <f t="shared" si="102"/>
        <v/>
      </c>
      <c r="G305" s="60" t="str">
        <f t="shared" si="103"/>
        <v/>
      </c>
      <c r="H305" s="60" t="str">
        <f t="shared" si="104"/>
        <v/>
      </c>
      <c r="I305" s="60" t="str">
        <f t="shared" si="105"/>
        <v/>
      </c>
      <c r="J305" s="60" t="str">
        <f t="shared" si="106"/>
        <v/>
      </c>
      <c r="K305" s="60" t="str">
        <f t="shared" si="107"/>
        <v/>
      </c>
      <c r="L305" s="60" t="str">
        <f t="shared" si="108"/>
        <v/>
      </c>
      <c r="M305" s="60" t="str">
        <f t="shared" si="109"/>
        <v/>
      </c>
      <c r="Q305" s="57" t="str">
        <f t="shared" si="110"/>
        <v/>
      </c>
      <c r="R305" s="58" t="str">
        <f t="shared" si="111"/>
        <v/>
      </c>
      <c r="S305" s="28" t="str">
        <f t="shared" si="96"/>
        <v/>
      </c>
      <c r="T305" s="28" t="str">
        <f t="shared" si="112"/>
        <v/>
      </c>
      <c r="U305" s="29" t="str">
        <f t="shared" si="113"/>
        <v/>
      </c>
      <c r="V305" s="60" t="str">
        <f t="shared" si="97"/>
        <v/>
      </c>
      <c r="W305" s="60" t="str">
        <f t="shared" si="114"/>
        <v/>
      </c>
      <c r="X305" s="60" t="str">
        <f t="shared" si="115"/>
        <v/>
      </c>
      <c r="Y305" s="60" t="str">
        <f t="shared" si="116"/>
        <v/>
      </c>
      <c r="Z305" s="60" t="str">
        <f t="shared" si="117"/>
        <v/>
      </c>
      <c r="AA305" s="60" t="str">
        <f t="shared" si="118"/>
        <v/>
      </c>
      <c r="AB305" s="60" t="str">
        <f t="shared" si="119"/>
        <v/>
      </c>
    </row>
    <row r="306" spans="2:28">
      <c r="B306" s="57" t="str">
        <f t="shared" si="98"/>
        <v/>
      </c>
      <c r="C306" s="58" t="str">
        <f t="shared" si="99"/>
        <v/>
      </c>
      <c r="D306" s="28" t="str">
        <f t="shared" si="100"/>
        <v/>
      </c>
      <c r="E306" s="28" t="str">
        <f t="shared" si="101"/>
        <v/>
      </c>
      <c r="F306" s="29" t="str">
        <f t="shared" si="102"/>
        <v/>
      </c>
      <c r="G306" s="60" t="str">
        <f t="shared" si="103"/>
        <v/>
      </c>
      <c r="H306" s="60" t="str">
        <f t="shared" si="104"/>
        <v/>
      </c>
      <c r="I306" s="60" t="str">
        <f t="shared" si="105"/>
        <v/>
      </c>
      <c r="J306" s="60" t="str">
        <f t="shared" si="106"/>
        <v/>
      </c>
      <c r="K306" s="60" t="str">
        <f t="shared" si="107"/>
        <v/>
      </c>
      <c r="L306" s="60" t="str">
        <f t="shared" si="108"/>
        <v/>
      </c>
      <c r="M306" s="60" t="str">
        <f t="shared" si="109"/>
        <v/>
      </c>
      <c r="Q306" s="57" t="str">
        <f t="shared" si="110"/>
        <v/>
      </c>
      <c r="R306" s="58" t="str">
        <f t="shared" si="111"/>
        <v/>
      </c>
      <c r="S306" s="28" t="str">
        <f t="shared" si="96"/>
        <v/>
      </c>
      <c r="T306" s="28" t="str">
        <f t="shared" si="112"/>
        <v/>
      </c>
      <c r="U306" s="29" t="str">
        <f t="shared" si="113"/>
        <v/>
      </c>
      <c r="V306" s="60" t="str">
        <f t="shared" si="97"/>
        <v/>
      </c>
      <c r="W306" s="60" t="str">
        <f t="shared" si="114"/>
        <v/>
      </c>
      <c r="X306" s="60" t="str">
        <f t="shared" si="115"/>
        <v/>
      </c>
      <c r="Y306" s="60" t="str">
        <f t="shared" si="116"/>
        <v/>
      </c>
      <c r="Z306" s="60" t="str">
        <f t="shared" si="117"/>
        <v/>
      </c>
      <c r="AA306" s="60" t="str">
        <f t="shared" si="118"/>
        <v/>
      </c>
      <c r="AB306" s="60" t="str">
        <f t="shared" si="119"/>
        <v/>
      </c>
    </row>
    <row r="307" spans="2:28">
      <c r="B307" s="57" t="str">
        <f t="shared" si="98"/>
        <v/>
      </c>
      <c r="C307" s="58" t="str">
        <f t="shared" si="99"/>
        <v/>
      </c>
      <c r="D307" s="28" t="str">
        <f t="shared" si="100"/>
        <v/>
      </c>
      <c r="E307" s="28" t="str">
        <f t="shared" si="101"/>
        <v/>
      </c>
      <c r="F307" s="29" t="str">
        <f t="shared" si="102"/>
        <v/>
      </c>
      <c r="G307" s="60" t="str">
        <f t="shared" si="103"/>
        <v/>
      </c>
      <c r="H307" s="60" t="str">
        <f t="shared" si="104"/>
        <v/>
      </c>
      <c r="I307" s="60" t="str">
        <f t="shared" si="105"/>
        <v/>
      </c>
      <c r="J307" s="60" t="str">
        <f t="shared" si="106"/>
        <v/>
      </c>
      <c r="K307" s="60" t="str">
        <f t="shared" si="107"/>
        <v/>
      </c>
      <c r="L307" s="60" t="str">
        <f t="shared" si="108"/>
        <v/>
      </c>
      <c r="M307" s="60" t="str">
        <f t="shared" si="109"/>
        <v/>
      </c>
      <c r="Q307" s="57" t="str">
        <f t="shared" si="110"/>
        <v/>
      </c>
      <c r="R307" s="58" t="str">
        <f t="shared" si="111"/>
        <v/>
      </c>
      <c r="S307" s="28" t="str">
        <f t="shared" si="96"/>
        <v/>
      </c>
      <c r="T307" s="28" t="str">
        <f t="shared" si="112"/>
        <v/>
      </c>
      <c r="U307" s="29" t="str">
        <f t="shared" si="113"/>
        <v/>
      </c>
      <c r="V307" s="60" t="str">
        <f t="shared" si="97"/>
        <v/>
      </c>
      <c r="W307" s="60" t="str">
        <f t="shared" si="114"/>
        <v/>
      </c>
      <c r="X307" s="60" t="str">
        <f t="shared" si="115"/>
        <v/>
      </c>
      <c r="Y307" s="60" t="str">
        <f t="shared" si="116"/>
        <v/>
      </c>
      <c r="Z307" s="60" t="str">
        <f t="shared" si="117"/>
        <v/>
      </c>
      <c r="AA307" s="60" t="str">
        <f t="shared" si="118"/>
        <v/>
      </c>
      <c r="AB307" s="60" t="str">
        <f t="shared" si="119"/>
        <v/>
      </c>
    </row>
    <row r="308" spans="2:28">
      <c r="B308" s="57" t="str">
        <f t="shared" si="98"/>
        <v/>
      </c>
      <c r="C308" s="58" t="str">
        <f t="shared" si="99"/>
        <v/>
      </c>
      <c r="D308" s="28" t="str">
        <f t="shared" si="100"/>
        <v/>
      </c>
      <c r="E308" s="28" t="str">
        <f t="shared" si="101"/>
        <v/>
      </c>
      <c r="F308" s="29" t="str">
        <f t="shared" si="102"/>
        <v/>
      </c>
      <c r="G308" s="60" t="str">
        <f t="shared" si="103"/>
        <v/>
      </c>
      <c r="H308" s="60" t="str">
        <f t="shared" si="104"/>
        <v/>
      </c>
      <c r="I308" s="60" t="str">
        <f t="shared" si="105"/>
        <v/>
      </c>
      <c r="J308" s="60" t="str">
        <f t="shared" si="106"/>
        <v/>
      </c>
      <c r="K308" s="60" t="str">
        <f t="shared" si="107"/>
        <v/>
      </c>
      <c r="L308" s="60" t="str">
        <f t="shared" si="108"/>
        <v/>
      </c>
      <c r="M308" s="60" t="str">
        <f t="shared" si="109"/>
        <v/>
      </c>
      <c r="Q308" s="57" t="str">
        <f t="shared" si="110"/>
        <v/>
      </c>
      <c r="R308" s="58" t="str">
        <f t="shared" si="111"/>
        <v/>
      </c>
      <c r="S308" s="28" t="str">
        <f t="shared" si="96"/>
        <v/>
      </c>
      <c r="T308" s="28" t="str">
        <f t="shared" si="112"/>
        <v/>
      </c>
      <c r="U308" s="29" t="str">
        <f t="shared" si="113"/>
        <v/>
      </c>
      <c r="V308" s="60" t="str">
        <f t="shared" si="97"/>
        <v/>
      </c>
      <c r="W308" s="60" t="str">
        <f t="shared" si="114"/>
        <v/>
      </c>
      <c r="X308" s="60" t="str">
        <f t="shared" si="115"/>
        <v/>
      </c>
      <c r="Y308" s="60" t="str">
        <f t="shared" si="116"/>
        <v/>
      </c>
      <c r="Z308" s="60" t="str">
        <f t="shared" si="117"/>
        <v/>
      </c>
      <c r="AA308" s="60" t="str">
        <f t="shared" si="118"/>
        <v/>
      </c>
      <c r="AB308" s="60" t="str">
        <f t="shared" si="119"/>
        <v/>
      </c>
    </row>
    <row r="309" spans="2:28">
      <c r="B309" s="57" t="str">
        <f t="shared" si="98"/>
        <v/>
      </c>
      <c r="C309" s="58" t="str">
        <f t="shared" si="99"/>
        <v/>
      </c>
      <c r="D309" s="28" t="str">
        <f t="shared" si="100"/>
        <v/>
      </c>
      <c r="E309" s="28" t="str">
        <f t="shared" si="101"/>
        <v/>
      </c>
      <c r="F309" s="29" t="str">
        <f t="shared" si="102"/>
        <v/>
      </c>
      <c r="G309" s="60" t="str">
        <f t="shared" si="103"/>
        <v/>
      </c>
      <c r="H309" s="60" t="str">
        <f t="shared" si="104"/>
        <v/>
      </c>
      <c r="I309" s="60" t="str">
        <f t="shared" si="105"/>
        <v/>
      </c>
      <c r="J309" s="60" t="str">
        <f t="shared" si="106"/>
        <v/>
      </c>
      <c r="K309" s="60" t="str">
        <f t="shared" si="107"/>
        <v/>
      </c>
      <c r="L309" s="60" t="str">
        <f t="shared" si="108"/>
        <v/>
      </c>
      <c r="M309" s="60" t="str">
        <f t="shared" si="109"/>
        <v/>
      </c>
      <c r="Q309" s="57" t="str">
        <f t="shared" si="110"/>
        <v/>
      </c>
      <c r="R309" s="58" t="str">
        <f t="shared" si="111"/>
        <v/>
      </c>
      <c r="S309" s="28" t="str">
        <f t="shared" si="96"/>
        <v/>
      </c>
      <c r="T309" s="28" t="str">
        <f t="shared" si="112"/>
        <v/>
      </c>
      <c r="U309" s="29" t="str">
        <f t="shared" si="113"/>
        <v/>
      </c>
      <c r="V309" s="60" t="str">
        <f t="shared" si="97"/>
        <v/>
      </c>
      <c r="W309" s="60" t="str">
        <f t="shared" si="114"/>
        <v/>
      </c>
      <c r="X309" s="60" t="str">
        <f t="shared" si="115"/>
        <v/>
      </c>
      <c r="Y309" s="60" t="str">
        <f t="shared" si="116"/>
        <v/>
      </c>
      <c r="Z309" s="60" t="str">
        <f t="shared" si="117"/>
        <v/>
      </c>
      <c r="AA309" s="60" t="str">
        <f t="shared" si="118"/>
        <v/>
      </c>
      <c r="AB309" s="60" t="str">
        <f t="shared" si="119"/>
        <v/>
      </c>
    </row>
    <row r="310" spans="2:28">
      <c r="B310" s="57" t="str">
        <f t="shared" si="98"/>
        <v/>
      </c>
      <c r="C310" s="58" t="str">
        <f t="shared" si="99"/>
        <v/>
      </c>
      <c r="D310" s="28" t="str">
        <f t="shared" si="100"/>
        <v/>
      </c>
      <c r="E310" s="28" t="str">
        <f t="shared" si="101"/>
        <v/>
      </c>
      <c r="F310" s="29" t="str">
        <f t="shared" si="102"/>
        <v/>
      </c>
      <c r="G310" s="60" t="str">
        <f t="shared" si="103"/>
        <v/>
      </c>
      <c r="H310" s="60" t="str">
        <f t="shared" si="104"/>
        <v/>
      </c>
      <c r="I310" s="60" t="str">
        <f t="shared" si="105"/>
        <v/>
      </c>
      <c r="J310" s="60" t="str">
        <f t="shared" si="106"/>
        <v/>
      </c>
      <c r="K310" s="60" t="str">
        <f t="shared" si="107"/>
        <v/>
      </c>
      <c r="L310" s="60" t="str">
        <f t="shared" si="108"/>
        <v/>
      </c>
      <c r="M310" s="60" t="str">
        <f t="shared" si="109"/>
        <v/>
      </c>
      <c r="Q310" s="57" t="str">
        <f t="shared" si="110"/>
        <v/>
      </c>
      <c r="R310" s="58" t="str">
        <f t="shared" si="111"/>
        <v/>
      </c>
      <c r="S310" s="28" t="str">
        <f t="shared" si="96"/>
        <v/>
      </c>
      <c r="T310" s="28" t="str">
        <f t="shared" si="112"/>
        <v/>
      </c>
      <c r="U310" s="29" t="str">
        <f t="shared" si="113"/>
        <v/>
      </c>
      <c r="V310" s="60" t="str">
        <f t="shared" si="97"/>
        <v/>
      </c>
      <c r="W310" s="60" t="str">
        <f t="shared" si="114"/>
        <v/>
      </c>
      <c r="X310" s="60" t="str">
        <f t="shared" si="115"/>
        <v/>
      </c>
      <c r="Y310" s="60" t="str">
        <f t="shared" si="116"/>
        <v/>
      </c>
      <c r="Z310" s="60" t="str">
        <f t="shared" si="117"/>
        <v/>
      </c>
      <c r="AA310" s="60" t="str">
        <f t="shared" si="118"/>
        <v/>
      </c>
      <c r="AB310" s="60" t="str">
        <f t="shared" si="119"/>
        <v/>
      </c>
    </row>
    <row r="311" spans="2:28">
      <c r="B311" s="57" t="str">
        <f t="shared" si="98"/>
        <v/>
      </c>
      <c r="C311" s="58" t="str">
        <f t="shared" si="99"/>
        <v/>
      </c>
      <c r="D311" s="28" t="str">
        <f t="shared" si="100"/>
        <v/>
      </c>
      <c r="E311" s="28" t="str">
        <f t="shared" si="101"/>
        <v/>
      </c>
      <c r="F311" s="29" t="str">
        <f t="shared" si="102"/>
        <v/>
      </c>
      <c r="G311" s="60" t="str">
        <f t="shared" si="103"/>
        <v/>
      </c>
      <c r="H311" s="60" t="str">
        <f t="shared" si="104"/>
        <v/>
      </c>
      <c r="I311" s="60" t="str">
        <f t="shared" si="105"/>
        <v/>
      </c>
      <c r="J311" s="60" t="str">
        <f t="shared" si="106"/>
        <v/>
      </c>
      <c r="K311" s="60" t="str">
        <f t="shared" si="107"/>
        <v/>
      </c>
      <c r="L311" s="60" t="str">
        <f t="shared" si="108"/>
        <v/>
      </c>
      <c r="M311" s="60" t="str">
        <f t="shared" si="109"/>
        <v/>
      </c>
      <c r="Q311" s="57" t="str">
        <f t="shared" si="110"/>
        <v/>
      </c>
      <c r="R311" s="58" t="str">
        <f t="shared" si="111"/>
        <v/>
      </c>
      <c r="S311" s="28" t="str">
        <f t="shared" si="96"/>
        <v/>
      </c>
      <c r="T311" s="28" t="str">
        <f t="shared" si="112"/>
        <v/>
      </c>
      <c r="U311" s="29" t="str">
        <f t="shared" si="113"/>
        <v/>
      </c>
      <c r="V311" s="60" t="str">
        <f t="shared" si="97"/>
        <v/>
      </c>
      <c r="W311" s="60" t="str">
        <f t="shared" si="114"/>
        <v/>
      </c>
      <c r="X311" s="60" t="str">
        <f t="shared" si="115"/>
        <v/>
      </c>
      <c r="Y311" s="60" t="str">
        <f t="shared" si="116"/>
        <v/>
      </c>
      <c r="Z311" s="60" t="str">
        <f t="shared" si="117"/>
        <v/>
      </c>
      <c r="AA311" s="60" t="str">
        <f t="shared" si="118"/>
        <v/>
      </c>
      <c r="AB311" s="60" t="str">
        <f t="shared" si="119"/>
        <v/>
      </c>
    </row>
    <row r="312" spans="2:28">
      <c r="B312" s="57" t="str">
        <f t="shared" si="98"/>
        <v/>
      </c>
      <c r="C312" s="58" t="str">
        <f t="shared" si="99"/>
        <v/>
      </c>
      <c r="D312" s="28" t="str">
        <f t="shared" si="100"/>
        <v/>
      </c>
      <c r="E312" s="28" t="str">
        <f t="shared" si="101"/>
        <v/>
      </c>
      <c r="F312" s="29" t="str">
        <f t="shared" si="102"/>
        <v/>
      </c>
      <c r="G312" s="60" t="str">
        <f t="shared" si="103"/>
        <v/>
      </c>
      <c r="H312" s="60" t="str">
        <f t="shared" si="104"/>
        <v/>
      </c>
      <c r="I312" s="60" t="str">
        <f t="shared" si="105"/>
        <v/>
      </c>
      <c r="J312" s="60" t="str">
        <f t="shared" si="106"/>
        <v/>
      </c>
      <c r="K312" s="60" t="str">
        <f t="shared" si="107"/>
        <v/>
      </c>
      <c r="L312" s="60" t="str">
        <f t="shared" si="108"/>
        <v/>
      </c>
      <c r="M312" s="60" t="str">
        <f t="shared" si="109"/>
        <v/>
      </c>
      <c r="Q312" s="57" t="str">
        <f t="shared" si="110"/>
        <v/>
      </c>
      <c r="R312" s="58" t="str">
        <f t="shared" si="111"/>
        <v/>
      </c>
      <c r="S312" s="28" t="str">
        <f t="shared" si="96"/>
        <v/>
      </c>
      <c r="T312" s="28" t="str">
        <f t="shared" si="112"/>
        <v/>
      </c>
      <c r="U312" s="29" t="str">
        <f t="shared" si="113"/>
        <v/>
      </c>
      <c r="V312" s="60" t="str">
        <f t="shared" si="97"/>
        <v/>
      </c>
      <c r="W312" s="60" t="str">
        <f t="shared" si="114"/>
        <v/>
      </c>
      <c r="X312" s="60" t="str">
        <f t="shared" si="115"/>
        <v/>
      </c>
      <c r="Y312" s="60" t="str">
        <f t="shared" si="116"/>
        <v/>
      </c>
      <c r="Z312" s="60" t="str">
        <f t="shared" si="117"/>
        <v/>
      </c>
      <c r="AA312" s="60" t="str">
        <f t="shared" si="118"/>
        <v/>
      </c>
      <c r="AB312" s="60" t="str">
        <f t="shared" si="119"/>
        <v/>
      </c>
    </row>
    <row r="313" spans="2:28">
      <c r="B313" s="57" t="str">
        <f t="shared" si="98"/>
        <v/>
      </c>
      <c r="C313" s="58" t="str">
        <f t="shared" si="99"/>
        <v/>
      </c>
      <c r="D313" s="28" t="str">
        <f t="shared" si="100"/>
        <v/>
      </c>
      <c r="E313" s="28" t="str">
        <f t="shared" si="101"/>
        <v/>
      </c>
      <c r="F313" s="29" t="str">
        <f t="shared" si="102"/>
        <v/>
      </c>
      <c r="G313" s="60" t="str">
        <f t="shared" si="103"/>
        <v/>
      </c>
      <c r="H313" s="60" t="str">
        <f t="shared" si="104"/>
        <v/>
      </c>
      <c r="I313" s="60" t="str">
        <f t="shared" si="105"/>
        <v/>
      </c>
      <c r="J313" s="60" t="str">
        <f t="shared" si="106"/>
        <v/>
      </c>
      <c r="K313" s="60" t="str">
        <f t="shared" si="107"/>
        <v/>
      </c>
      <c r="L313" s="60" t="str">
        <f t="shared" si="108"/>
        <v/>
      </c>
      <c r="M313" s="60" t="str">
        <f t="shared" si="109"/>
        <v/>
      </c>
      <c r="Q313" s="57" t="str">
        <f t="shared" si="110"/>
        <v/>
      </c>
      <c r="R313" s="58" t="str">
        <f t="shared" si="111"/>
        <v/>
      </c>
      <c r="S313" s="28" t="str">
        <f t="shared" si="96"/>
        <v/>
      </c>
      <c r="T313" s="28" t="str">
        <f t="shared" si="112"/>
        <v/>
      </c>
      <c r="U313" s="29" t="str">
        <f t="shared" si="113"/>
        <v/>
      </c>
      <c r="V313" s="60" t="str">
        <f t="shared" si="97"/>
        <v/>
      </c>
      <c r="W313" s="60" t="str">
        <f t="shared" si="114"/>
        <v/>
      </c>
      <c r="X313" s="60" t="str">
        <f t="shared" si="115"/>
        <v/>
      </c>
      <c r="Y313" s="60" t="str">
        <f t="shared" si="116"/>
        <v/>
      </c>
      <c r="Z313" s="60" t="str">
        <f t="shared" si="117"/>
        <v/>
      </c>
      <c r="AA313" s="60" t="str">
        <f t="shared" si="118"/>
        <v/>
      </c>
      <c r="AB313" s="60" t="str">
        <f t="shared" si="119"/>
        <v/>
      </c>
    </row>
    <row r="314" spans="2:28">
      <c r="B314" s="57" t="str">
        <f t="shared" si="98"/>
        <v/>
      </c>
      <c r="C314" s="58" t="str">
        <f t="shared" si="99"/>
        <v/>
      </c>
      <c r="D314" s="28" t="str">
        <f t="shared" si="100"/>
        <v/>
      </c>
      <c r="E314" s="28" t="str">
        <f t="shared" si="101"/>
        <v/>
      </c>
      <c r="F314" s="29" t="str">
        <f t="shared" si="102"/>
        <v/>
      </c>
      <c r="G314" s="60" t="str">
        <f t="shared" si="103"/>
        <v/>
      </c>
      <c r="H314" s="60" t="str">
        <f t="shared" si="104"/>
        <v/>
      </c>
      <c r="I314" s="60" t="str">
        <f t="shared" si="105"/>
        <v/>
      </c>
      <c r="J314" s="60" t="str">
        <f t="shared" si="106"/>
        <v/>
      </c>
      <c r="K314" s="60" t="str">
        <f t="shared" si="107"/>
        <v/>
      </c>
      <c r="L314" s="60" t="str">
        <f t="shared" si="108"/>
        <v/>
      </c>
      <c r="M314" s="60" t="str">
        <f t="shared" si="109"/>
        <v/>
      </c>
      <c r="Q314" s="57" t="str">
        <f t="shared" si="110"/>
        <v/>
      </c>
      <c r="R314" s="58" t="str">
        <f t="shared" si="111"/>
        <v/>
      </c>
      <c r="S314" s="28" t="str">
        <f t="shared" si="96"/>
        <v/>
      </c>
      <c r="T314" s="28" t="str">
        <f t="shared" si="112"/>
        <v/>
      </c>
      <c r="U314" s="29" t="str">
        <f t="shared" si="113"/>
        <v/>
      </c>
      <c r="V314" s="60" t="str">
        <f t="shared" si="97"/>
        <v/>
      </c>
      <c r="W314" s="60" t="str">
        <f t="shared" si="114"/>
        <v/>
      </c>
      <c r="X314" s="60" t="str">
        <f t="shared" si="115"/>
        <v/>
      </c>
      <c r="Y314" s="60" t="str">
        <f t="shared" si="116"/>
        <v/>
      </c>
      <c r="Z314" s="60" t="str">
        <f t="shared" si="117"/>
        <v/>
      </c>
      <c r="AA314" s="60" t="str">
        <f t="shared" si="118"/>
        <v/>
      </c>
      <c r="AB314" s="60" t="str">
        <f t="shared" si="119"/>
        <v/>
      </c>
    </row>
    <row r="315" spans="2:28">
      <c r="B315" s="57" t="str">
        <f t="shared" si="98"/>
        <v/>
      </c>
      <c r="C315" s="58" t="str">
        <f t="shared" si="99"/>
        <v/>
      </c>
      <c r="D315" s="28" t="str">
        <f t="shared" si="100"/>
        <v/>
      </c>
      <c r="E315" s="28" t="str">
        <f t="shared" si="101"/>
        <v/>
      </c>
      <c r="F315" s="29" t="str">
        <f t="shared" si="102"/>
        <v/>
      </c>
      <c r="G315" s="60" t="str">
        <f t="shared" si="103"/>
        <v/>
      </c>
      <c r="H315" s="60" t="str">
        <f t="shared" si="104"/>
        <v/>
      </c>
      <c r="I315" s="60" t="str">
        <f t="shared" si="105"/>
        <v/>
      </c>
      <c r="J315" s="60" t="str">
        <f t="shared" si="106"/>
        <v/>
      </c>
      <c r="K315" s="60" t="str">
        <f t="shared" si="107"/>
        <v/>
      </c>
      <c r="L315" s="60" t="str">
        <f t="shared" si="108"/>
        <v/>
      </c>
      <c r="M315" s="60" t="str">
        <f t="shared" si="109"/>
        <v/>
      </c>
      <c r="Q315" s="57" t="str">
        <f t="shared" si="110"/>
        <v/>
      </c>
      <c r="R315" s="58" t="str">
        <f t="shared" si="111"/>
        <v/>
      </c>
      <c r="S315" s="28" t="str">
        <f t="shared" si="96"/>
        <v/>
      </c>
      <c r="T315" s="28" t="str">
        <f t="shared" si="112"/>
        <v/>
      </c>
      <c r="U315" s="29" t="str">
        <f t="shared" si="113"/>
        <v/>
      </c>
      <c r="V315" s="60" t="str">
        <f t="shared" si="97"/>
        <v/>
      </c>
      <c r="W315" s="60" t="str">
        <f t="shared" si="114"/>
        <v/>
      </c>
      <c r="X315" s="60" t="str">
        <f t="shared" si="115"/>
        <v/>
      </c>
      <c r="Y315" s="60" t="str">
        <f t="shared" si="116"/>
        <v/>
      </c>
      <c r="Z315" s="60" t="str">
        <f t="shared" si="117"/>
        <v/>
      </c>
      <c r="AA315" s="60" t="str">
        <f t="shared" si="118"/>
        <v/>
      </c>
      <c r="AB315" s="60" t="str">
        <f t="shared" si="119"/>
        <v/>
      </c>
    </row>
    <row r="316" spans="2:28">
      <c r="B316" s="57" t="str">
        <f t="shared" si="98"/>
        <v/>
      </c>
      <c r="C316" s="58" t="str">
        <f t="shared" si="99"/>
        <v/>
      </c>
      <c r="D316" s="28" t="str">
        <f t="shared" si="100"/>
        <v/>
      </c>
      <c r="E316" s="28" t="str">
        <f t="shared" si="101"/>
        <v/>
      </c>
      <c r="F316" s="29" t="str">
        <f t="shared" si="102"/>
        <v/>
      </c>
      <c r="G316" s="60" t="str">
        <f t="shared" si="103"/>
        <v/>
      </c>
      <c r="H316" s="60" t="str">
        <f t="shared" si="104"/>
        <v/>
      </c>
      <c r="I316" s="60" t="str">
        <f t="shared" si="105"/>
        <v/>
      </c>
      <c r="J316" s="60" t="str">
        <f t="shared" si="106"/>
        <v/>
      </c>
      <c r="K316" s="60" t="str">
        <f t="shared" si="107"/>
        <v/>
      </c>
      <c r="L316" s="60" t="str">
        <f t="shared" si="108"/>
        <v/>
      </c>
      <c r="M316" s="60" t="str">
        <f t="shared" si="109"/>
        <v/>
      </c>
      <c r="Q316" s="57" t="str">
        <f t="shared" si="110"/>
        <v/>
      </c>
      <c r="R316" s="58" t="str">
        <f t="shared" si="111"/>
        <v/>
      </c>
      <c r="S316" s="28" t="str">
        <f t="shared" si="96"/>
        <v/>
      </c>
      <c r="T316" s="28" t="str">
        <f t="shared" si="112"/>
        <v/>
      </c>
      <c r="U316" s="29" t="str">
        <f t="shared" si="113"/>
        <v/>
      </c>
      <c r="V316" s="60" t="str">
        <f t="shared" si="97"/>
        <v/>
      </c>
      <c r="W316" s="60" t="str">
        <f t="shared" si="114"/>
        <v/>
      </c>
      <c r="X316" s="60" t="str">
        <f t="shared" si="115"/>
        <v/>
      </c>
      <c r="Y316" s="60" t="str">
        <f t="shared" si="116"/>
        <v/>
      </c>
      <c r="Z316" s="60" t="str">
        <f t="shared" si="117"/>
        <v/>
      </c>
      <c r="AA316" s="60" t="str">
        <f t="shared" si="118"/>
        <v/>
      </c>
      <c r="AB316" s="60" t="str">
        <f t="shared" si="119"/>
        <v/>
      </c>
    </row>
    <row r="317" spans="2:28">
      <c r="B317" s="57" t="str">
        <f t="shared" si="98"/>
        <v/>
      </c>
      <c r="C317" s="58" t="str">
        <f t="shared" si="99"/>
        <v/>
      </c>
      <c r="D317" s="28" t="str">
        <f t="shared" si="100"/>
        <v/>
      </c>
      <c r="E317" s="28" t="str">
        <f t="shared" si="101"/>
        <v/>
      </c>
      <c r="F317" s="29" t="str">
        <f t="shared" si="102"/>
        <v/>
      </c>
      <c r="G317" s="60" t="str">
        <f t="shared" si="103"/>
        <v/>
      </c>
      <c r="H317" s="60" t="str">
        <f t="shared" si="104"/>
        <v/>
      </c>
      <c r="I317" s="60" t="str">
        <f t="shared" si="105"/>
        <v/>
      </c>
      <c r="J317" s="60" t="str">
        <f t="shared" si="106"/>
        <v/>
      </c>
      <c r="K317" s="60" t="str">
        <f t="shared" si="107"/>
        <v/>
      </c>
      <c r="L317" s="60" t="str">
        <f t="shared" si="108"/>
        <v/>
      </c>
      <c r="M317" s="60" t="str">
        <f t="shared" si="109"/>
        <v/>
      </c>
      <c r="Q317" s="57" t="str">
        <f t="shared" si="110"/>
        <v/>
      </c>
      <c r="R317" s="58" t="str">
        <f t="shared" si="111"/>
        <v/>
      </c>
      <c r="S317" s="28" t="str">
        <f t="shared" si="96"/>
        <v/>
      </c>
      <c r="T317" s="28" t="str">
        <f t="shared" si="112"/>
        <v/>
      </c>
      <c r="U317" s="29" t="str">
        <f t="shared" si="113"/>
        <v/>
      </c>
      <c r="V317" s="60" t="str">
        <f t="shared" si="97"/>
        <v/>
      </c>
      <c r="W317" s="60" t="str">
        <f t="shared" si="114"/>
        <v/>
      </c>
      <c r="X317" s="60" t="str">
        <f t="shared" si="115"/>
        <v/>
      </c>
      <c r="Y317" s="60" t="str">
        <f t="shared" si="116"/>
        <v/>
      </c>
      <c r="Z317" s="60" t="str">
        <f t="shared" si="117"/>
        <v/>
      </c>
      <c r="AA317" s="60" t="str">
        <f t="shared" si="118"/>
        <v/>
      </c>
      <c r="AB317" s="60" t="str">
        <f t="shared" si="119"/>
        <v/>
      </c>
    </row>
    <row r="318" spans="2:28">
      <c r="B318" s="57" t="str">
        <f t="shared" si="98"/>
        <v/>
      </c>
      <c r="C318" s="58" t="str">
        <f t="shared" si="99"/>
        <v/>
      </c>
      <c r="D318" s="28" t="str">
        <f t="shared" si="100"/>
        <v/>
      </c>
      <c r="E318" s="28" t="str">
        <f t="shared" si="101"/>
        <v/>
      </c>
      <c r="F318" s="29" t="str">
        <f t="shared" si="102"/>
        <v/>
      </c>
      <c r="G318" s="60" t="str">
        <f t="shared" si="103"/>
        <v/>
      </c>
      <c r="H318" s="60" t="str">
        <f t="shared" si="104"/>
        <v/>
      </c>
      <c r="I318" s="60" t="str">
        <f t="shared" si="105"/>
        <v/>
      </c>
      <c r="J318" s="60" t="str">
        <f t="shared" si="106"/>
        <v/>
      </c>
      <c r="K318" s="60" t="str">
        <f t="shared" si="107"/>
        <v/>
      </c>
      <c r="L318" s="60" t="str">
        <f t="shared" si="108"/>
        <v/>
      </c>
      <c r="M318" s="60" t="str">
        <f t="shared" si="109"/>
        <v/>
      </c>
      <c r="Q318" s="57" t="str">
        <f t="shared" si="110"/>
        <v/>
      </c>
      <c r="R318" s="58" t="str">
        <f t="shared" si="111"/>
        <v/>
      </c>
      <c r="S318" s="28" t="str">
        <f t="shared" si="96"/>
        <v/>
      </c>
      <c r="T318" s="28" t="str">
        <f t="shared" si="112"/>
        <v/>
      </c>
      <c r="U318" s="29" t="str">
        <f t="shared" si="113"/>
        <v/>
      </c>
      <c r="V318" s="60" t="str">
        <f t="shared" si="97"/>
        <v/>
      </c>
      <c r="W318" s="60" t="str">
        <f t="shared" si="114"/>
        <v/>
      </c>
      <c r="X318" s="60" t="str">
        <f t="shared" si="115"/>
        <v/>
      </c>
      <c r="Y318" s="60" t="str">
        <f t="shared" si="116"/>
        <v/>
      </c>
      <c r="Z318" s="60" t="str">
        <f t="shared" si="117"/>
        <v/>
      </c>
      <c r="AA318" s="60" t="str">
        <f t="shared" si="118"/>
        <v/>
      </c>
      <c r="AB318" s="60" t="str">
        <f t="shared" si="119"/>
        <v/>
      </c>
    </row>
    <row r="319" spans="2:28">
      <c r="B319" s="57" t="str">
        <f t="shared" si="98"/>
        <v/>
      </c>
      <c r="C319" s="58" t="str">
        <f t="shared" si="99"/>
        <v/>
      </c>
      <c r="D319" s="28" t="str">
        <f t="shared" si="100"/>
        <v/>
      </c>
      <c r="E319" s="28" t="str">
        <f t="shared" si="101"/>
        <v/>
      </c>
      <c r="F319" s="29" t="str">
        <f t="shared" si="102"/>
        <v/>
      </c>
      <c r="G319" s="60" t="str">
        <f t="shared" si="103"/>
        <v/>
      </c>
      <c r="H319" s="60" t="str">
        <f t="shared" si="104"/>
        <v/>
      </c>
      <c r="I319" s="60" t="str">
        <f t="shared" si="105"/>
        <v/>
      </c>
      <c r="J319" s="60" t="str">
        <f t="shared" si="106"/>
        <v/>
      </c>
      <c r="K319" s="60" t="str">
        <f t="shared" si="107"/>
        <v/>
      </c>
      <c r="L319" s="60" t="str">
        <f t="shared" si="108"/>
        <v/>
      </c>
      <c r="M319" s="60" t="str">
        <f t="shared" si="109"/>
        <v/>
      </c>
      <c r="Q319" s="57" t="str">
        <f t="shared" si="110"/>
        <v/>
      </c>
      <c r="R319" s="58" t="str">
        <f t="shared" si="111"/>
        <v/>
      </c>
      <c r="S319" s="28" t="str">
        <f t="shared" si="96"/>
        <v/>
      </c>
      <c r="T319" s="28" t="str">
        <f t="shared" si="112"/>
        <v/>
      </c>
      <c r="U319" s="29" t="str">
        <f t="shared" si="113"/>
        <v/>
      </c>
      <c r="V319" s="60" t="str">
        <f t="shared" si="97"/>
        <v/>
      </c>
      <c r="W319" s="60" t="str">
        <f t="shared" si="114"/>
        <v/>
      </c>
      <c r="X319" s="60" t="str">
        <f t="shared" si="115"/>
        <v/>
      </c>
      <c r="Y319" s="60" t="str">
        <f t="shared" si="116"/>
        <v/>
      </c>
      <c r="Z319" s="60" t="str">
        <f t="shared" si="117"/>
        <v/>
      </c>
      <c r="AA319" s="60" t="str">
        <f t="shared" si="118"/>
        <v/>
      </c>
      <c r="AB319" s="60" t="str">
        <f t="shared" si="119"/>
        <v/>
      </c>
    </row>
    <row r="320" spans="2:28">
      <c r="B320" s="57" t="str">
        <f t="shared" si="98"/>
        <v/>
      </c>
      <c r="C320" s="58" t="str">
        <f t="shared" si="99"/>
        <v/>
      </c>
      <c r="D320" s="28" t="str">
        <f t="shared" si="100"/>
        <v/>
      </c>
      <c r="E320" s="28" t="str">
        <f t="shared" si="101"/>
        <v/>
      </c>
      <c r="F320" s="29" t="str">
        <f t="shared" si="102"/>
        <v/>
      </c>
      <c r="G320" s="60" t="str">
        <f t="shared" si="103"/>
        <v/>
      </c>
      <c r="H320" s="60" t="str">
        <f t="shared" si="104"/>
        <v/>
      </c>
      <c r="I320" s="60" t="str">
        <f t="shared" si="105"/>
        <v/>
      </c>
      <c r="J320" s="60" t="str">
        <f t="shared" si="106"/>
        <v/>
      </c>
      <c r="K320" s="60" t="str">
        <f t="shared" si="107"/>
        <v/>
      </c>
      <c r="L320" s="60" t="str">
        <f t="shared" si="108"/>
        <v/>
      </c>
      <c r="M320" s="60" t="str">
        <f t="shared" si="109"/>
        <v/>
      </c>
      <c r="Q320" s="57" t="str">
        <f t="shared" si="110"/>
        <v/>
      </c>
      <c r="R320" s="58" t="str">
        <f t="shared" si="111"/>
        <v/>
      </c>
      <c r="S320" s="28" t="str">
        <f t="shared" si="96"/>
        <v/>
      </c>
      <c r="T320" s="28" t="str">
        <f t="shared" si="112"/>
        <v/>
      </c>
      <c r="U320" s="29" t="str">
        <f t="shared" si="113"/>
        <v/>
      </c>
      <c r="V320" s="60" t="str">
        <f t="shared" si="97"/>
        <v/>
      </c>
      <c r="W320" s="60" t="str">
        <f t="shared" si="114"/>
        <v/>
      </c>
      <c r="X320" s="60" t="str">
        <f t="shared" si="115"/>
        <v/>
      </c>
      <c r="Y320" s="60" t="str">
        <f t="shared" si="116"/>
        <v/>
      </c>
      <c r="Z320" s="60" t="str">
        <f t="shared" si="117"/>
        <v/>
      </c>
      <c r="AA320" s="60" t="str">
        <f t="shared" si="118"/>
        <v/>
      </c>
      <c r="AB320" s="60" t="str">
        <f t="shared" si="119"/>
        <v/>
      </c>
    </row>
    <row r="321" spans="2:28">
      <c r="B321" s="57" t="str">
        <f t="shared" si="98"/>
        <v/>
      </c>
      <c r="C321" s="58" t="str">
        <f t="shared" si="99"/>
        <v/>
      </c>
      <c r="D321" s="28" t="str">
        <f t="shared" si="100"/>
        <v/>
      </c>
      <c r="E321" s="28" t="str">
        <f t="shared" si="101"/>
        <v/>
      </c>
      <c r="F321" s="29" t="str">
        <f t="shared" si="102"/>
        <v/>
      </c>
      <c r="G321" s="60" t="str">
        <f t="shared" si="103"/>
        <v/>
      </c>
      <c r="H321" s="60" t="str">
        <f t="shared" si="104"/>
        <v/>
      </c>
      <c r="I321" s="60" t="str">
        <f t="shared" si="105"/>
        <v/>
      </c>
      <c r="J321" s="60" t="str">
        <f t="shared" si="106"/>
        <v/>
      </c>
      <c r="K321" s="60" t="str">
        <f t="shared" si="107"/>
        <v/>
      </c>
      <c r="L321" s="60" t="str">
        <f t="shared" si="108"/>
        <v/>
      </c>
      <c r="M321" s="60" t="str">
        <f t="shared" si="109"/>
        <v/>
      </c>
      <c r="Q321" s="57" t="str">
        <f t="shared" si="110"/>
        <v/>
      </c>
      <c r="R321" s="58" t="str">
        <f t="shared" si="111"/>
        <v/>
      </c>
      <c r="S321" s="28" t="str">
        <f t="shared" si="96"/>
        <v/>
      </c>
      <c r="T321" s="28" t="str">
        <f t="shared" si="112"/>
        <v/>
      </c>
      <c r="U321" s="29" t="str">
        <f t="shared" si="113"/>
        <v/>
      </c>
      <c r="V321" s="60" t="str">
        <f t="shared" si="97"/>
        <v/>
      </c>
      <c r="W321" s="60" t="str">
        <f t="shared" si="114"/>
        <v/>
      </c>
      <c r="X321" s="60" t="str">
        <f t="shared" si="115"/>
        <v/>
      </c>
      <c r="Y321" s="60" t="str">
        <f t="shared" si="116"/>
        <v/>
      </c>
      <c r="Z321" s="60" t="str">
        <f t="shared" si="117"/>
        <v/>
      </c>
      <c r="AA321" s="60" t="str">
        <f t="shared" si="118"/>
        <v/>
      </c>
      <c r="AB321" s="60" t="str">
        <f t="shared" si="119"/>
        <v/>
      </c>
    </row>
    <row r="322" spans="2:28">
      <c r="B322" s="57" t="str">
        <f t="shared" si="98"/>
        <v/>
      </c>
      <c r="C322" s="58" t="str">
        <f t="shared" si="99"/>
        <v/>
      </c>
      <c r="D322" s="28" t="str">
        <f t="shared" si="100"/>
        <v/>
      </c>
      <c r="E322" s="28" t="str">
        <f t="shared" si="101"/>
        <v/>
      </c>
      <c r="F322" s="29" t="str">
        <f t="shared" si="102"/>
        <v/>
      </c>
      <c r="G322" s="60" t="str">
        <f t="shared" si="103"/>
        <v/>
      </c>
      <c r="H322" s="60" t="str">
        <f t="shared" si="104"/>
        <v/>
      </c>
      <c r="I322" s="60" t="str">
        <f t="shared" si="105"/>
        <v/>
      </c>
      <c r="J322" s="60" t="str">
        <f t="shared" si="106"/>
        <v/>
      </c>
      <c r="K322" s="60" t="str">
        <f t="shared" si="107"/>
        <v/>
      </c>
      <c r="L322" s="60" t="str">
        <f t="shared" si="108"/>
        <v/>
      </c>
      <c r="M322" s="60" t="str">
        <f t="shared" si="109"/>
        <v/>
      </c>
      <c r="Q322" s="57" t="str">
        <f t="shared" si="110"/>
        <v/>
      </c>
      <c r="R322" s="58" t="str">
        <f t="shared" si="111"/>
        <v/>
      </c>
      <c r="S322" s="28" t="str">
        <f t="shared" si="96"/>
        <v/>
      </c>
      <c r="T322" s="28" t="str">
        <f t="shared" si="112"/>
        <v/>
      </c>
      <c r="U322" s="29" t="str">
        <f t="shared" si="113"/>
        <v/>
      </c>
      <c r="V322" s="60" t="str">
        <f t="shared" si="97"/>
        <v/>
      </c>
      <c r="W322" s="60" t="str">
        <f t="shared" si="114"/>
        <v/>
      </c>
      <c r="X322" s="60" t="str">
        <f t="shared" si="115"/>
        <v/>
      </c>
      <c r="Y322" s="60" t="str">
        <f t="shared" si="116"/>
        <v/>
      </c>
      <c r="Z322" s="60" t="str">
        <f t="shared" si="117"/>
        <v/>
      </c>
      <c r="AA322" s="60" t="str">
        <f t="shared" si="118"/>
        <v/>
      </c>
      <c r="AB322" s="60" t="str">
        <f t="shared" si="119"/>
        <v/>
      </c>
    </row>
    <row r="323" spans="2:28">
      <c r="B323" s="57" t="str">
        <f t="shared" si="98"/>
        <v/>
      </c>
      <c r="C323" s="58" t="str">
        <f t="shared" si="99"/>
        <v/>
      </c>
      <c r="D323" s="28" t="str">
        <f t="shared" si="100"/>
        <v/>
      </c>
      <c r="E323" s="28" t="str">
        <f t="shared" si="101"/>
        <v/>
      </c>
      <c r="F323" s="29" t="str">
        <f t="shared" si="102"/>
        <v/>
      </c>
      <c r="G323" s="60" t="str">
        <f t="shared" si="103"/>
        <v/>
      </c>
      <c r="H323" s="60" t="str">
        <f t="shared" si="104"/>
        <v/>
      </c>
      <c r="I323" s="60" t="str">
        <f t="shared" si="105"/>
        <v/>
      </c>
      <c r="J323" s="60" t="str">
        <f t="shared" si="106"/>
        <v/>
      </c>
      <c r="K323" s="60" t="str">
        <f t="shared" si="107"/>
        <v/>
      </c>
      <c r="L323" s="60" t="str">
        <f t="shared" si="108"/>
        <v/>
      </c>
      <c r="M323" s="60" t="str">
        <f t="shared" si="109"/>
        <v/>
      </c>
      <c r="Q323" s="57" t="str">
        <f t="shared" si="110"/>
        <v/>
      </c>
      <c r="R323" s="58" t="str">
        <f t="shared" si="111"/>
        <v/>
      </c>
      <c r="S323" s="28" t="str">
        <f t="shared" si="96"/>
        <v/>
      </c>
      <c r="T323" s="28" t="str">
        <f t="shared" si="112"/>
        <v/>
      </c>
      <c r="U323" s="29" t="str">
        <f t="shared" si="113"/>
        <v/>
      </c>
      <c r="V323" s="60" t="str">
        <f t="shared" si="97"/>
        <v/>
      </c>
      <c r="W323" s="60" t="str">
        <f t="shared" si="114"/>
        <v/>
      </c>
      <c r="X323" s="60" t="str">
        <f t="shared" si="115"/>
        <v/>
      </c>
      <c r="Y323" s="60" t="str">
        <f t="shared" si="116"/>
        <v/>
      </c>
      <c r="Z323" s="60" t="str">
        <f t="shared" si="117"/>
        <v/>
      </c>
      <c r="AA323" s="60" t="str">
        <f t="shared" si="118"/>
        <v/>
      </c>
      <c r="AB323" s="60" t="str">
        <f t="shared" si="119"/>
        <v/>
      </c>
    </row>
    <row r="324" spans="2:28">
      <c r="B324" s="57" t="str">
        <f t="shared" si="98"/>
        <v/>
      </c>
      <c r="C324" s="58" t="str">
        <f t="shared" si="99"/>
        <v/>
      </c>
      <c r="D324" s="28" t="str">
        <f t="shared" si="100"/>
        <v/>
      </c>
      <c r="E324" s="28" t="str">
        <f t="shared" si="101"/>
        <v/>
      </c>
      <c r="F324" s="29" t="str">
        <f t="shared" si="102"/>
        <v/>
      </c>
      <c r="G324" s="60" t="str">
        <f t="shared" si="103"/>
        <v/>
      </c>
      <c r="H324" s="60" t="str">
        <f t="shared" si="104"/>
        <v/>
      </c>
      <c r="I324" s="60" t="str">
        <f t="shared" si="105"/>
        <v/>
      </c>
      <c r="J324" s="60" t="str">
        <f t="shared" si="106"/>
        <v/>
      </c>
      <c r="K324" s="60" t="str">
        <f t="shared" si="107"/>
        <v/>
      </c>
      <c r="L324" s="60" t="str">
        <f t="shared" si="108"/>
        <v/>
      </c>
      <c r="M324" s="60" t="str">
        <f t="shared" si="109"/>
        <v/>
      </c>
      <c r="Q324" s="57" t="str">
        <f t="shared" si="110"/>
        <v/>
      </c>
      <c r="R324" s="58" t="str">
        <f t="shared" si="111"/>
        <v/>
      </c>
      <c r="S324" s="28" t="str">
        <f t="shared" si="96"/>
        <v/>
      </c>
      <c r="T324" s="28" t="str">
        <f t="shared" si="112"/>
        <v/>
      </c>
      <c r="U324" s="29" t="str">
        <f t="shared" si="113"/>
        <v/>
      </c>
      <c r="V324" s="60" t="str">
        <f t="shared" si="97"/>
        <v/>
      </c>
      <c r="W324" s="60" t="str">
        <f t="shared" si="114"/>
        <v/>
      </c>
      <c r="X324" s="60" t="str">
        <f t="shared" si="115"/>
        <v/>
      </c>
      <c r="Y324" s="60" t="str">
        <f t="shared" si="116"/>
        <v/>
      </c>
      <c r="Z324" s="60" t="str">
        <f t="shared" si="117"/>
        <v/>
      </c>
      <c r="AA324" s="60" t="str">
        <f t="shared" si="118"/>
        <v/>
      </c>
      <c r="AB324" s="60" t="str">
        <f t="shared" si="119"/>
        <v/>
      </c>
    </row>
    <row r="325" spans="2:28">
      <c r="B325" s="57" t="str">
        <f t="shared" si="98"/>
        <v/>
      </c>
      <c r="C325" s="58" t="str">
        <f t="shared" si="99"/>
        <v/>
      </c>
      <c r="D325" s="28" t="str">
        <f t="shared" si="100"/>
        <v/>
      </c>
      <c r="E325" s="28" t="str">
        <f t="shared" si="101"/>
        <v/>
      </c>
      <c r="F325" s="29" t="str">
        <f t="shared" si="102"/>
        <v/>
      </c>
      <c r="G325" s="60" t="str">
        <f t="shared" si="103"/>
        <v/>
      </c>
      <c r="H325" s="60" t="str">
        <f t="shared" si="104"/>
        <v/>
      </c>
      <c r="I325" s="60" t="str">
        <f t="shared" si="105"/>
        <v/>
      </c>
      <c r="J325" s="60" t="str">
        <f t="shared" si="106"/>
        <v/>
      </c>
      <c r="K325" s="60" t="str">
        <f t="shared" si="107"/>
        <v/>
      </c>
      <c r="L325" s="60" t="str">
        <f t="shared" si="108"/>
        <v/>
      </c>
      <c r="M325" s="60" t="str">
        <f t="shared" si="109"/>
        <v/>
      </c>
      <c r="Q325" s="57" t="str">
        <f t="shared" si="110"/>
        <v/>
      </c>
      <c r="R325" s="58" t="str">
        <f t="shared" si="111"/>
        <v/>
      </c>
      <c r="S325" s="28" t="str">
        <f t="shared" si="96"/>
        <v/>
      </c>
      <c r="T325" s="28" t="str">
        <f t="shared" si="112"/>
        <v/>
      </c>
      <c r="U325" s="29" t="str">
        <f t="shared" si="113"/>
        <v/>
      </c>
      <c r="V325" s="60" t="str">
        <f t="shared" si="97"/>
        <v/>
      </c>
      <c r="W325" s="60" t="str">
        <f t="shared" si="114"/>
        <v/>
      </c>
      <c r="X325" s="60" t="str">
        <f t="shared" si="115"/>
        <v/>
      </c>
      <c r="Y325" s="60" t="str">
        <f t="shared" si="116"/>
        <v/>
      </c>
      <c r="Z325" s="60" t="str">
        <f t="shared" si="117"/>
        <v/>
      </c>
      <c r="AA325" s="60" t="str">
        <f t="shared" si="118"/>
        <v/>
      </c>
      <c r="AB325" s="60" t="str">
        <f t="shared" si="119"/>
        <v/>
      </c>
    </row>
    <row r="326" spans="2:28">
      <c r="B326" s="57" t="str">
        <f t="shared" si="98"/>
        <v/>
      </c>
      <c r="C326" s="58" t="str">
        <f t="shared" si="99"/>
        <v/>
      </c>
      <c r="D326" s="28" t="str">
        <f t="shared" si="100"/>
        <v/>
      </c>
      <c r="E326" s="28" t="str">
        <f t="shared" si="101"/>
        <v/>
      </c>
      <c r="F326" s="29" t="str">
        <f t="shared" si="102"/>
        <v/>
      </c>
      <c r="G326" s="60" t="str">
        <f t="shared" si="103"/>
        <v/>
      </c>
      <c r="H326" s="60" t="str">
        <f t="shared" si="104"/>
        <v/>
      </c>
      <c r="I326" s="60" t="str">
        <f t="shared" si="105"/>
        <v/>
      </c>
      <c r="J326" s="60" t="str">
        <f t="shared" si="106"/>
        <v/>
      </c>
      <c r="K326" s="60" t="str">
        <f t="shared" si="107"/>
        <v/>
      </c>
      <c r="L326" s="60" t="str">
        <f t="shared" si="108"/>
        <v/>
      </c>
      <c r="M326" s="60" t="str">
        <f t="shared" si="109"/>
        <v/>
      </c>
      <c r="Q326" s="57" t="str">
        <f t="shared" si="110"/>
        <v/>
      </c>
      <c r="R326" s="58" t="str">
        <f t="shared" si="111"/>
        <v/>
      </c>
      <c r="S326" s="28" t="str">
        <f t="shared" si="96"/>
        <v/>
      </c>
      <c r="T326" s="28" t="str">
        <f t="shared" si="112"/>
        <v/>
      </c>
      <c r="U326" s="29" t="str">
        <f t="shared" si="113"/>
        <v/>
      </c>
      <c r="V326" s="60" t="str">
        <f t="shared" si="97"/>
        <v/>
      </c>
      <c r="W326" s="60" t="str">
        <f t="shared" si="114"/>
        <v/>
      </c>
      <c r="X326" s="60" t="str">
        <f t="shared" si="115"/>
        <v/>
      </c>
      <c r="Y326" s="60" t="str">
        <f t="shared" si="116"/>
        <v/>
      </c>
      <c r="Z326" s="60" t="str">
        <f t="shared" si="117"/>
        <v/>
      </c>
      <c r="AA326" s="60" t="str">
        <f t="shared" si="118"/>
        <v/>
      </c>
      <c r="AB326" s="60" t="str">
        <f t="shared" si="119"/>
        <v/>
      </c>
    </row>
    <row r="327" spans="2:28">
      <c r="B327" s="57" t="str">
        <f t="shared" si="98"/>
        <v/>
      </c>
      <c r="C327" s="58" t="str">
        <f t="shared" si="99"/>
        <v/>
      </c>
      <c r="D327" s="28" t="str">
        <f t="shared" si="100"/>
        <v/>
      </c>
      <c r="E327" s="28" t="str">
        <f t="shared" si="101"/>
        <v/>
      </c>
      <c r="F327" s="29" t="str">
        <f t="shared" si="102"/>
        <v/>
      </c>
      <c r="G327" s="60" t="str">
        <f t="shared" si="103"/>
        <v/>
      </c>
      <c r="H327" s="60" t="str">
        <f t="shared" si="104"/>
        <v/>
      </c>
      <c r="I327" s="60" t="str">
        <f t="shared" si="105"/>
        <v/>
      </c>
      <c r="J327" s="60" t="str">
        <f t="shared" si="106"/>
        <v/>
      </c>
      <c r="K327" s="60" t="str">
        <f t="shared" si="107"/>
        <v/>
      </c>
      <c r="L327" s="60" t="str">
        <f t="shared" si="108"/>
        <v/>
      </c>
      <c r="M327" s="60" t="str">
        <f t="shared" si="109"/>
        <v/>
      </c>
      <c r="Q327" s="57" t="str">
        <f t="shared" si="110"/>
        <v/>
      </c>
      <c r="R327" s="58" t="str">
        <f t="shared" si="111"/>
        <v/>
      </c>
      <c r="S327" s="28" t="str">
        <f t="shared" si="96"/>
        <v/>
      </c>
      <c r="T327" s="28" t="str">
        <f t="shared" si="112"/>
        <v/>
      </c>
      <c r="U327" s="29" t="str">
        <f t="shared" si="113"/>
        <v/>
      </c>
      <c r="V327" s="60" t="str">
        <f t="shared" si="97"/>
        <v/>
      </c>
      <c r="W327" s="60" t="str">
        <f t="shared" si="114"/>
        <v/>
      </c>
      <c r="X327" s="60" t="str">
        <f t="shared" si="115"/>
        <v/>
      </c>
      <c r="Y327" s="60" t="str">
        <f t="shared" si="116"/>
        <v/>
      </c>
      <c r="Z327" s="60" t="str">
        <f t="shared" si="117"/>
        <v/>
      </c>
      <c r="AA327" s="60" t="str">
        <f t="shared" si="118"/>
        <v/>
      </c>
      <c r="AB327" s="60" t="str">
        <f t="shared" si="119"/>
        <v/>
      </c>
    </row>
    <row r="328" spans="2:28">
      <c r="B328" s="57" t="str">
        <f t="shared" si="98"/>
        <v/>
      </c>
      <c r="C328" s="58" t="str">
        <f t="shared" si="99"/>
        <v/>
      </c>
      <c r="D328" s="28" t="str">
        <f t="shared" si="100"/>
        <v/>
      </c>
      <c r="E328" s="28" t="str">
        <f t="shared" si="101"/>
        <v/>
      </c>
      <c r="F328" s="29" t="str">
        <f t="shared" si="102"/>
        <v/>
      </c>
      <c r="G328" s="60" t="str">
        <f t="shared" si="103"/>
        <v/>
      </c>
      <c r="H328" s="60" t="str">
        <f t="shared" si="104"/>
        <v/>
      </c>
      <c r="I328" s="60" t="str">
        <f t="shared" si="105"/>
        <v/>
      </c>
      <c r="J328" s="60" t="str">
        <f t="shared" si="106"/>
        <v/>
      </c>
      <c r="K328" s="60" t="str">
        <f t="shared" si="107"/>
        <v/>
      </c>
      <c r="L328" s="60" t="str">
        <f t="shared" si="108"/>
        <v/>
      </c>
      <c r="M328" s="60" t="str">
        <f t="shared" si="109"/>
        <v/>
      </c>
      <c r="Q328" s="57" t="str">
        <f t="shared" si="110"/>
        <v/>
      </c>
      <c r="R328" s="58" t="str">
        <f t="shared" si="111"/>
        <v/>
      </c>
      <c r="S328" s="28" t="str">
        <f t="shared" si="96"/>
        <v/>
      </c>
      <c r="T328" s="28" t="str">
        <f t="shared" si="112"/>
        <v/>
      </c>
      <c r="U328" s="29" t="str">
        <f t="shared" si="113"/>
        <v/>
      </c>
      <c r="V328" s="60" t="str">
        <f t="shared" si="97"/>
        <v/>
      </c>
      <c r="W328" s="60" t="str">
        <f t="shared" si="114"/>
        <v/>
      </c>
      <c r="X328" s="60" t="str">
        <f t="shared" si="115"/>
        <v/>
      </c>
      <c r="Y328" s="60" t="str">
        <f t="shared" si="116"/>
        <v/>
      </c>
      <c r="Z328" s="60" t="str">
        <f t="shared" si="117"/>
        <v/>
      </c>
      <c r="AA328" s="60" t="str">
        <f t="shared" si="118"/>
        <v/>
      </c>
      <c r="AB328" s="60" t="str">
        <f t="shared" si="119"/>
        <v/>
      </c>
    </row>
    <row r="329" spans="2:28">
      <c r="B329" s="57" t="str">
        <f t="shared" si="98"/>
        <v/>
      </c>
      <c r="C329" s="58" t="str">
        <f t="shared" si="99"/>
        <v/>
      </c>
      <c r="D329" s="28" t="str">
        <f t="shared" si="100"/>
        <v/>
      </c>
      <c r="E329" s="28" t="str">
        <f t="shared" si="101"/>
        <v/>
      </c>
      <c r="F329" s="29" t="str">
        <f t="shared" si="102"/>
        <v/>
      </c>
      <c r="G329" s="60" t="str">
        <f t="shared" si="103"/>
        <v/>
      </c>
      <c r="H329" s="60" t="str">
        <f t="shared" si="104"/>
        <v/>
      </c>
      <c r="I329" s="60" t="str">
        <f t="shared" si="105"/>
        <v/>
      </c>
      <c r="J329" s="60" t="str">
        <f t="shared" si="106"/>
        <v/>
      </c>
      <c r="K329" s="60" t="str">
        <f t="shared" si="107"/>
        <v/>
      </c>
      <c r="L329" s="60" t="str">
        <f t="shared" si="108"/>
        <v/>
      </c>
      <c r="M329" s="60" t="str">
        <f t="shared" si="109"/>
        <v/>
      </c>
      <c r="Q329" s="57" t="str">
        <f t="shared" si="110"/>
        <v/>
      </c>
      <c r="R329" s="58" t="str">
        <f t="shared" si="111"/>
        <v/>
      </c>
      <c r="S329" s="28" t="str">
        <f t="shared" si="96"/>
        <v/>
      </c>
      <c r="T329" s="28" t="str">
        <f t="shared" si="112"/>
        <v/>
      </c>
      <c r="U329" s="29" t="str">
        <f t="shared" si="113"/>
        <v/>
      </c>
      <c r="V329" s="60" t="str">
        <f t="shared" si="97"/>
        <v/>
      </c>
      <c r="W329" s="60" t="str">
        <f t="shared" si="114"/>
        <v/>
      </c>
      <c r="X329" s="60" t="str">
        <f t="shared" si="115"/>
        <v/>
      </c>
      <c r="Y329" s="60" t="str">
        <f t="shared" si="116"/>
        <v/>
      </c>
      <c r="Z329" s="60" t="str">
        <f t="shared" si="117"/>
        <v/>
      </c>
      <c r="AA329" s="60" t="str">
        <f t="shared" si="118"/>
        <v/>
      </c>
      <c r="AB329" s="60" t="str">
        <f t="shared" si="119"/>
        <v/>
      </c>
    </row>
    <row r="330" spans="2:28">
      <c r="B330" s="57" t="str">
        <f t="shared" si="98"/>
        <v/>
      </c>
      <c r="C330" s="58" t="str">
        <f t="shared" si="99"/>
        <v/>
      </c>
      <c r="D330" s="28" t="str">
        <f t="shared" si="100"/>
        <v/>
      </c>
      <c r="E330" s="28" t="str">
        <f t="shared" si="101"/>
        <v/>
      </c>
      <c r="F330" s="29" t="str">
        <f t="shared" si="102"/>
        <v/>
      </c>
      <c r="G330" s="60" t="str">
        <f t="shared" si="103"/>
        <v/>
      </c>
      <c r="H330" s="60" t="str">
        <f t="shared" si="104"/>
        <v/>
      </c>
      <c r="I330" s="60" t="str">
        <f t="shared" si="105"/>
        <v/>
      </c>
      <c r="J330" s="60" t="str">
        <f t="shared" si="106"/>
        <v/>
      </c>
      <c r="K330" s="60" t="str">
        <f t="shared" si="107"/>
        <v/>
      </c>
      <c r="L330" s="60" t="str">
        <f t="shared" si="108"/>
        <v/>
      </c>
      <c r="M330" s="60" t="str">
        <f t="shared" si="109"/>
        <v/>
      </c>
      <c r="Q330" s="57" t="str">
        <f t="shared" si="110"/>
        <v/>
      </c>
      <c r="R330" s="58" t="str">
        <f t="shared" si="111"/>
        <v/>
      </c>
      <c r="S330" s="28" t="str">
        <f t="shared" si="96"/>
        <v/>
      </c>
      <c r="T330" s="28" t="str">
        <f t="shared" si="112"/>
        <v/>
      </c>
      <c r="U330" s="29" t="str">
        <f t="shared" si="113"/>
        <v/>
      </c>
      <c r="V330" s="60" t="str">
        <f t="shared" si="97"/>
        <v/>
      </c>
      <c r="W330" s="60" t="str">
        <f t="shared" si="114"/>
        <v/>
      </c>
      <c r="X330" s="60" t="str">
        <f t="shared" si="115"/>
        <v/>
      </c>
      <c r="Y330" s="60" t="str">
        <f t="shared" si="116"/>
        <v/>
      </c>
      <c r="Z330" s="60" t="str">
        <f t="shared" si="117"/>
        <v/>
      </c>
      <c r="AA330" s="60" t="str">
        <f t="shared" si="118"/>
        <v/>
      </c>
      <c r="AB330" s="60" t="str">
        <f t="shared" si="119"/>
        <v/>
      </c>
    </row>
    <row r="331" spans="2:28">
      <c r="B331" s="57" t="str">
        <f t="shared" si="98"/>
        <v/>
      </c>
      <c r="C331" s="58" t="str">
        <f t="shared" si="99"/>
        <v/>
      </c>
      <c r="D331" s="28" t="str">
        <f t="shared" si="100"/>
        <v/>
      </c>
      <c r="E331" s="28" t="str">
        <f t="shared" si="101"/>
        <v/>
      </c>
      <c r="F331" s="29" t="str">
        <f t="shared" si="102"/>
        <v/>
      </c>
      <c r="G331" s="60" t="str">
        <f t="shared" si="103"/>
        <v/>
      </c>
      <c r="H331" s="60" t="str">
        <f t="shared" si="104"/>
        <v/>
      </c>
      <c r="I331" s="60" t="str">
        <f t="shared" si="105"/>
        <v/>
      </c>
      <c r="J331" s="60" t="str">
        <f t="shared" si="106"/>
        <v/>
      </c>
      <c r="K331" s="60" t="str">
        <f t="shared" si="107"/>
        <v/>
      </c>
      <c r="L331" s="60" t="str">
        <f t="shared" si="108"/>
        <v/>
      </c>
      <c r="M331" s="60" t="str">
        <f t="shared" si="109"/>
        <v/>
      </c>
      <c r="Q331" s="57" t="str">
        <f t="shared" si="110"/>
        <v/>
      </c>
      <c r="R331" s="58" t="str">
        <f t="shared" si="111"/>
        <v/>
      </c>
      <c r="S331" s="28" t="str">
        <f t="shared" si="96"/>
        <v/>
      </c>
      <c r="T331" s="28" t="str">
        <f t="shared" si="112"/>
        <v/>
      </c>
      <c r="U331" s="29" t="str">
        <f t="shared" si="113"/>
        <v/>
      </c>
      <c r="V331" s="60" t="str">
        <f t="shared" si="97"/>
        <v/>
      </c>
      <c r="W331" s="60" t="str">
        <f t="shared" si="114"/>
        <v/>
      </c>
      <c r="X331" s="60" t="str">
        <f t="shared" si="115"/>
        <v/>
      </c>
      <c r="Y331" s="60" t="str">
        <f t="shared" si="116"/>
        <v/>
      </c>
      <c r="Z331" s="60" t="str">
        <f t="shared" si="117"/>
        <v/>
      </c>
      <c r="AA331" s="60" t="str">
        <f t="shared" si="118"/>
        <v/>
      </c>
      <c r="AB331" s="60" t="str">
        <f t="shared" si="119"/>
        <v/>
      </c>
    </row>
    <row r="332" spans="2:28">
      <c r="B332" s="57" t="str">
        <f t="shared" si="98"/>
        <v/>
      </c>
      <c r="C332" s="58" t="str">
        <f t="shared" si="99"/>
        <v/>
      </c>
      <c r="D332" s="28" t="str">
        <f t="shared" si="100"/>
        <v/>
      </c>
      <c r="E332" s="28" t="str">
        <f t="shared" si="101"/>
        <v/>
      </c>
      <c r="F332" s="29" t="str">
        <f t="shared" si="102"/>
        <v/>
      </c>
      <c r="G332" s="60" t="str">
        <f t="shared" si="103"/>
        <v/>
      </c>
      <c r="H332" s="60" t="str">
        <f t="shared" si="104"/>
        <v/>
      </c>
      <c r="I332" s="60" t="str">
        <f t="shared" si="105"/>
        <v/>
      </c>
      <c r="J332" s="60" t="str">
        <f t="shared" si="106"/>
        <v/>
      </c>
      <c r="K332" s="60" t="str">
        <f t="shared" si="107"/>
        <v/>
      </c>
      <c r="L332" s="60" t="str">
        <f t="shared" si="108"/>
        <v/>
      </c>
      <c r="M332" s="60" t="str">
        <f t="shared" si="109"/>
        <v/>
      </c>
      <c r="Q332" s="57" t="str">
        <f t="shared" si="110"/>
        <v/>
      </c>
      <c r="R332" s="58" t="str">
        <f t="shared" si="111"/>
        <v/>
      </c>
      <c r="S332" s="28" t="str">
        <f t="shared" si="96"/>
        <v/>
      </c>
      <c r="T332" s="28" t="str">
        <f t="shared" si="112"/>
        <v/>
      </c>
      <c r="U332" s="29" t="str">
        <f t="shared" si="113"/>
        <v/>
      </c>
      <c r="V332" s="60" t="str">
        <f t="shared" si="97"/>
        <v/>
      </c>
      <c r="W332" s="60" t="str">
        <f t="shared" si="114"/>
        <v/>
      </c>
      <c r="X332" s="60" t="str">
        <f t="shared" si="115"/>
        <v/>
      </c>
      <c r="Y332" s="60" t="str">
        <f t="shared" si="116"/>
        <v/>
      </c>
      <c r="Z332" s="60" t="str">
        <f t="shared" si="117"/>
        <v/>
      </c>
      <c r="AA332" s="60" t="str">
        <f t="shared" si="118"/>
        <v/>
      </c>
      <c r="AB332" s="60" t="str">
        <f t="shared" si="119"/>
        <v/>
      </c>
    </row>
    <row r="333" spans="2:28">
      <c r="B333" s="57" t="str">
        <f t="shared" si="98"/>
        <v/>
      </c>
      <c r="C333" s="58" t="str">
        <f t="shared" si="99"/>
        <v/>
      </c>
      <c r="D333" s="28" t="str">
        <f t="shared" si="100"/>
        <v/>
      </c>
      <c r="E333" s="28" t="str">
        <f t="shared" si="101"/>
        <v/>
      </c>
      <c r="F333" s="29" t="str">
        <f t="shared" si="102"/>
        <v/>
      </c>
      <c r="G333" s="60" t="str">
        <f t="shared" si="103"/>
        <v/>
      </c>
      <c r="H333" s="60" t="str">
        <f t="shared" si="104"/>
        <v/>
      </c>
      <c r="I333" s="60" t="str">
        <f t="shared" si="105"/>
        <v/>
      </c>
      <c r="J333" s="60" t="str">
        <f t="shared" si="106"/>
        <v/>
      </c>
      <c r="K333" s="60" t="str">
        <f t="shared" si="107"/>
        <v/>
      </c>
      <c r="L333" s="60" t="str">
        <f t="shared" si="108"/>
        <v/>
      </c>
      <c r="M333" s="60" t="str">
        <f t="shared" si="109"/>
        <v/>
      </c>
      <c r="Q333" s="57" t="str">
        <f t="shared" si="110"/>
        <v/>
      </c>
      <c r="R333" s="58" t="str">
        <f t="shared" si="111"/>
        <v/>
      </c>
      <c r="S333" s="28" t="str">
        <f t="shared" ref="S333:S380" si="120">IF(Q333="","",EOMONTH(S332,1))</f>
        <v/>
      </c>
      <c r="T333" s="28" t="str">
        <f t="shared" si="112"/>
        <v/>
      </c>
      <c r="U333" s="29" t="str">
        <f t="shared" si="113"/>
        <v/>
      </c>
      <c r="V333" s="60" t="str">
        <f t="shared" ref="V333:V380" si="121">IF(Q333="","",AA332)</f>
        <v/>
      </c>
      <c r="W333" s="60" t="str">
        <f t="shared" si="114"/>
        <v/>
      </c>
      <c r="X333" s="60" t="str">
        <f t="shared" si="115"/>
        <v/>
      </c>
      <c r="Y333" s="60" t="str">
        <f t="shared" si="116"/>
        <v/>
      </c>
      <c r="Z333" s="60" t="str">
        <f t="shared" si="117"/>
        <v/>
      </c>
      <c r="AA333" s="60" t="str">
        <f t="shared" si="118"/>
        <v/>
      </c>
      <c r="AB333" s="60" t="str">
        <f t="shared" si="119"/>
        <v/>
      </c>
    </row>
    <row r="334" spans="2:28">
      <c r="B334" s="57" t="str">
        <f t="shared" si="98"/>
        <v/>
      </c>
      <c r="C334" s="58" t="str">
        <f t="shared" si="99"/>
        <v/>
      </c>
      <c r="D334" s="28" t="str">
        <f t="shared" si="100"/>
        <v/>
      </c>
      <c r="E334" s="28" t="str">
        <f t="shared" si="101"/>
        <v/>
      </c>
      <c r="F334" s="29" t="str">
        <f t="shared" si="102"/>
        <v/>
      </c>
      <c r="G334" s="60" t="str">
        <f t="shared" si="103"/>
        <v/>
      </c>
      <c r="H334" s="60" t="str">
        <f t="shared" si="104"/>
        <v/>
      </c>
      <c r="I334" s="60" t="str">
        <f t="shared" si="105"/>
        <v/>
      </c>
      <c r="J334" s="60" t="str">
        <f t="shared" si="106"/>
        <v/>
      </c>
      <c r="K334" s="60" t="str">
        <f t="shared" si="107"/>
        <v/>
      </c>
      <c r="L334" s="60" t="str">
        <f t="shared" si="108"/>
        <v/>
      </c>
      <c r="M334" s="60" t="str">
        <f t="shared" si="109"/>
        <v/>
      </c>
      <c r="Q334" s="57" t="str">
        <f t="shared" si="110"/>
        <v/>
      </c>
      <c r="R334" s="58" t="str">
        <f t="shared" si="111"/>
        <v/>
      </c>
      <c r="S334" s="28" t="str">
        <f t="shared" si="120"/>
        <v/>
      </c>
      <c r="T334" s="28" t="str">
        <f t="shared" si="112"/>
        <v/>
      </c>
      <c r="U334" s="29" t="str">
        <f t="shared" si="113"/>
        <v/>
      </c>
      <c r="V334" s="60" t="str">
        <f t="shared" si="121"/>
        <v/>
      </c>
      <c r="W334" s="60" t="str">
        <f t="shared" si="114"/>
        <v/>
      </c>
      <c r="X334" s="60" t="str">
        <f t="shared" si="115"/>
        <v/>
      </c>
      <c r="Y334" s="60" t="str">
        <f t="shared" si="116"/>
        <v/>
      </c>
      <c r="Z334" s="60" t="str">
        <f t="shared" si="117"/>
        <v/>
      </c>
      <c r="AA334" s="60" t="str">
        <f t="shared" si="118"/>
        <v/>
      </c>
      <c r="AB334" s="60" t="str">
        <f t="shared" si="119"/>
        <v/>
      </c>
    </row>
    <row r="335" spans="2:28">
      <c r="B335" s="57" t="str">
        <f t="shared" si="98"/>
        <v/>
      </c>
      <c r="C335" s="58" t="str">
        <f t="shared" si="99"/>
        <v/>
      </c>
      <c r="D335" s="28" t="str">
        <f t="shared" si="100"/>
        <v/>
      </c>
      <c r="E335" s="28" t="str">
        <f t="shared" si="101"/>
        <v/>
      </c>
      <c r="F335" s="29" t="str">
        <f t="shared" si="102"/>
        <v/>
      </c>
      <c r="G335" s="60" t="str">
        <f t="shared" si="103"/>
        <v/>
      </c>
      <c r="H335" s="60" t="str">
        <f t="shared" si="104"/>
        <v/>
      </c>
      <c r="I335" s="60" t="str">
        <f t="shared" si="105"/>
        <v/>
      </c>
      <c r="J335" s="60" t="str">
        <f t="shared" si="106"/>
        <v/>
      </c>
      <c r="K335" s="60" t="str">
        <f t="shared" si="107"/>
        <v/>
      </c>
      <c r="L335" s="60" t="str">
        <f t="shared" si="108"/>
        <v/>
      </c>
      <c r="M335" s="60" t="str">
        <f t="shared" si="109"/>
        <v/>
      </c>
      <c r="Q335" s="57" t="str">
        <f t="shared" si="110"/>
        <v/>
      </c>
      <c r="R335" s="58" t="str">
        <f t="shared" si="111"/>
        <v/>
      </c>
      <c r="S335" s="28" t="str">
        <f t="shared" si="120"/>
        <v/>
      </c>
      <c r="T335" s="28" t="str">
        <f t="shared" si="112"/>
        <v/>
      </c>
      <c r="U335" s="29" t="str">
        <f t="shared" si="113"/>
        <v/>
      </c>
      <c r="V335" s="60" t="str">
        <f t="shared" si="121"/>
        <v/>
      </c>
      <c r="W335" s="60" t="str">
        <f t="shared" si="114"/>
        <v/>
      </c>
      <c r="X335" s="60" t="str">
        <f t="shared" si="115"/>
        <v/>
      </c>
      <c r="Y335" s="60" t="str">
        <f t="shared" si="116"/>
        <v/>
      </c>
      <c r="Z335" s="60" t="str">
        <f t="shared" si="117"/>
        <v/>
      </c>
      <c r="AA335" s="60" t="str">
        <f t="shared" si="118"/>
        <v/>
      </c>
      <c r="AB335" s="60" t="str">
        <f t="shared" si="119"/>
        <v/>
      </c>
    </row>
    <row r="336" spans="2:28">
      <c r="B336" s="57" t="str">
        <f t="shared" si="98"/>
        <v/>
      </c>
      <c r="C336" s="58" t="str">
        <f t="shared" si="99"/>
        <v/>
      </c>
      <c r="D336" s="28" t="str">
        <f t="shared" si="100"/>
        <v/>
      </c>
      <c r="E336" s="28" t="str">
        <f t="shared" si="101"/>
        <v/>
      </c>
      <c r="F336" s="29" t="str">
        <f t="shared" si="102"/>
        <v/>
      </c>
      <c r="G336" s="60" t="str">
        <f t="shared" si="103"/>
        <v/>
      </c>
      <c r="H336" s="60" t="str">
        <f t="shared" si="104"/>
        <v/>
      </c>
      <c r="I336" s="60" t="str">
        <f t="shared" si="105"/>
        <v/>
      </c>
      <c r="J336" s="60" t="str">
        <f t="shared" si="106"/>
        <v/>
      </c>
      <c r="K336" s="60" t="str">
        <f t="shared" si="107"/>
        <v/>
      </c>
      <c r="L336" s="60" t="str">
        <f t="shared" si="108"/>
        <v/>
      </c>
      <c r="M336" s="60" t="str">
        <f t="shared" si="109"/>
        <v/>
      </c>
      <c r="Q336" s="57" t="str">
        <f t="shared" si="110"/>
        <v/>
      </c>
      <c r="R336" s="58" t="str">
        <f t="shared" si="111"/>
        <v/>
      </c>
      <c r="S336" s="28" t="str">
        <f t="shared" si="120"/>
        <v/>
      </c>
      <c r="T336" s="28" t="str">
        <f t="shared" si="112"/>
        <v/>
      </c>
      <c r="U336" s="29" t="str">
        <f t="shared" si="113"/>
        <v/>
      </c>
      <c r="V336" s="60" t="str">
        <f t="shared" si="121"/>
        <v/>
      </c>
      <c r="W336" s="60" t="str">
        <f t="shared" si="114"/>
        <v/>
      </c>
      <c r="X336" s="60" t="str">
        <f t="shared" si="115"/>
        <v/>
      </c>
      <c r="Y336" s="60" t="str">
        <f t="shared" si="116"/>
        <v/>
      </c>
      <c r="Z336" s="60" t="str">
        <f t="shared" si="117"/>
        <v/>
      </c>
      <c r="AA336" s="60" t="str">
        <f t="shared" si="118"/>
        <v/>
      </c>
      <c r="AB336" s="60" t="str">
        <f t="shared" si="119"/>
        <v/>
      </c>
    </row>
    <row r="337" spans="2:28">
      <c r="B337" s="57" t="str">
        <f t="shared" si="98"/>
        <v/>
      </c>
      <c r="C337" s="58" t="str">
        <f t="shared" si="99"/>
        <v/>
      </c>
      <c r="D337" s="28" t="str">
        <f t="shared" si="100"/>
        <v/>
      </c>
      <c r="E337" s="28" t="str">
        <f t="shared" si="101"/>
        <v/>
      </c>
      <c r="F337" s="29" t="str">
        <f t="shared" si="102"/>
        <v/>
      </c>
      <c r="G337" s="60" t="str">
        <f t="shared" si="103"/>
        <v/>
      </c>
      <c r="H337" s="60" t="str">
        <f t="shared" si="104"/>
        <v/>
      </c>
      <c r="I337" s="60" t="str">
        <f t="shared" si="105"/>
        <v/>
      </c>
      <c r="J337" s="60" t="str">
        <f t="shared" si="106"/>
        <v/>
      </c>
      <c r="K337" s="60" t="str">
        <f t="shared" si="107"/>
        <v/>
      </c>
      <c r="L337" s="60" t="str">
        <f t="shared" si="108"/>
        <v/>
      </c>
      <c r="M337" s="60" t="str">
        <f t="shared" si="109"/>
        <v/>
      </c>
      <c r="Q337" s="57" t="str">
        <f t="shared" si="110"/>
        <v/>
      </c>
      <c r="R337" s="58" t="str">
        <f t="shared" si="111"/>
        <v/>
      </c>
      <c r="S337" s="28" t="str">
        <f t="shared" si="120"/>
        <v/>
      </c>
      <c r="T337" s="28" t="str">
        <f t="shared" si="112"/>
        <v/>
      </c>
      <c r="U337" s="29" t="str">
        <f t="shared" si="113"/>
        <v/>
      </c>
      <c r="V337" s="60" t="str">
        <f t="shared" si="121"/>
        <v/>
      </c>
      <c r="W337" s="60" t="str">
        <f t="shared" si="114"/>
        <v/>
      </c>
      <c r="X337" s="60" t="str">
        <f t="shared" si="115"/>
        <v/>
      </c>
      <c r="Y337" s="60" t="str">
        <f t="shared" si="116"/>
        <v/>
      </c>
      <c r="Z337" s="60" t="str">
        <f t="shared" si="117"/>
        <v/>
      </c>
      <c r="AA337" s="60" t="str">
        <f t="shared" si="118"/>
        <v/>
      </c>
      <c r="AB337" s="60" t="str">
        <f t="shared" si="119"/>
        <v/>
      </c>
    </row>
    <row r="338" spans="2:28">
      <c r="B338" s="57" t="str">
        <f t="shared" si="98"/>
        <v/>
      </c>
      <c r="C338" s="58" t="str">
        <f t="shared" si="99"/>
        <v/>
      </c>
      <c r="D338" s="28" t="str">
        <f t="shared" si="100"/>
        <v/>
      </c>
      <c r="E338" s="28" t="str">
        <f t="shared" si="101"/>
        <v/>
      </c>
      <c r="F338" s="29" t="str">
        <f t="shared" si="102"/>
        <v/>
      </c>
      <c r="G338" s="60" t="str">
        <f t="shared" si="103"/>
        <v/>
      </c>
      <c r="H338" s="60" t="str">
        <f t="shared" si="104"/>
        <v/>
      </c>
      <c r="I338" s="60" t="str">
        <f t="shared" si="105"/>
        <v/>
      </c>
      <c r="J338" s="60" t="str">
        <f t="shared" si="106"/>
        <v/>
      </c>
      <c r="K338" s="60" t="str">
        <f t="shared" si="107"/>
        <v/>
      </c>
      <c r="L338" s="60" t="str">
        <f t="shared" si="108"/>
        <v/>
      </c>
      <c r="M338" s="60" t="str">
        <f t="shared" si="109"/>
        <v/>
      </c>
      <c r="Q338" s="57" t="str">
        <f t="shared" si="110"/>
        <v/>
      </c>
      <c r="R338" s="58" t="str">
        <f t="shared" si="111"/>
        <v/>
      </c>
      <c r="S338" s="28" t="str">
        <f t="shared" si="120"/>
        <v/>
      </c>
      <c r="T338" s="28" t="str">
        <f t="shared" si="112"/>
        <v/>
      </c>
      <c r="U338" s="29" t="str">
        <f t="shared" si="113"/>
        <v/>
      </c>
      <c r="V338" s="60" t="str">
        <f t="shared" si="121"/>
        <v/>
      </c>
      <c r="W338" s="60" t="str">
        <f t="shared" si="114"/>
        <v/>
      </c>
      <c r="X338" s="60" t="str">
        <f t="shared" si="115"/>
        <v/>
      </c>
      <c r="Y338" s="60" t="str">
        <f t="shared" si="116"/>
        <v/>
      </c>
      <c r="Z338" s="60" t="str">
        <f t="shared" si="117"/>
        <v/>
      </c>
      <c r="AA338" s="60" t="str">
        <f t="shared" si="118"/>
        <v/>
      </c>
      <c r="AB338" s="60" t="str">
        <f t="shared" si="119"/>
        <v/>
      </c>
    </row>
    <row r="339" spans="2:28">
      <c r="B339" s="57" t="str">
        <f t="shared" ref="B339:B379" si="122">IF(C339="","",ROUNDUP(C339/12,0))</f>
        <v/>
      </c>
      <c r="C339" s="58" t="str">
        <f t="shared" si="99"/>
        <v/>
      </c>
      <c r="D339" s="28" t="str">
        <f t="shared" si="100"/>
        <v/>
      </c>
      <c r="E339" s="28" t="str">
        <f t="shared" si="101"/>
        <v/>
      </c>
      <c r="F339" s="29" t="str">
        <f t="shared" si="102"/>
        <v/>
      </c>
      <c r="G339" s="60" t="str">
        <f t="shared" si="103"/>
        <v/>
      </c>
      <c r="H339" s="60" t="str">
        <f t="shared" si="104"/>
        <v/>
      </c>
      <c r="I339" s="60" t="str">
        <f t="shared" si="105"/>
        <v/>
      </c>
      <c r="J339" s="60" t="str">
        <f t="shared" si="106"/>
        <v/>
      </c>
      <c r="K339" s="60" t="str">
        <f t="shared" si="107"/>
        <v/>
      </c>
      <c r="L339" s="60" t="str">
        <f t="shared" si="108"/>
        <v/>
      </c>
      <c r="M339" s="60" t="str">
        <f t="shared" si="109"/>
        <v/>
      </c>
      <c r="Q339" s="57" t="str">
        <f t="shared" si="110"/>
        <v/>
      </c>
      <c r="R339" s="58" t="str">
        <f t="shared" si="111"/>
        <v/>
      </c>
      <c r="S339" s="28" t="str">
        <f t="shared" si="120"/>
        <v/>
      </c>
      <c r="T339" s="28" t="str">
        <f t="shared" si="112"/>
        <v/>
      </c>
      <c r="U339" s="29" t="str">
        <f t="shared" si="113"/>
        <v/>
      </c>
      <c r="V339" s="60" t="str">
        <f t="shared" si="121"/>
        <v/>
      </c>
      <c r="W339" s="60" t="str">
        <f t="shared" si="114"/>
        <v/>
      </c>
      <c r="X339" s="60" t="str">
        <f t="shared" si="115"/>
        <v/>
      </c>
      <c r="Y339" s="60" t="str">
        <f t="shared" si="116"/>
        <v/>
      </c>
      <c r="Z339" s="60" t="str">
        <f t="shared" si="117"/>
        <v/>
      </c>
      <c r="AA339" s="60" t="str">
        <f t="shared" si="118"/>
        <v/>
      </c>
      <c r="AB339" s="60" t="str">
        <f t="shared" si="119"/>
        <v/>
      </c>
    </row>
    <row r="340" spans="2:28">
      <c r="B340" s="57" t="str">
        <f t="shared" si="122"/>
        <v/>
      </c>
      <c r="C340" s="58" t="str">
        <f t="shared" ref="C340:C379" si="123">IF(OR(C339="",C339&gt;=$I$13),"",C339+1)</f>
        <v/>
      </c>
      <c r="D340" s="28" t="str">
        <f t="shared" ref="D340:D379" si="124">IF(B340="","",EOMONTH(D339,1))</f>
        <v/>
      </c>
      <c r="E340" s="28" t="str">
        <f t="shared" ref="E340:E379" si="125">IF(B340="","",$M$15)</f>
        <v/>
      </c>
      <c r="F340" s="29" t="str">
        <f t="shared" ref="F340:F379" si="126">IF(B340="","",IF($M$16="Actual",D340-D339,30))</f>
        <v/>
      </c>
      <c r="G340" s="60" t="str">
        <f t="shared" ref="G340:G379" si="127">IF(B340="","",L339)</f>
        <v/>
      </c>
      <c r="H340" s="60" t="str">
        <f t="shared" ref="H340:H379" si="128">IF(B340="","",(C340&lt;=$I$14)*I340+(C340&gt;$I$14)*PMT($I$11/(E340/F340),$I$12+$I$14-C339,-G340))</f>
        <v/>
      </c>
      <c r="I340" s="60" t="str">
        <f t="shared" ref="I340:I379" si="129">IF(B340="","",G340*$I$11/E340*F340)</f>
        <v/>
      </c>
      <c r="J340" s="60" t="str">
        <f t="shared" ref="J340:J379" si="130">IF(B340="","",H340-I340)</f>
        <v/>
      </c>
      <c r="K340" s="60" t="str">
        <f t="shared" ref="K340:K379" si="131">IF(B340="","",(C340=$I$13)*(G340-J340))</f>
        <v/>
      </c>
      <c r="L340" s="60" t="str">
        <f t="shared" ref="L340:L379" si="132">IF(B340="","",G340-J340-K340)</f>
        <v/>
      </c>
      <c r="M340" s="60" t="str">
        <f t="shared" ref="M340:M379" si="133">IF(B340="","",I340+J340+K340)</f>
        <v/>
      </c>
      <c r="Q340" s="57" t="str">
        <f t="shared" ref="Q340:Q380" si="134">IF(R340="","",ROUNDUP(R340/12,0))</f>
        <v/>
      </c>
      <c r="R340" s="58" t="str">
        <f t="shared" si="111"/>
        <v/>
      </c>
      <c r="S340" s="28" t="str">
        <f t="shared" si="120"/>
        <v/>
      </c>
      <c r="T340" s="28" t="str">
        <f t="shared" si="112"/>
        <v/>
      </c>
      <c r="U340" s="29" t="str">
        <f t="shared" si="113"/>
        <v/>
      </c>
      <c r="V340" s="60" t="str">
        <f t="shared" si="121"/>
        <v/>
      </c>
      <c r="W340" s="60" t="str">
        <f t="shared" si="114"/>
        <v/>
      </c>
      <c r="X340" s="60" t="str">
        <f t="shared" si="115"/>
        <v/>
      </c>
      <c r="Y340" s="60" t="str">
        <f t="shared" si="116"/>
        <v/>
      </c>
      <c r="Z340" s="60" t="str">
        <f t="shared" si="117"/>
        <v/>
      </c>
      <c r="AA340" s="60" t="str">
        <f t="shared" si="118"/>
        <v/>
      </c>
      <c r="AB340" s="60" t="str">
        <f t="shared" si="119"/>
        <v/>
      </c>
    </row>
    <row r="341" spans="2:28">
      <c r="B341" s="57" t="str">
        <f t="shared" si="122"/>
        <v/>
      </c>
      <c r="C341" s="58" t="str">
        <f t="shared" si="123"/>
        <v/>
      </c>
      <c r="D341" s="28" t="str">
        <f t="shared" si="124"/>
        <v/>
      </c>
      <c r="E341" s="28" t="str">
        <f t="shared" si="125"/>
        <v/>
      </c>
      <c r="F341" s="29" t="str">
        <f t="shared" si="126"/>
        <v/>
      </c>
      <c r="G341" s="60" t="str">
        <f t="shared" si="127"/>
        <v/>
      </c>
      <c r="H341" s="60" t="str">
        <f t="shared" si="128"/>
        <v/>
      </c>
      <c r="I341" s="60" t="str">
        <f t="shared" si="129"/>
        <v/>
      </c>
      <c r="J341" s="60" t="str">
        <f t="shared" si="130"/>
        <v/>
      </c>
      <c r="K341" s="60" t="str">
        <f t="shared" si="131"/>
        <v/>
      </c>
      <c r="L341" s="60" t="str">
        <f t="shared" si="132"/>
        <v/>
      </c>
      <c r="M341" s="60" t="str">
        <f t="shared" si="133"/>
        <v/>
      </c>
      <c r="Q341" s="57" t="str">
        <f t="shared" si="134"/>
        <v/>
      </c>
      <c r="R341" s="58" t="str">
        <f t="shared" ref="R341:R380" si="135">IF(OR(R340="",R340&gt;=$I$13),"",R340+1)</f>
        <v/>
      </c>
      <c r="S341" s="28" t="str">
        <f t="shared" si="120"/>
        <v/>
      </c>
      <c r="T341" s="28" t="str">
        <f t="shared" ref="T341:T380" si="136">IF(Q341="","",$M$15)</f>
        <v/>
      </c>
      <c r="U341" s="29" t="str">
        <f t="shared" ref="U341:U380" si="137">IF(Q341="","",IF($M$16="Actual",S341-S340,30))</f>
        <v/>
      </c>
      <c r="V341" s="60" t="str">
        <f t="shared" si="121"/>
        <v/>
      </c>
      <c r="W341" s="60" t="str">
        <f t="shared" ref="W341:W380" si="138">IF(Q341="","",(R341&lt;=$I$14)*X341+(R341&gt;$I$14)*PMT($I$11/(T341/U341),$I$12+$I$14-R340,-V341))</f>
        <v/>
      </c>
      <c r="X341" s="60" t="str">
        <f t="shared" ref="X341:X380" si="139">IF(Q341="","",V341*$I$11/T341*U341)</f>
        <v/>
      </c>
      <c r="Y341" s="60" t="str">
        <f t="shared" ref="Y341:Y380" si="140">IF(Q341="","",W341-X341)</f>
        <v/>
      </c>
      <c r="Z341" s="60" t="str">
        <f t="shared" ref="Z341:Z380" si="141">IF(Q341="","",(R341=$I$13)*(V341-Y341))</f>
        <v/>
      </c>
      <c r="AA341" s="60" t="str">
        <f t="shared" ref="AA341:AA380" si="142">IF(Q341="","",V341-Y341-Z341)</f>
        <v/>
      </c>
      <c r="AB341" s="60" t="str">
        <f t="shared" ref="AB341:AB380" si="143">IF(Q341="","",X341+Y341+Z341)</f>
        <v/>
      </c>
    </row>
    <row r="342" spans="2:28">
      <c r="B342" s="57" t="str">
        <f t="shared" si="122"/>
        <v/>
      </c>
      <c r="C342" s="58" t="str">
        <f t="shared" si="123"/>
        <v/>
      </c>
      <c r="D342" s="28" t="str">
        <f t="shared" si="124"/>
        <v/>
      </c>
      <c r="E342" s="28" t="str">
        <f t="shared" si="125"/>
        <v/>
      </c>
      <c r="F342" s="29" t="str">
        <f t="shared" si="126"/>
        <v/>
      </c>
      <c r="G342" s="60" t="str">
        <f t="shared" si="127"/>
        <v/>
      </c>
      <c r="H342" s="60" t="str">
        <f t="shared" si="128"/>
        <v/>
      </c>
      <c r="I342" s="60" t="str">
        <f t="shared" si="129"/>
        <v/>
      </c>
      <c r="J342" s="60" t="str">
        <f t="shared" si="130"/>
        <v/>
      </c>
      <c r="K342" s="60" t="str">
        <f t="shared" si="131"/>
        <v/>
      </c>
      <c r="L342" s="60" t="str">
        <f t="shared" si="132"/>
        <v/>
      </c>
      <c r="M342" s="60" t="str">
        <f t="shared" si="133"/>
        <v/>
      </c>
      <c r="Q342" s="57" t="str">
        <f t="shared" si="134"/>
        <v/>
      </c>
      <c r="R342" s="58" t="str">
        <f t="shared" si="135"/>
        <v/>
      </c>
      <c r="S342" s="28" t="str">
        <f t="shared" si="120"/>
        <v/>
      </c>
      <c r="T342" s="28" t="str">
        <f t="shared" si="136"/>
        <v/>
      </c>
      <c r="U342" s="29" t="str">
        <f t="shared" si="137"/>
        <v/>
      </c>
      <c r="V342" s="60" t="str">
        <f t="shared" si="121"/>
        <v/>
      </c>
      <c r="W342" s="60" t="str">
        <f t="shared" si="138"/>
        <v/>
      </c>
      <c r="X342" s="60" t="str">
        <f t="shared" si="139"/>
        <v/>
      </c>
      <c r="Y342" s="60" t="str">
        <f t="shared" si="140"/>
        <v/>
      </c>
      <c r="Z342" s="60" t="str">
        <f t="shared" si="141"/>
        <v/>
      </c>
      <c r="AA342" s="60" t="str">
        <f t="shared" si="142"/>
        <v/>
      </c>
      <c r="AB342" s="60" t="str">
        <f t="shared" si="143"/>
        <v/>
      </c>
    </row>
    <row r="343" spans="2:28">
      <c r="B343" s="57" t="str">
        <f t="shared" si="122"/>
        <v/>
      </c>
      <c r="C343" s="58" t="str">
        <f t="shared" si="123"/>
        <v/>
      </c>
      <c r="D343" s="28" t="str">
        <f t="shared" si="124"/>
        <v/>
      </c>
      <c r="E343" s="28" t="str">
        <f t="shared" si="125"/>
        <v/>
      </c>
      <c r="F343" s="29" t="str">
        <f t="shared" si="126"/>
        <v/>
      </c>
      <c r="G343" s="60" t="str">
        <f t="shared" si="127"/>
        <v/>
      </c>
      <c r="H343" s="60" t="str">
        <f t="shared" si="128"/>
        <v/>
      </c>
      <c r="I343" s="60" t="str">
        <f t="shared" si="129"/>
        <v/>
      </c>
      <c r="J343" s="60" t="str">
        <f t="shared" si="130"/>
        <v/>
      </c>
      <c r="K343" s="60" t="str">
        <f t="shared" si="131"/>
        <v/>
      </c>
      <c r="L343" s="60" t="str">
        <f t="shared" si="132"/>
        <v/>
      </c>
      <c r="M343" s="60" t="str">
        <f t="shared" si="133"/>
        <v/>
      </c>
      <c r="Q343" s="57" t="str">
        <f t="shared" si="134"/>
        <v/>
      </c>
      <c r="R343" s="58" t="str">
        <f t="shared" si="135"/>
        <v/>
      </c>
      <c r="S343" s="28" t="str">
        <f t="shared" si="120"/>
        <v/>
      </c>
      <c r="T343" s="28" t="str">
        <f t="shared" si="136"/>
        <v/>
      </c>
      <c r="U343" s="29" t="str">
        <f t="shared" si="137"/>
        <v/>
      </c>
      <c r="V343" s="60" t="str">
        <f t="shared" si="121"/>
        <v/>
      </c>
      <c r="W343" s="60" t="str">
        <f t="shared" si="138"/>
        <v/>
      </c>
      <c r="X343" s="60" t="str">
        <f t="shared" si="139"/>
        <v/>
      </c>
      <c r="Y343" s="60" t="str">
        <f t="shared" si="140"/>
        <v/>
      </c>
      <c r="Z343" s="60" t="str">
        <f t="shared" si="141"/>
        <v/>
      </c>
      <c r="AA343" s="60" t="str">
        <f t="shared" si="142"/>
        <v/>
      </c>
      <c r="AB343" s="60" t="str">
        <f t="shared" si="143"/>
        <v/>
      </c>
    </row>
    <row r="344" spans="2:28">
      <c r="B344" s="57" t="str">
        <f t="shared" si="122"/>
        <v/>
      </c>
      <c r="C344" s="58" t="str">
        <f t="shared" si="123"/>
        <v/>
      </c>
      <c r="D344" s="28" t="str">
        <f t="shared" si="124"/>
        <v/>
      </c>
      <c r="E344" s="28" t="str">
        <f t="shared" si="125"/>
        <v/>
      </c>
      <c r="F344" s="29" t="str">
        <f t="shared" si="126"/>
        <v/>
      </c>
      <c r="G344" s="60" t="str">
        <f t="shared" si="127"/>
        <v/>
      </c>
      <c r="H344" s="60" t="str">
        <f t="shared" si="128"/>
        <v/>
      </c>
      <c r="I344" s="60" t="str">
        <f t="shared" si="129"/>
        <v/>
      </c>
      <c r="J344" s="60" t="str">
        <f t="shared" si="130"/>
        <v/>
      </c>
      <c r="K344" s="60" t="str">
        <f t="shared" si="131"/>
        <v/>
      </c>
      <c r="L344" s="60" t="str">
        <f t="shared" si="132"/>
        <v/>
      </c>
      <c r="M344" s="60" t="str">
        <f t="shared" si="133"/>
        <v/>
      </c>
      <c r="Q344" s="57" t="str">
        <f t="shared" si="134"/>
        <v/>
      </c>
      <c r="R344" s="58" t="str">
        <f t="shared" si="135"/>
        <v/>
      </c>
      <c r="S344" s="28" t="str">
        <f t="shared" si="120"/>
        <v/>
      </c>
      <c r="T344" s="28" t="str">
        <f t="shared" si="136"/>
        <v/>
      </c>
      <c r="U344" s="29" t="str">
        <f t="shared" si="137"/>
        <v/>
      </c>
      <c r="V344" s="60" t="str">
        <f t="shared" si="121"/>
        <v/>
      </c>
      <c r="W344" s="60" t="str">
        <f t="shared" si="138"/>
        <v/>
      </c>
      <c r="X344" s="60" t="str">
        <f t="shared" si="139"/>
        <v/>
      </c>
      <c r="Y344" s="60" t="str">
        <f t="shared" si="140"/>
        <v/>
      </c>
      <c r="Z344" s="60" t="str">
        <f t="shared" si="141"/>
        <v/>
      </c>
      <c r="AA344" s="60" t="str">
        <f t="shared" si="142"/>
        <v/>
      </c>
      <c r="AB344" s="60" t="str">
        <f t="shared" si="143"/>
        <v/>
      </c>
    </row>
    <row r="345" spans="2:28">
      <c r="B345" s="57" t="str">
        <f t="shared" si="122"/>
        <v/>
      </c>
      <c r="C345" s="58" t="str">
        <f t="shared" si="123"/>
        <v/>
      </c>
      <c r="D345" s="28" t="str">
        <f t="shared" si="124"/>
        <v/>
      </c>
      <c r="E345" s="28" t="str">
        <f t="shared" si="125"/>
        <v/>
      </c>
      <c r="F345" s="29" t="str">
        <f t="shared" si="126"/>
        <v/>
      </c>
      <c r="G345" s="60" t="str">
        <f t="shared" si="127"/>
        <v/>
      </c>
      <c r="H345" s="60" t="str">
        <f t="shared" si="128"/>
        <v/>
      </c>
      <c r="I345" s="60" t="str">
        <f t="shared" si="129"/>
        <v/>
      </c>
      <c r="J345" s="60" t="str">
        <f t="shared" si="130"/>
        <v/>
      </c>
      <c r="K345" s="60" t="str">
        <f t="shared" si="131"/>
        <v/>
      </c>
      <c r="L345" s="60" t="str">
        <f t="shared" si="132"/>
        <v/>
      </c>
      <c r="M345" s="60" t="str">
        <f t="shared" si="133"/>
        <v/>
      </c>
      <c r="Q345" s="57" t="str">
        <f t="shared" si="134"/>
        <v/>
      </c>
      <c r="R345" s="58" t="str">
        <f t="shared" si="135"/>
        <v/>
      </c>
      <c r="S345" s="28" t="str">
        <f t="shared" si="120"/>
        <v/>
      </c>
      <c r="T345" s="28" t="str">
        <f t="shared" si="136"/>
        <v/>
      </c>
      <c r="U345" s="29" t="str">
        <f t="shared" si="137"/>
        <v/>
      </c>
      <c r="V345" s="60" t="str">
        <f t="shared" si="121"/>
        <v/>
      </c>
      <c r="W345" s="60" t="str">
        <f t="shared" si="138"/>
        <v/>
      </c>
      <c r="X345" s="60" t="str">
        <f t="shared" si="139"/>
        <v/>
      </c>
      <c r="Y345" s="60" t="str">
        <f t="shared" si="140"/>
        <v/>
      </c>
      <c r="Z345" s="60" t="str">
        <f t="shared" si="141"/>
        <v/>
      </c>
      <c r="AA345" s="60" t="str">
        <f t="shared" si="142"/>
        <v/>
      </c>
      <c r="AB345" s="60" t="str">
        <f t="shared" si="143"/>
        <v/>
      </c>
    </row>
    <row r="346" spans="2:28">
      <c r="B346" s="57" t="str">
        <f t="shared" si="122"/>
        <v/>
      </c>
      <c r="C346" s="58" t="str">
        <f t="shared" si="123"/>
        <v/>
      </c>
      <c r="D346" s="28" t="str">
        <f t="shared" si="124"/>
        <v/>
      </c>
      <c r="E346" s="28" t="str">
        <f t="shared" si="125"/>
        <v/>
      </c>
      <c r="F346" s="29" t="str">
        <f t="shared" si="126"/>
        <v/>
      </c>
      <c r="G346" s="60" t="str">
        <f t="shared" si="127"/>
        <v/>
      </c>
      <c r="H346" s="60" t="str">
        <f t="shared" si="128"/>
        <v/>
      </c>
      <c r="I346" s="60" t="str">
        <f t="shared" si="129"/>
        <v/>
      </c>
      <c r="J346" s="60" t="str">
        <f t="shared" si="130"/>
        <v/>
      </c>
      <c r="K346" s="60" t="str">
        <f t="shared" si="131"/>
        <v/>
      </c>
      <c r="L346" s="60" t="str">
        <f t="shared" si="132"/>
        <v/>
      </c>
      <c r="M346" s="60" t="str">
        <f t="shared" si="133"/>
        <v/>
      </c>
      <c r="Q346" s="57" t="str">
        <f t="shared" si="134"/>
        <v/>
      </c>
      <c r="R346" s="58" t="str">
        <f t="shared" si="135"/>
        <v/>
      </c>
      <c r="S346" s="28" t="str">
        <f t="shared" si="120"/>
        <v/>
      </c>
      <c r="T346" s="28" t="str">
        <f t="shared" si="136"/>
        <v/>
      </c>
      <c r="U346" s="29" t="str">
        <f t="shared" si="137"/>
        <v/>
      </c>
      <c r="V346" s="60" t="str">
        <f t="shared" si="121"/>
        <v/>
      </c>
      <c r="W346" s="60" t="str">
        <f t="shared" si="138"/>
        <v/>
      </c>
      <c r="X346" s="60" t="str">
        <f t="shared" si="139"/>
        <v/>
      </c>
      <c r="Y346" s="60" t="str">
        <f t="shared" si="140"/>
        <v/>
      </c>
      <c r="Z346" s="60" t="str">
        <f t="shared" si="141"/>
        <v/>
      </c>
      <c r="AA346" s="60" t="str">
        <f t="shared" si="142"/>
        <v/>
      </c>
      <c r="AB346" s="60" t="str">
        <f t="shared" si="143"/>
        <v/>
      </c>
    </row>
    <row r="347" spans="2:28">
      <c r="B347" s="57" t="str">
        <f t="shared" si="122"/>
        <v/>
      </c>
      <c r="C347" s="58" t="str">
        <f t="shared" si="123"/>
        <v/>
      </c>
      <c r="D347" s="28" t="str">
        <f t="shared" si="124"/>
        <v/>
      </c>
      <c r="E347" s="28" t="str">
        <f t="shared" si="125"/>
        <v/>
      </c>
      <c r="F347" s="29" t="str">
        <f t="shared" si="126"/>
        <v/>
      </c>
      <c r="G347" s="60" t="str">
        <f t="shared" si="127"/>
        <v/>
      </c>
      <c r="H347" s="60" t="str">
        <f t="shared" si="128"/>
        <v/>
      </c>
      <c r="I347" s="60" t="str">
        <f t="shared" si="129"/>
        <v/>
      </c>
      <c r="J347" s="60" t="str">
        <f t="shared" si="130"/>
        <v/>
      </c>
      <c r="K347" s="60" t="str">
        <f t="shared" si="131"/>
        <v/>
      </c>
      <c r="L347" s="60" t="str">
        <f t="shared" si="132"/>
        <v/>
      </c>
      <c r="M347" s="60" t="str">
        <f t="shared" si="133"/>
        <v/>
      </c>
      <c r="Q347" s="57" t="str">
        <f t="shared" si="134"/>
        <v/>
      </c>
      <c r="R347" s="58" t="str">
        <f t="shared" si="135"/>
        <v/>
      </c>
      <c r="S347" s="28" t="str">
        <f t="shared" si="120"/>
        <v/>
      </c>
      <c r="T347" s="28" t="str">
        <f t="shared" si="136"/>
        <v/>
      </c>
      <c r="U347" s="29" t="str">
        <f t="shared" si="137"/>
        <v/>
      </c>
      <c r="V347" s="60" t="str">
        <f t="shared" si="121"/>
        <v/>
      </c>
      <c r="W347" s="60" t="str">
        <f t="shared" si="138"/>
        <v/>
      </c>
      <c r="X347" s="60" t="str">
        <f t="shared" si="139"/>
        <v/>
      </c>
      <c r="Y347" s="60" t="str">
        <f t="shared" si="140"/>
        <v/>
      </c>
      <c r="Z347" s="60" t="str">
        <f t="shared" si="141"/>
        <v/>
      </c>
      <c r="AA347" s="60" t="str">
        <f t="shared" si="142"/>
        <v/>
      </c>
      <c r="AB347" s="60" t="str">
        <f t="shared" si="143"/>
        <v/>
      </c>
    </row>
    <row r="348" spans="2:28">
      <c r="B348" s="57" t="str">
        <f t="shared" si="122"/>
        <v/>
      </c>
      <c r="C348" s="58" t="str">
        <f t="shared" si="123"/>
        <v/>
      </c>
      <c r="D348" s="28" t="str">
        <f t="shared" si="124"/>
        <v/>
      </c>
      <c r="E348" s="28" t="str">
        <f t="shared" si="125"/>
        <v/>
      </c>
      <c r="F348" s="29" t="str">
        <f t="shared" si="126"/>
        <v/>
      </c>
      <c r="G348" s="60" t="str">
        <f t="shared" si="127"/>
        <v/>
      </c>
      <c r="H348" s="60" t="str">
        <f t="shared" si="128"/>
        <v/>
      </c>
      <c r="I348" s="60" t="str">
        <f t="shared" si="129"/>
        <v/>
      </c>
      <c r="J348" s="60" t="str">
        <f t="shared" si="130"/>
        <v/>
      </c>
      <c r="K348" s="60" t="str">
        <f t="shared" si="131"/>
        <v/>
      </c>
      <c r="L348" s="60" t="str">
        <f t="shared" si="132"/>
        <v/>
      </c>
      <c r="M348" s="60" t="str">
        <f t="shared" si="133"/>
        <v/>
      </c>
      <c r="Q348" s="57" t="str">
        <f t="shared" si="134"/>
        <v/>
      </c>
      <c r="R348" s="58" t="str">
        <f t="shared" si="135"/>
        <v/>
      </c>
      <c r="S348" s="28" t="str">
        <f t="shared" si="120"/>
        <v/>
      </c>
      <c r="T348" s="28" t="str">
        <f t="shared" si="136"/>
        <v/>
      </c>
      <c r="U348" s="29" t="str">
        <f t="shared" si="137"/>
        <v/>
      </c>
      <c r="V348" s="60" t="str">
        <f t="shared" si="121"/>
        <v/>
      </c>
      <c r="W348" s="60" t="str">
        <f t="shared" si="138"/>
        <v/>
      </c>
      <c r="X348" s="60" t="str">
        <f t="shared" si="139"/>
        <v/>
      </c>
      <c r="Y348" s="60" t="str">
        <f t="shared" si="140"/>
        <v/>
      </c>
      <c r="Z348" s="60" t="str">
        <f t="shared" si="141"/>
        <v/>
      </c>
      <c r="AA348" s="60" t="str">
        <f t="shared" si="142"/>
        <v/>
      </c>
      <c r="AB348" s="60" t="str">
        <f t="shared" si="143"/>
        <v/>
      </c>
    </row>
    <row r="349" spans="2:28">
      <c r="B349" s="57" t="str">
        <f t="shared" si="122"/>
        <v/>
      </c>
      <c r="C349" s="58" t="str">
        <f t="shared" si="123"/>
        <v/>
      </c>
      <c r="D349" s="28" t="str">
        <f t="shared" si="124"/>
        <v/>
      </c>
      <c r="E349" s="28" t="str">
        <f t="shared" si="125"/>
        <v/>
      </c>
      <c r="F349" s="29" t="str">
        <f t="shared" si="126"/>
        <v/>
      </c>
      <c r="G349" s="60" t="str">
        <f t="shared" si="127"/>
        <v/>
      </c>
      <c r="H349" s="60" t="str">
        <f t="shared" si="128"/>
        <v/>
      </c>
      <c r="I349" s="60" t="str">
        <f t="shared" si="129"/>
        <v/>
      </c>
      <c r="J349" s="60" t="str">
        <f t="shared" si="130"/>
        <v/>
      </c>
      <c r="K349" s="60" t="str">
        <f t="shared" si="131"/>
        <v/>
      </c>
      <c r="L349" s="60" t="str">
        <f t="shared" si="132"/>
        <v/>
      </c>
      <c r="M349" s="60" t="str">
        <f t="shared" si="133"/>
        <v/>
      </c>
      <c r="Q349" s="57" t="str">
        <f t="shared" si="134"/>
        <v/>
      </c>
      <c r="R349" s="58" t="str">
        <f t="shared" si="135"/>
        <v/>
      </c>
      <c r="S349" s="28" t="str">
        <f t="shared" si="120"/>
        <v/>
      </c>
      <c r="T349" s="28" t="str">
        <f t="shared" si="136"/>
        <v/>
      </c>
      <c r="U349" s="29" t="str">
        <f t="shared" si="137"/>
        <v/>
      </c>
      <c r="V349" s="60" t="str">
        <f t="shared" si="121"/>
        <v/>
      </c>
      <c r="W349" s="60" t="str">
        <f t="shared" si="138"/>
        <v/>
      </c>
      <c r="X349" s="60" t="str">
        <f t="shared" si="139"/>
        <v/>
      </c>
      <c r="Y349" s="60" t="str">
        <f t="shared" si="140"/>
        <v/>
      </c>
      <c r="Z349" s="60" t="str">
        <f t="shared" si="141"/>
        <v/>
      </c>
      <c r="AA349" s="60" t="str">
        <f t="shared" si="142"/>
        <v/>
      </c>
      <c r="AB349" s="60" t="str">
        <f t="shared" si="143"/>
        <v/>
      </c>
    </row>
    <row r="350" spans="2:28">
      <c r="B350" s="57" t="str">
        <f t="shared" si="122"/>
        <v/>
      </c>
      <c r="C350" s="58" t="str">
        <f t="shared" si="123"/>
        <v/>
      </c>
      <c r="D350" s="28" t="str">
        <f t="shared" si="124"/>
        <v/>
      </c>
      <c r="E350" s="28" t="str">
        <f t="shared" si="125"/>
        <v/>
      </c>
      <c r="F350" s="29" t="str">
        <f t="shared" si="126"/>
        <v/>
      </c>
      <c r="G350" s="60" t="str">
        <f t="shared" si="127"/>
        <v/>
      </c>
      <c r="H350" s="60" t="str">
        <f t="shared" si="128"/>
        <v/>
      </c>
      <c r="I350" s="60" t="str">
        <f t="shared" si="129"/>
        <v/>
      </c>
      <c r="J350" s="60" t="str">
        <f t="shared" si="130"/>
        <v/>
      </c>
      <c r="K350" s="60" t="str">
        <f t="shared" si="131"/>
        <v/>
      </c>
      <c r="L350" s="60" t="str">
        <f t="shared" si="132"/>
        <v/>
      </c>
      <c r="M350" s="60" t="str">
        <f t="shared" si="133"/>
        <v/>
      </c>
      <c r="Q350" s="57" t="str">
        <f t="shared" si="134"/>
        <v/>
      </c>
      <c r="R350" s="58" t="str">
        <f t="shared" si="135"/>
        <v/>
      </c>
      <c r="S350" s="28" t="str">
        <f t="shared" si="120"/>
        <v/>
      </c>
      <c r="T350" s="28" t="str">
        <f t="shared" si="136"/>
        <v/>
      </c>
      <c r="U350" s="29" t="str">
        <f t="shared" si="137"/>
        <v/>
      </c>
      <c r="V350" s="60" t="str">
        <f t="shared" si="121"/>
        <v/>
      </c>
      <c r="W350" s="60" t="str">
        <f t="shared" si="138"/>
        <v/>
      </c>
      <c r="X350" s="60" t="str">
        <f t="shared" si="139"/>
        <v/>
      </c>
      <c r="Y350" s="60" t="str">
        <f t="shared" si="140"/>
        <v/>
      </c>
      <c r="Z350" s="60" t="str">
        <f t="shared" si="141"/>
        <v/>
      </c>
      <c r="AA350" s="60" t="str">
        <f t="shared" si="142"/>
        <v/>
      </c>
      <c r="AB350" s="60" t="str">
        <f t="shared" si="143"/>
        <v/>
      </c>
    </row>
    <row r="351" spans="2:28">
      <c r="B351" s="57" t="str">
        <f t="shared" si="122"/>
        <v/>
      </c>
      <c r="C351" s="58" t="str">
        <f t="shared" si="123"/>
        <v/>
      </c>
      <c r="D351" s="28" t="str">
        <f t="shared" si="124"/>
        <v/>
      </c>
      <c r="E351" s="28" t="str">
        <f t="shared" si="125"/>
        <v/>
      </c>
      <c r="F351" s="29" t="str">
        <f t="shared" si="126"/>
        <v/>
      </c>
      <c r="G351" s="60" t="str">
        <f t="shared" si="127"/>
        <v/>
      </c>
      <c r="H351" s="60" t="str">
        <f t="shared" si="128"/>
        <v/>
      </c>
      <c r="I351" s="60" t="str">
        <f t="shared" si="129"/>
        <v/>
      </c>
      <c r="J351" s="60" t="str">
        <f t="shared" si="130"/>
        <v/>
      </c>
      <c r="K351" s="60" t="str">
        <f t="shared" si="131"/>
        <v/>
      </c>
      <c r="L351" s="60" t="str">
        <f t="shared" si="132"/>
        <v/>
      </c>
      <c r="M351" s="60" t="str">
        <f t="shared" si="133"/>
        <v/>
      </c>
      <c r="Q351" s="57" t="str">
        <f t="shared" si="134"/>
        <v/>
      </c>
      <c r="R351" s="58" t="str">
        <f t="shared" si="135"/>
        <v/>
      </c>
      <c r="S351" s="28" t="str">
        <f t="shared" si="120"/>
        <v/>
      </c>
      <c r="T351" s="28" t="str">
        <f t="shared" si="136"/>
        <v/>
      </c>
      <c r="U351" s="29" t="str">
        <f t="shared" si="137"/>
        <v/>
      </c>
      <c r="V351" s="60" t="str">
        <f t="shared" si="121"/>
        <v/>
      </c>
      <c r="W351" s="60" t="str">
        <f t="shared" si="138"/>
        <v/>
      </c>
      <c r="X351" s="60" t="str">
        <f t="shared" si="139"/>
        <v/>
      </c>
      <c r="Y351" s="60" t="str">
        <f t="shared" si="140"/>
        <v/>
      </c>
      <c r="Z351" s="60" t="str">
        <f t="shared" si="141"/>
        <v/>
      </c>
      <c r="AA351" s="60" t="str">
        <f t="shared" si="142"/>
        <v/>
      </c>
      <c r="AB351" s="60" t="str">
        <f t="shared" si="143"/>
        <v/>
      </c>
    </row>
    <row r="352" spans="2:28">
      <c r="B352" s="57" t="str">
        <f t="shared" si="122"/>
        <v/>
      </c>
      <c r="C352" s="58" t="str">
        <f t="shared" si="123"/>
        <v/>
      </c>
      <c r="D352" s="28" t="str">
        <f t="shared" si="124"/>
        <v/>
      </c>
      <c r="E352" s="28" t="str">
        <f t="shared" si="125"/>
        <v/>
      </c>
      <c r="F352" s="29" t="str">
        <f t="shared" si="126"/>
        <v/>
      </c>
      <c r="G352" s="60" t="str">
        <f t="shared" si="127"/>
        <v/>
      </c>
      <c r="H352" s="60" t="str">
        <f t="shared" si="128"/>
        <v/>
      </c>
      <c r="I352" s="60" t="str">
        <f t="shared" si="129"/>
        <v/>
      </c>
      <c r="J352" s="60" t="str">
        <f t="shared" si="130"/>
        <v/>
      </c>
      <c r="K352" s="60" t="str">
        <f t="shared" si="131"/>
        <v/>
      </c>
      <c r="L352" s="60" t="str">
        <f t="shared" si="132"/>
        <v/>
      </c>
      <c r="M352" s="60" t="str">
        <f t="shared" si="133"/>
        <v/>
      </c>
      <c r="Q352" s="57" t="str">
        <f t="shared" si="134"/>
        <v/>
      </c>
      <c r="R352" s="58" t="str">
        <f t="shared" si="135"/>
        <v/>
      </c>
      <c r="S352" s="28" t="str">
        <f t="shared" si="120"/>
        <v/>
      </c>
      <c r="T352" s="28" t="str">
        <f t="shared" si="136"/>
        <v/>
      </c>
      <c r="U352" s="29" t="str">
        <f t="shared" si="137"/>
        <v/>
      </c>
      <c r="V352" s="60" t="str">
        <f t="shared" si="121"/>
        <v/>
      </c>
      <c r="W352" s="60" t="str">
        <f t="shared" si="138"/>
        <v/>
      </c>
      <c r="X352" s="60" t="str">
        <f t="shared" si="139"/>
        <v/>
      </c>
      <c r="Y352" s="60" t="str">
        <f t="shared" si="140"/>
        <v/>
      </c>
      <c r="Z352" s="60" t="str">
        <f t="shared" si="141"/>
        <v/>
      </c>
      <c r="AA352" s="60" t="str">
        <f t="shared" si="142"/>
        <v/>
      </c>
      <c r="AB352" s="60" t="str">
        <f t="shared" si="143"/>
        <v/>
      </c>
    </row>
    <row r="353" spans="2:28">
      <c r="B353" s="57" t="str">
        <f t="shared" si="122"/>
        <v/>
      </c>
      <c r="C353" s="58" t="str">
        <f t="shared" si="123"/>
        <v/>
      </c>
      <c r="D353" s="28" t="str">
        <f t="shared" si="124"/>
        <v/>
      </c>
      <c r="E353" s="28" t="str">
        <f t="shared" si="125"/>
        <v/>
      </c>
      <c r="F353" s="29" t="str">
        <f t="shared" si="126"/>
        <v/>
      </c>
      <c r="G353" s="60" t="str">
        <f t="shared" si="127"/>
        <v/>
      </c>
      <c r="H353" s="60" t="str">
        <f t="shared" si="128"/>
        <v/>
      </c>
      <c r="I353" s="60" t="str">
        <f t="shared" si="129"/>
        <v/>
      </c>
      <c r="J353" s="60" t="str">
        <f t="shared" si="130"/>
        <v/>
      </c>
      <c r="K353" s="60" t="str">
        <f t="shared" si="131"/>
        <v/>
      </c>
      <c r="L353" s="60" t="str">
        <f t="shared" si="132"/>
        <v/>
      </c>
      <c r="M353" s="60" t="str">
        <f t="shared" si="133"/>
        <v/>
      </c>
      <c r="Q353" s="57" t="str">
        <f t="shared" si="134"/>
        <v/>
      </c>
      <c r="R353" s="58" t="str">
        <f t="shared" si="135"/>
        <v/>
      </c>
      <c r="S353" s="28" t="str">
        <f t="shared" si="120"/>
        <v/>
      </c>
      <c r="T353" s="28" t="str">
        <f t="shared" si="136"/>
        <v/>
      </c>
      <c r="U353" s="29" t="str">
        <f t="shared" si="137"/>
        <v/>
      </c>
      <c r="V353" s="60" t="str">
        <f t="shared" si="121"/>
        <v/>
      </c>
      <c r="W353" s="60" t="str">
        <f t="shared" si="138"/>
        <v/>
      </c>
      <c r="X353" s="60" t="str">
        <f t="shared" si="139"/>
        <v/>
      </c>
      <c r="Y353" s="60" t="str">
        <f t="shared" si="140"/>
        <v/>
      </c>
      <c r="Z353" s="60" t="str">
        <f t="shared" si="141"/>
        <v/>
      </c>
      <c r="AA353" s="60" t="str">
        <f t="shared" si="142"/>
        <v/>
      </c>
      <c r="AB353" s="60" t="str">
        <f t="shared" si="143"/>
        <v/>
      </c>
    </row>
    <row r="354" spans="2:28">
      <c r="B354" s="57" t="str">
        <f t="shared" si="122"/>
        <v/>
      </c>
      <c r="C354" s="58" t="str">
        <f t="shared" si="123"/>
        <v/>
      </c>
      <c r="D354" s="28" t="str">
        <f t="shared" si="124"/>
        <v/>
      </c>
      <c r="E354" s="28" t="str">
        <f t="shared" si="125"/>
        <v/>
      </c>
      <c r="F354" s="29" t="str">
        <f t="shared" si="126"/>
        <v/>
      </c>
      <c r="G354" s="60" t="str">
        <f t="shared" si="127"/>
        <v/>
      </c>
      <c r="H354" s="60" t="str">
        <f t="shared" si="128"/>
        <v/>
      </c>
      <c r="I354" s="60" t="str">
        <f t="shared" si="129"/>
        <v/>
      </c>
      <c r="J354" s="60" t="str">
        <f t="shared" si="130"/>
        <v/>
      </c>
      <c r="K354" s="60" t="str">
        <f t="shared" si="131"/>
        <v/>
      </c>
      <c r="L354" s="60" t="str">
        <f t="shared" si="132"/>
        <v/>
      </c>
      <c r="M354" s="60" t="str">
        <f t="shared" si="133"/>
        <v/>
      </c>
      <c r="Q354" s="57" t="str">
        <f t="shared" si="134"/>
        <v/>
      </c>
      <c r="R354" s="58" t="str">
        <f t="shared" si="135"/>
        <v/>
      </c>
      <c r="S354" s="28" t="str">
        <f t="shared" si="120"/>
        <v/>
      </c>
      <c r="T354" s="28" t="str">
        <f t="shared" si="136"/>
        <v/>
      </c>
      <c r="U354" s="29" t="str">
        <f t="shared" si="137"/>
        <v/>
      </c>
      <c r="V354" s="60" t="str">
        <f t="shared" si="121"/>
        <v/>
      </c>
      <c r="W354" s="60" t="str">
        <f t="shared" si="138"/>
        <v/>
      </c>
      <c r="X354" s="60" t="str">
        <f t="shared" si="139"/>
        <v/>
      </c>
      <c r="Y354" s="60" t="str">
        <f t="shared" si="140"/>
        <v/>
      </c>
      <c r="Z354" s="60" t="str">
        <f t="shared" si="141"/>
        <v/>
      </c>
      <c r="AA354" s="60" t="str">
        <f t="shared" si="142"/>
        <v/>
      </c>
      <c r="AB354" s="60" t="str">
        <f t="shared" si="143"/>
        <v/>
      </c>
    </row>
    <row r="355" spans="2:28">
      <c r="B355" s="57" t="str">
        <f t="shared" si="122"/>
        <v/>
      </c>
      <c r="C355" s="58" t="str">
        <f t="shared" si="123"/>
        <v/>
      </c>
      <c r="D355" s="28" t="str">
        <f t="shared" si="124"/>
        <v/>
      </c>
      <c r="E355" s="28" t="str">
        <f t="shared" si="125"/>
        <v/>
      </c>
      <c r="F355" s="29" t="str">
        <f t="shared" si="126"/>
        <v/>
      </c>
      <c r="G355" s="60" t="str">
        <f t="shared" si="127"/>
        <v/>
      </c>
      <c r="H355" s="60" t="str">
        <f t="shared" si="128"/>
        <v/>
      </c>
      <c r="I355" s="60" t="str">
        <f t="shared" si="129"/>
        <v/>
      </c>
      <c r="J355" s="60" t="str">
        <f t="shared" si="130"/>
        <v/>
      </c>
      <c r="K355" s="60" t="str">
        <f t="shared" si="131"/>
        <v/>
      </c>
      <c r="L355" s="60" t="str">
        <f t="shared" si="132"/>
        <v/>
      </c>
      <c r="M355" s="60" t="str">
        <f t="shared" si="133"/>
        <v/>
      </c>
      <c r="Q355" s="57" t="str">
        <f t="shared" si="134"/>
        <v/>
      </c>
      <c r="R355" s="58" t="str">
        <f t="shared" si="135"/>
        <v/>
      </c>
      <c r="S355" s="28" t="str">
        <f t="shared" si="120"/>
        <v/>
      </c>
      <c r="T355" s="28" t="str">
        <f t="shared" si="136"/>
        <v/>
      </c>
      <c r="U355" s="29" t="str">
        <f t="shared" si="137"/>
        <v/>
      </c>
      <c r="V355" s="60" t="str">
        <f t="shared" si="121"/>
        <v/>
      </c>
      <c r="W355" s="60" t="str">
        <f t="shared" si="138"/>
        <v/>
      </c>
      <c r="X355" s="60" t="str">
        <f t="shared" si="139"/>
        <v/>
      </c>
      <c r="Y355" s="60" t="str">
        <f t="shared" si="140"/>
        <v/>
      </c>
      <c r="Z355" s="60" t="str">
        <f t="shared" si="141"/>
        <v/>
      </c>
      <c r="AA355" s="60" t="str">
        <f t="shared" si="142"/>
        <v/>
      </c>
      <c r="AB355" s="60" t="str">
        <f t="shared" si="143"/>
        <v/>
      </c>
    </row>
    <row r="356" spans="2:28">
      <c r="B356" s="57" t="str">
        <f t="shared" si="122"/>
        <v/>
      </c>
      <c r="C356" s="58" t="str">
        <f t="shared" si="123"/>
        <v/>
      </c>
      <c r="D356" s="28" t="str">
        <f t="shared" si="124"/>
        <v/>
      </c>
      <c r="E356" s="28" t="str">
        <f t="shared" si="125"/>
        <v/>
      </c>
      <c r="F356" s="29" t="str">
        <f t="shared" si="126"/>
        <v/>
      </c>
      <c r="G356" s="60" t="str">
        <f t="shared" si="127"/>
        <v/>
      </c>
      <c r="H356" s="60" t="str">
        <f t="shared" si="128"/>
        <v/>
      </c>
      <c r="I356" s="60" t="str">
        <f t="shared" si="129"/>
        <v/>
      </c>
      <c r="J356" s="60" t="str">
        <f t="shared" si="130"/>
        <v/>
      </c>
      <c r="K356" s="60" t="str">
        <f t="shared" si="131"/>
        <v/>
      </c>
      <c r="L356" s="60" t="str">
        <f t="shared" si="132"/>
        <v/>
      </c>
      <c r="M356" s="60" t="str">
        <f t="shared" si="133"/>
        <v/>
      </c>
      <c r="Q356" s="57" t="str">
        <f t="shared" si="134"/>
        <v/>
      </c>
      <c r="R356" s="58" t="str">
        <f t="shared" si="135"/>
        <v/>
      </c>
      <c r="S356" s="28" t="str">
        <f t="shared" si="120"/>
        <v/>
      </c>
      <c r="T356" s="28" t="str">
        <f t="shared" si="136"/>
        <v/>
      </c>
      <c r="U356" s="29" t="str">
        <f t="shared" si="137"/>
        <v/>
      </c>
      <c r="V356" s="60" t="str">
        <f t="shared" si="121"/>
        <v/>
      </c>
      <c r="W356" s="60" t="str">
        <f t="shared" si="138"/>
        <v/>
      </c>
      <c r="X356" s="60" t="str">
        <f t="shared" si="139"/>
        <v/>
      </c>
      <c r="Y356" s="60" t="str">
        <f t="shared" si="140"/>
        <v/>
      </c>
      <c r="Z356" s="60" t="str">
        <f t="shared" si="141"/>
        <v/>
      </c>
      <c r="AA356" s="60" t="str">
        <f t="shared" si="142"/>
        <v/>
      </c>
      <c r="AB356" s="60" t="str">
        <f t="shared" si="143"/>
        <v/>
      </c>
    </row>
    <row r="357" spans="2:28">
      <c r="B357" s="57" t="str">
        <f t="shared" si="122"/>
        <v/>
      </c>
      <c r="C357" s="58" t="str">
        <f t="shared" si="123"/>
        <v/>
      </c>
      <c r="D357" s="28" t="str">
        <f t="shared" si="124"/>
        <v/>
      </c>
      <c r="E357" s="28" t="str">
        <f t="shared" si="125"/>
        <v/>
      </c>
      <c r="F357" s="29" t="str">
        <f t="shared" si="126"/>
        <v/>
      </c>
      <c r="G357" s="60" t="str">
        <f t="shared" si="127"/>
        <v/>
      </c>
      <c r="H357" s="60" t="str">
        <f t="shared" si="128"/>
        <v/>
      </c>
      <c r="I357" s="60" t="str">
        <f t="shared" si="129"/>
        <v/>
      </c>
      <c r="J357" s="60" t="str">
        <f t="shared" si="130"/>
        <v/>
      </c>
      <c r="K357" s="60" t="str">
        <f t="shared" si="131"/>
        <v/>
      </c>
      <c r="L357" s="60" t="str">
        <f t="shared" si="132"/>
        <v/>
      </c>
      <c r="M357" s="60" t="str">
        <f t="shared" si="133"/>
        <v/>
      </c>
      <c r="Q357" s="57" t="str">
        <f t="shared" si="134"/>
        <v/>
      </c>
      <c r="R357" s="58" t="str">
        <f t="shared" si="135"/>
        <v/>
      </c>
      <c r="S357" s="28" t="str">
        <f t="shared" si="120"/>
        <v/>
      </c>
      <c r="T357" s="28" t="str">
        <f t="shared" si="136"/>
        <v/>
      </c>
      <c r="U357" s="29" t="str">
        <f t="shared" si="137"/>
        <v/>
      </c>
      <c r="V357" s="60" t="str">
        <f t="shared" si="121"/>
        <v/>
      </c>
      <c r="W357" s="60" t="str">
        <f t="shared" si="138"/>
        <v/>
      </c>
      <c r="X357" s="60" t="str">
        <f t="shared" si="139"/>
        <v/>
      </c>
      <c r="Y357" s="60" t="str">
        <f t="shared" si="140"/>
        <v/>
      </c>
      <c r="Z357" s="60" t="str">
        <f t="shared" si="141"/>
        <v/>
      </c>
      <c r="AA357" s="60" t="str">
        <f t="shared" si="142"/>
        <v/>
      </c>
      <c r="AB357" s="60" t="str">
        <f t="shared" si="143"/>
        <v/>
      </c>
    </row>
    <row r="358" spans="2:28">
      <c r="B358" s="57" t="str">
        <f t="shared" si="122"/>
        <v/>
      </c>
      <c r="C358" s="58" t="str">
        <f t="shared" si="123"/>
        <v/>
      </c>
      <c r="D358" s="28" t="str">
        <f t="shared" si="124"/>
        <v/>
      </c>
      <c r="E358" s="28" t="str">
        <f t="shared" si="125"/>
        <v/>
      </c>
      <c r="F358" s="29" t="str">
        <f t="shared" si="126"/>
        <v/>
      </c>
      <c r="G358" s="60" t="str">
        <f t="shared" si="127"/>
        <v/>
      </c>
      <c r="H358" s="60" t="str">
        <f t="shared" si="128"/>
        <v/>
      </c>
      <c r="I358" s="60" t="str">
        <f t="shared" si="129"/>
        <v/>
      </c>
      <c r="J358" s="60" t="str">
        <f t="shared" si="130"/>
        <v/>
      </c>
      <c r="K358" s="60" t="str">
        <f t="shared" si="131"/>
        <v/>
      </c>
      <c r="L358" s="60" t="str">
        <f t="shared" si="132"/>
        <v/>
      </c>
      <c r="M358" s="60" t="str">
        <f t="shared" si="133"/>
        <v/>
      </c>
      <c r="Q358" s="57" t="str">
        <f t="shared" si="134"/>
        <v/>
      </c>
      <c r="R358" s="58" t="str">
        <f t="shared" si="135"/>
        <v/>
      </c>
      <c r="S358" s="28" t="str">
        <f t="shared" si="120"/>
        <v/>
      </c>
      <c r="T358" s="28" t="str">
        <f t="shared" si="136"/>
        <v/>
      </c>
      <c r="U358" s="29" t="str">
        <f t="shared" si="137"/>
        <v/>
      </c>
      <c r="V358" s="60" t="str">
        <f t="shared" si="121"/>
        <v/>
      </c>
      <c r="W358" s="60" t="str">
        <f t="shared" si="138"/>
        <v/>
      </c>
      <c r="X358" s="60" t="str">
        <f t="shared" si="139"/>
        <v/>
      </c>
      <c r="Y358" s="60" t="str">
        <f t="shared" si="140"/>
        <v/>
      </c>
      <c r="Z358" s="60" t="str">
        <f t="shared" si="141"/>
        <v/>
      </c>
      <c r="AA358" s="60" t="str">
        <f t="shared" si="142"/>
        <v/>
      </c>
      <c r="AB358" s="60" t="str">
        <f t="shared" si="143"/>
        <v/>
      </c>
    </row>
    <row r="359" spans="2:28">
      <c r="B359" s="57" t="str">
        <f t="shared" si="122"/>
        <v/>
      </c>
      <c r="C359" s="58" t="str">
        <f t="shared" si="123"/>
        <v/>
      </c>
      <c r="D359" s="28" t="str">
        <f t="shared" si="124"/>
        <v/>
      </c>
      <c r="E359" s="28" t="str">
        <f t="shared" si="125"/>
        <v/>
      </c>
      <c r="F359" s="29" t="str">
        <f t="shared" si="126"/>
        <v/>
      </c>
      <c r="G359" s="60" t="str">
        <f t="shared" si="127"/>
        <v/>
      </c>
      <c r="H359" s="60" t="str">
        <f t="shared" si="128"/>
        <v/>
      </c>
      <c r="I359" s="60" t="str">
        <f t="shared" si="129"/>
        <v/>
      </c>
      <c r="J359" s="60" t="str">
        <f t="shared" si="130"/>
        <v/>
      </c>
      <c r="K359" s="60" t="str">
        <f t="shared" si="131"/>
        <v/>
      </c>
      <c r="L359" s="60" t="str">
        <f t="shared" si="132"/>
        <v/>
      </c>
      <c r="M359" s="60" t="str">
        <f t="shared" si="133"/>
        <v/>
      </c>
      <c r="Q359" s="57" t="str">
        <f t="shared" si="134"/>
        <v/>
      </c>
      <c r="R359" s="58" t="str">
        <f t="shared" si="135"/>
        <v/>
      </c>
      <c r="S359" s="28" t="str">
        <f t="shared" si="120"/>
        <v/>
      </c>
      <c r="T359" s="28" t="str">
        <f t="shared" si="136"/>
        <v/>
      </c>
      <c r="U359" s="29" t="str">
        <f t="shared" si="137"/>
        <v/>
      </c>
      <c r="V359" s="60" t="str">
        <f t="shared" si="121"/>
        <v/>
      </c>
      <c r="W359" s="60" t="str">
        <f t="shared" si="138"/>
        <v/>
      </c>
      <c r="X359" s="60" t="str">
        <f t="shared" si="139"/>
        <v/>
      </c>
      <c r="Y359" s="60" t="str">
        <f t="shared" si="140"/>
        <v/>
      </c>
      <c r="Z359" s="60" t="str">
        <f t="shared" si="141"/>
        <v/>
      </c>
      <c r="AA359" s="60" t="str">
        <f t="shared" si="142"/>
        <v/>
      </c>
      <c r="AB359" s="60" t="str">
        <f t="shared" si="143"/>
        <v/>
      </c>
    </row>
    <row r="360" spans="2:28">
      <c r="B360" s="57" t="str">
        <f t="shared" si="122"/>
        <v/>
      </c>
      <c r="C360" s="58" t="str">
        <f t="shared" si="123"/>
        <v/>
      </c>
      <c r="D360" s="28" t="str">
        <f t="shared" si="124"/>
        <v/>
      </c>
      <c r="E360" s="28" t="str">
        <f t="shared" si="125"/>
        <v/>
      </c>
      <c r="F360" s="29" t="str">
        <f t="shared" si="126"/>
        <v/>
      </c>
      <c r="G360" s="60" t="str">
        <f t="shared" si="127"/>
        <v/>
      </c>
      <c r="H360" s="60" t="str">
        <f t="shared" si="128"/>
        <v/>
      </c>
      <c r="I360" s="60" t="str">
        <f t="shared" si="129"/>
        <v/>
      </c>
      <c r="J360" s="60" t="str">
        <f t="shared" si="130"/>
        <v/>
      </c>
      <c r="K360" s="60" t="str">
        <f t="shared" si="131"/>
        <v/>
      </c>
      <c r="L360" s="60" t="str">
        <f t="shared" si="132"/>
        <v/>
      </c>
      <c r="M360" s="60" t="str">
        <f t="shared" si="133"/>
        <v/>
      </c>
      <c r="Q360" s="57" t="str">
        <f t="shared" si="134"/>
        <v/>
      </c>
      <c r="R360" s="58" t="str">
        <f t="shared" si="135"/>
        <v/>
      </c>
      <c r="S360" s="28" t="str">
        <f t="shared" si="120"/>
        <v/>
      </c>
      <c r="T360" s="28" t="str">
        <f t="shared" si="136"/>
        <v/>
      </c>
      <c r="U360" s="29" t="str">
        <f t="shared" si="137"/>
        <v/>
      </c>
      <c r="V360" s="60" t="str">
        <f t="shared" si="121"/>
        <v/>
      </c>
      <c r="W360" s="60" t="str">
        <f t="shared" si="138"/>
        <v/>
      </c>
      <c r="X360" s="60" t="str">
        <f t="shared" si="139"/>
        <v/>
      </c>
      <c r="Y360" s="60" t="str">
        <f t="shared" si="140"/>
        <v/>
      </c>
      <c r="Z360" s="60" t="str">
        <f t="shared" si="141"/>
        <v/>
      </c>
      <c r="AA360" s="60" t="str">
        <f t="shared" si="142"/>
        <v/>
      </c>
      <c r="AB360" s="60" t="str">
        <f t="shared" si="143"/>
        <v/>
      </c>
    </row>
    <row r="361" spans="2:28">
      <c r="B361" s="57" t="str">
        <f t="shared" si="122"/>
        <v/>
      </c>
      <c r="C361" s="58" t="str">
        <f t="shared" si="123"/>
        <v/>
      </c>
      <c r="D361" s="28" t="str">
        <f t="shared" si="124"/>
        <v/>
      </c>
      <c r="E361" s="28" t="str">
        <f t="shared" si="125"/>
        <v/>
      </c>
      <c r="F361" s="29" t="str">
        <f t="shared" si="126"/>
        <v/>
      </c>
      <c r="G361" s="60" t="str">
        <f t="shared" si="127"/>
        <v/>
      </c>
      <c r="H361" s="60" t="str">
        <f t="shared" si="128"/>
        <v/>
      </c>
      <c r="I361" s="60" t="str">
        <f t="shared" si="129"/>
        <v/>
      </c>
      <c r="J361" s="60" t="str">
        <f t="shared" si="130"/>
        <v/>
      </c>
      <c r="K361" s="60" t="str">
        <f t="shared" si="131"/>
        <v/>
      </c>
      <c r="L361" s="60" t="str">
        <f t="shared" si="132"/>
        <v/>
      </c>
      <c r="M361" s="60" t="str">
        <f t="shared" si="133"/>
        <v/>
      </c>
      <c r="Q361" s="57" t="str">
        <f t="shared" si="134"/>
        <v/>
      </c>
      <c r="R361" s="58" t="str">
        <f t="shared" si="135"/>
        <v/>
      </c>
      <c r="S361" s="28" t="str">
        <f t="shared" si="120"/>
        <v/>
      </c>
      <c r="T361" s="28" t="str">
        <f t="shared" si="136"/>
        <v/>
      </c>
      <c r="U361" s="29" t="str">
        <f t="shared" si="137"/>
        <v/>
      </c>
      <c r="V361" s="60" t="str">
        <f t="shared" si="121"/>
        <v/>
      </c>
      <c r="W361" s="60" t="str">
        <f t="shared" si="138"/>
        <v/>
      </c>
      <c r="X361" s="60" t="str">
        <f t="shared" si="139"/>
        <v/>
      </c>
      <c r="Y361" s="60" t="str">
        <f t="shared" si="140"/>
        <v/>
      </c>
      <c r="Z361" s="60" t="str">
        <f t="shared" si="141"/>
        <v/>
      </c>
      <c r="AA361" s="60" t="str">
        <f t="shared" si="142"/>
        <v/>
      </c>
      <c r="AB361" s="60" t="str">
        <f t="shared" si="143"/>
        <v/>
      </c>
    </row>
    <row r="362" spans="2:28">
      <c r="B362" s="57" t="str">
        <f t="shared" si="122"/>
        <v/>
      </c>
      <c r="C362" s="58" t="str">
        <f t="shared" si="123"/>
        <v/>
      </c>
      <c r="D362" s="28" t="str">
        <f t="shared" si="124"/>
        <v/>
      </c>
      <c r="E362" s="28" t="str">
        <f t="shared" si="125"/>
        <v/>
      </c>
      <c r="F362" s="29" t="str">
        <f t="shared" si="126"/>
        <v/>
      </c>
      <c r="G362" s="60" t="str">
        <f t="shared" si="127"/>
        <v/>
      </c>
      <c r="H362" s="60" t="str">
        <f t="shared" si="128"/>
        <v/>
      </c>
      <c r="I362" s="60" t="str">
        <f t="shared" si="129"/>
        <v/>
      </c>
      <c r="J362" s="60" t="str">
        <f t="shared" si="130"/>
        <v/>
      </c>
      <c r="K362" s="60" t="str">
        <f t="shared" si="131"/>
        <v/>
      </c>
      <c r="L362" s="60" t="str">
        <f t="shared" si="132"/>
        <v/>
      </c>
      <c r="M362" s="60" t="str">
        <f t="shared" si="133"/>
        <v/>
      </c>
      <c r="Q362" s="57" t="str">
        <f t="shared" si="134"/>
        <v/>
      </c>
      <c r="R362" s="58" t="str">
        <f t="shared" si="135"/>
        <v/>
      </c>
      <c r="S362" s="28" t="str">
        <f t="shared" si="120"/>
        <v/>
      </c>
      <c r="T362" s="28" t="str">
        <f t="shared" si="136"/>
        <v/>
      </c>
      <c r="U362" s="29" t="str">
        <f t="shared" si="137"/>
        <v/>
      </c>
      <c r="V362" s="60" t="str">
        <f t="shared" si="121"/>
        <v/>
      </c>
      <c r="W362" s="60" t="str">
        <f t="shared" si="138"/>
        <v/>
      </c>
      <c r="X362" s="60" t="str">
        <f t="shared" si="139"/>
        <v/>
      </c>
      <c r="Y362" s="60" t="str">
        <f t="shared" si="140"/>
        <v/>
      </c>
      <c r="Z362" s="60" t="str">
        <f t="shared" si="141"/>
        <v/>
      </c>
      <c r="AA362" s="60" t="str">
        <f t="shared" si="142"/>
        <v/>
      </c>
      <c r="AB362" s="60" t="str">
        <f t="shared" si="143"/>
        <v/>
      </c>
    </row>
    <row r="363" spans="2:28">
      <c r="B363" s="57" t="str">
        <f t="shared" si="122"/>
        <v/>
      </c>
      <c r="C363" s="58" t="str">
        <f t="shared" si="123"/>
        <v/>
      </c>
      <c r="D363" s="28" t="str">
        <f t="shared" si="124"/>
        <v/>
      </c>
      <c r="E363" s="28" t="str">
        <f t="shared" si="125"/>
        <v/>
      </c>
      <c r="F363" s="29" t="str">
        <f t="shared" si="126"/>
        <v/>
      </c>
      <c r="G363" s="60" t="str">
        <f t="shared" si="127"/>
        <v/>
      </c>
      <c r="H363" s="60" t="str">
        <f t="shared" si="128"/>
        <v/>
      </c>
      <c r="I363" s="60" t="str">
        <f t="shared" si="129"/>
        <v/>
      </c>
      <c r="J363" s="60" t="str">
        <f t="shared" si="130"/>
        <v/>
      </c>
      <c r="K363" s="60" t="str">
        <f t="shared" si="131"/>
        <v/>
      </c>
      <c r="L363" s="60" t="str">
        <f t="shared" si="132"/>
        <v/>
      </c>
      <c r="M363" s="60" t="str">
        <f t="shared" si="133"/>
        <v/>
      </c>
      <c r="Q363" s="57" t="str">
        <f t="shared" si="134"/>
        <v/>
      </c>
      <c r="R363" s="58" t="str">
        <f t="shared" si="135"/>
        <v/>
      </c>
      <c r="S363" s="28" t="str">
        <f t="shared" si="120"/>
        <v/>
      </c>
      <c r="T363" s="28" t="str">
        <f t="shared" si="136"/>
        <v/>
      </c>
      <c r="U363" s="29" t="str">
        <f t="shared" si="137"/>
        <v/>
      </c>
      <c r="V363" s="60" t="str">
        <f t="shared" si="121"/>
        <v/>
      </c>
      <c r="W363" s="60" t="str">
        <f t="shared" si="138"/>
        <v/>
      </c>
      <c r="X363" s="60" t="str">
        <f t="shared" si="139"/>
        <v/>
      </c>
      <c r="Y363" s="60" t="str">
        <f t="shared" si="140"/>
        <v/>
      </c>
      <c r="Z363" s="60" t="str">
        <f t="shared" si="141"/>
        <v/>
      </c>
      <c r="AA363" s="60" t="str">
        <f t="shared" si="142"/>
        <v/>
      </c>
      <c r="AB363" s="60" t="str">
        <f t="shared" si="143"/>
        <v/>
      </c>
    </row>
    <row r="364" spans="2:28">
      <c r="B364" s="57" t="str">
        <f t="shared" si="122"/>
        <v/>
      </c>
      <c r="C364" s="58" t="str">
        <f t="shared" si="123"/>
        <v/>
      </c>
      <c r="D364" s="28" t="str">
        <f t="shared" si="124"/>
        <v/>
      </c>
      <c r="E364" s="28" t="str">
        <f t="shared" si="125"/>
        <v/>
      </c>
      <c r="F364" s="29" t="str">
        <f t="shared" si="126"/>
        <v/>
      </c>
      <c r="G364" s="60" t="str">
        <f t="shared" si="127"/>
        <v/>
      </c>
      <c r="H364" s="60" t="str">
        <f t="shared" si="128"/>
        <v/>
      </c>
      <c r="I364" s="60" t="str">
        <f t="shared" si="129"/>
        <v/>
      </c>
      <c r="J364" s="60" t="str">
        <f t="shared" si="130"/>
        <v/>
      </c>
      <c r="K364" s="60" t="str">
        <f t="shared" si="131"/>
        <v/>
      </c>
      <c r="L364" s="60" t="str">
        <f t="shared" si="132"/>
        <v/>
      </c>
      <c r="M364" s="60" t="str">
        <f t="shared" si="133"/>
        <v/>
      </c>
      <c r="Q364" s="57" t="str">
        <f t="shared" si="134"/>
        <v/>
      </c>
      <c r="R364" s="58" t="str">
        <f t="shared" si="135"/>
        <v/>
      </c>
      <c r="S364" s="28" t="str">
        <f t="shared" si="120"/>
        <v/>
      </c>
      <c r="T364" s="28" t="str">
        <f t="shared" si="136"/>
        <v/>
      </c>
      <c r="U364" s="29" t="str">
        <f t="shared" si="137"/>
        <v/>
      </c>
      <c r="V364" s="60" t="str">
        <f t="shared" si="121"/>
        <v/>
      </c>
      <c r="W364" s="60" t="str">
        <f t="shared" si="138"/>
        <v/>
      </c>
      <c r="X364" s="60" t="str">
        <f t="shared" si="139"/>
        <v/>
      </c>
      <c r="Y364" s="60" t="str">
        <f t="shared" si="140"/>
        <v/>
      </c>
      <c r="Z364" s="60" t="str">
        <f t="shared" si="141"/>
        <v/>
      </c>
      <c r="AA364" s="60" t="str">
        <f t="shared" si="142"/>
        <v/>
      </c>
      <c r="AB364" s="60" t="str">
        <f t="shared" si="143"/>
        <v/>
      </c>
    </row>
    <row r="365" spans="2:28">
      <c r="B365" s="57" t="str">
        <f t="shared" si="122"/>
        <v/>
      </c>
      <c r="C365" s="58" t="str">
        <f t="shared" si="123"/>
        <v/>
      </c>
      <c r="D365" s="28" t="str">
        <f t="shared" si="124"/>
        <v/>
      </c>
      <c r="E365" s="28" t="str">
        <f t="shared" si="125"/>
        <v/>
      </c>
      <c r="F365" s="29" t="str">
        <f t="shared" si="126"/>
        <v/>
      </c>
      <c r="G365" s="60" t="str">
        <f t="shared" si="127"/>
        <v/>
      </c>
      <c r="H365" s="60" t="str">
        <f t="shared" si="128"/>
        <v/>
      </c>
      <c r="I365" s="60" t="str">
        <f t="shared" si="129"/>
        <v/>
      </c>
      <c r="J365" s="60" t="str">
        <f t="shared" si="130"/>
        <v/>
      </c>
      <c r="K365" s="60" t="str">
        <f t="shared" si="131"/>
        <v/>
      </c>
      <c r="L365" s="60" t="str">
        <f t="shared" si="132"/>
        <v/>
      </c>
      <c r="M365" s="60" t="str">
        <f t="shared" si="133"/>
        <v/>
      </c>
      <c r="Q365" s="57" t="str">
        <f t="shared" si="134"/>
        <v/>
      </c>
      <c r="R365" s="58" t="str">
        <f t="shared" si="135"/>
        <v/>
      </c>
      <c r="S365" s="28" t="str">
        <f t="shared" si="120"/>
        <v/>
      </c>
      <c r="T365" s="28" t="str">
        <f t="shared" si="136"/>
        <v/>
      </c>
      <c r="U365" s="29" t="str">
        <f t="shared" si="137"/>
        <v/>
      </c>
      <c r="V365" s="60" t="str">
        <f t="shared" si="121"/>
        <v/>
      </c>
      <c r="W365" s="60" t="str">
        <f t="shared" si="138"/>
        <v/>
      </c>
      <c r="X365" s="60" t="str">
        <f t="shared" si="139"/>
        <v/>
      </c>
      <c r="Y365" s="60" t="str">
        <f t="shared" si="140"/>
        <v/>
      </c>
      <c r="Z365" s="60" t="str">
        <f t="shared" si="141"/>
        <v/>
      </c>
      <c r="AA365" s="60" t="str">
        <f t="shared" si="142"/>
        <v/>
      </c>
      <c r="AB365" s="60" t="str">
        <f t="shared" si="143"/>
        <v/>
      </c>
    </row>
    <row r="366" spans="2:28">
      <c r="B366" s="57" t="str">
        <f t="shared" si="122"/>
        <v/>
      </c>
      <c r="C366" s="58" t="str">
        <f t="shared" si="123"/>
        <v/>
      </c>
      <c r="D366" s="28" t="str">
        <f t="shared" si="124"/>
        <v/>
      </c>
      <c r="E366" s="28" t="str">
        <f t="shared" si="125"/>
        <v/>
      </c>
      <c r="F366" s="29" t="str">
        <f t="shared" si="126"/>
        <v/>
      </c>
      <c r="G366" s="60" t="str">
        <f t="shared" si="127"/>
        <v/>
      </c>
      <c r="H366" s="60" t="str">
        <f t="shared" si="128"/>
        <v/>
      </c>
      <c r="I366" s="60" t="str">
        <f t="shared" si="129"/>
        <v/>
      </c>
      <c r="J366" s="60" t="str">
        <f t="shared" si="130"/>
        <v/>
      </c>
      <c r="K366" s="60" t="str">
        <f t="shared" si="131"/>
        <v/>
      </c>
      <c r="L366" s="60" t="str">
        <f t="shared" si="132"/>
        <v/>
      </c>
      <c r="M366" s="60" t="str">
        <f t="shared" si="133"/>
        <v/>
      </c>
      <c r="Q366" s="57" t="str">
        <f t="shared" si="134"/>
        <v/>
      </c>
      <c r="R366" s="58" t="str">
        <f t="shared" si="135"/>
        <v/>
      </c>
      <c r="S366" s="28" t="str">
        <f t="shared" si="120"/>
        <v/>
      </c>
      <c r="T366" s="28" t="str">
        <f t="shared" si="136"/>
        <v/>
      </c>
      <c r="U366" s="29" t="str">
        <f t="shared" si="137"/>
        <v/>
      </c>
      <c r="V366" s="60" t="str">
        <f t="shared" si="121"/>
        <v/>
      </c>
      <c r="W366" s="60" t="str">
        <f t="shared" si="138"/>
        <v/>
      </c>
      <c r="X366" s="60" t="str">
        <f t="shared" si="139"/>
        <v/>
      </c>
      <c r="Y366" s="60" t="str">
        <f t="shared" si="140"/>
        <v/>
      </c>
      <c r="Z366" s="60" t="str">
        <f t="shared" si="141"/>
        <v/>
      </c>
      <c r="AA366" s="60" t="str">
        <f t="shared" si="142"/>
        <v/>
      </c>
      <c r="AB366" s="60" t="str">
        <f t="shared" si="143"/>
        <v/>
      </c>
    </row>
    <row r="367" spans="2:28">
      <c r="B367" s="57" t="str">
        <f t="shared" si="122"/>
        <v/>
      </c>
      <c r="C367" s="58" t="str">
        <f t="shared" si="123"/>
        <v/>
      </c>
      <c r="D367" s="28" t="str">
        <f t="shared" si="124"/>
        <v/>
      </c>
      <c r="E367" s="28" t="str">
        <f t="shared" si="125"/>
        <v/>
      </c>
      <c r="F367" s="29" t="str">
        <f t="shared" si="126"/>
        <v/>
      </c>
      <c r="G367" s="60" t="str">
        <f t="shared" si="127"/>
        <v/>
      </c>
      <c r="H367" s="60" t="str">
        <f t="shared" si="128"/>
        <v/>
      </c>
      <c r="I367" s="60" t="str">
        <f t="shared" si="129"/>
        <v/>
      </c>
      <c r="J367" s="60" t="str">
        <f t="shared" si="130"/>
        <v/>
      </c>
      <c r="K367" s="60" t="str">
        <f t="shared" si="131"/>
        <v/>
      </c>
      <c r="L367" s="60" t="str">
        <f t="shared" si="132"/>
        <v/>
      </c>
      <c r="M367" s="60" t="str">
        <f t="shared" si="133"/>
        <v/>
      </c>
      <c r="Q367" s="57" t="str">
        <f t="shared" si="134"/>
        <v/>
      </c>
      <c r="R367" s="58" t="str">
        <f t="shared" si="135"/>
        <v/>
      </c>
      <c r="S367" s="28" t="str">
        <f t="shared" si="120"/>
        <v/>
      </c>
      <c r="T367" s="28" t="str">
        <f t="shared" si="136"/>
        <v/>
      </c>
      <c r="U367" s="29" t="str">
        <f t="shared" si="137"/>
        <v/>
      </c>
      <c r="V367" s="60" t="str">
        <f t="shared" si="121"/>
        <v/>
      </c>
      <c r="W367" s="60" t="str">
        <f t="shared" si="138"/>
        <v/>
      </c>
      <c r="X367" s="60" t="str">
        <f t="shared" si="139"/>
        <v/>
      </c>
      <c r="Y367" s="60" t="str">
        <f t="shared" si="140"/>
        <v/>
      </c>
      <c r="Z367" s="60" t="str">
        <f t="shared" si="141"/>
        <v/>
      </c>
      <c r="AA367" s="60" t="str">
        <f t="shared" si="142"/>
        <v/>
      </c>
      <c r="AB367" s="60" t="str">
        <f t="shared" si="143"/>
        <v/>
      </c>
    </row>
    <row r="368" spans="2:28">
      <c r="B368" s="57" t="str">
        <f t="shared" si="122"/>
        <v/>
      </c>
      <c r="C368" s="58" t="str">
        <f t="shared" si="123"/>
        <v/>
      </c>
      <c r="D368" s="28" t="str">
        <f t="shared" si="124"/>
        <v/>
      </c>
      <c r="E368" s="28" t="str">
        <f t="shared" si="125"/>
        <v/>
      </c>
      <c r="F368" s="29" t="str">
        <f t="shared" si="126"/>
        <v/>
      </c>
      <c r="G368" s="60" t="str">
        <f t="shared" si="127"/>
        <v/>
      </c>
      <c r="H368" s="60" t="str">
        <f t="shared" si="128"/>
        <v/>
      </c>
      <c r="I368" s="60" t="str">
        <f t="shared" si="129"/>
        <v/>
      </c>
      <c r="J368" s="60" t="str">
        <f t="shared" si="130"/>
        <v/>
      </c>
      <c r="K368" s="60" t="str">
        <f t="shared" si="131"/>
        <v/>
      </c>
      <c r="L368" s="60" t="str">
        <f t="shared" si="132"/>
        <v/>
      </c>
      <c r="M368" s="60" t="str">
        <f t="shared" si="133"/>
        <v/>
      </c>
      <c r="Q368" s="57" t="str">
        <f t="shared" si="134"/>
        <v/>
      </c>
      <c r="R368" s="58" t="str">
        <f t="shared" si="135"/>
        <v/>
      </c>
      <c r="S368" s="28" t="str">
        <f t="shared" si="120"/>
        <v/>
      </c>
      <c r="T368" s="28" t="str">
        <f t="shared" si="136"/>
        <v/>
      </c>
      <c r="U368" s="29" t="str">
        <f t="shared" si="137"/>
        <v/>
      </c>
      <c r="V368" s="60" t="str">
        <f t="shared" si="121"/>
        <v/>
      </c>
      <c r="W368" s="60" t="str">
        <f t="shared" si="138"/>
        <v/>
      </c>
      <c r="X368" s="60" t="str">
        <f t="shared" si="139"/>
        <v/>
      </c>
      <c r="Y368" s="60" t="str">
        <f t="shared" si="140"/>
        <v/>
      </c>
      <c r="Z368" s="60" t="str">
        <f t="shared" si="141"/>
        <v/>
      </c>
      <c r="AA368" s="60" t="str">
        <f t="shared" si="142"/>
        <v/>
      </c>
      <c r="AB368" s="60" t="str">
        <f t="shared" si="143"/>
        <v/>
      </c>
    </row>
    <row r="369" spans="2:28">
      <c r="B369" s="57" t="str">
        <f t="shared" si="122"/>
        <v/>
      </c>
      <c r="C369" s="58" t="str">
        <f t="shared" si="123"/>
        <v/>
      </c>
      <c r="D369" s="28" t="str">
        <f t="shared" si="124"/>
        <v/>
      </c>
      <c r="E369" s="28" t="str">
        <f t="shared" si="125"/>
        <v/>
      </c>
      <c r="F369" s="29" t="str">
        <f t="shared" si="126"/>
        <v/>
      </c>
      <c r="G369" s="60" t="str">
        <f t="shared" si="127"/>
        <v/>
      </c>
      <c r="H369" s="60" t="str">
        <f t="shared" si="128"/>
        <v/>
      </c>
      <c r="I369" s="60" t="str">
        <f t="shared" si="129"/>
        <v/>
      </c>
      <c r="J369" s="60" t="str">
        <f t="shared" si="130"/>
        <v/>
      </c>
      <c r="K369" s="60" t="str">
        <f t="shared" si="131"/>
        <v/>
      </c>
      <c r="L369" s="60" t="str">
        <f t="shared" si="132"/>
        <v/>
      </c>
      <c r="M369" s="60" t="str">
        <f t="shared" si="133"/>
        <v/>
      </c>
      <c r="Q369" s="57" t="str">
        <f t="shared" si="134"/>
        <v/>
      </c>
      <c r="R369" s="58" t="str">
        <f t="shared" si="135"/>
        <v/>
      </c>
      <c r="S369" s="28" t="str">
        <f t="shared" si="120"/>
        <v/>
      </c>
      <c r="T369" s="28" t="str">
        <f t="shared" si="136"/>
        <v/>
      </c>
      <c r="U369" s="29" t="str">
        <f t="shared" si="137"/>
        <v/>
      </c>
      <c r="V369" s="60" t="str">
        <f t="shared" si="121"/>
        <v/>
      </c>
      <c r="W369" s="60" t="str">
        <f t="shared" si="138"/>
        <v/>
      </c>
      <c r="X369" s="60" t="str">
        <f t="shared" si="139"/>
        <v/>
      </c>
      <c r="Y369" s="60" t="str">
        <f t="shared" si="140"/>
        <v/>
      </c>
      <c r="Z369" s="60" t="str">
        <f t="shared" si="141"/>
        <v/>
      </c>
      <c r="AA369" s="60" t="str">
        <f t="shared" si="142"/>
        <v/>
      </c>
      <c r="AB369" s="60" t="str">
        <f t="shared" si="143"/>
        <v/>
      </c>
    </row>
    <row r="370" spans="2:28">
      <c r="B370" s="57" t="str">
        <f t="shared" si="122"/>
        <v/>
      </c>
      <c r="C370" s="58" t="str">
        <f t="shared" si="123"/>
        <v/>
      </c>
      <c r="D370" s="28" t="str">
        <f t="shared" si="124"/>
        <v/>
      </c>
      <c r="E370" s="28" t="str">
        <f t="shared" si="125"/>
        <v/>
      </c>
      <c r="F370" s="29" t="str">
        <f t="shared" si="126"/>
        <v/>
      </c>
      <c r="G370" s="60" t="str">
        <f t="shared" si="127"/>
        <v/>
      </c>
      <c r="H370" s="60" t="str">
        <f t="shared" si="128"/>
        <v/>
      </c>
      <c r="I370" s="60" t="str">
        <f t="shared" si="129"/>
        <v/>
      </c>
      <c r="J370" s="60" t="str">
        <f t="shared" si="130"/>
        <v/>
      </c>
      <c r="K370" s="60" t="str">
        <f t="shared" si="131"/>
        <v/>
      </c>
      <c r="L370" s="60" t="str">
        <f t="shared" si="132"/>
        <v/>
      </c>
      <c r="M370" s="60" t="str">
        <f t="shared" si="133"/>
        <v/>
      </c>
      <c r="Q370" s="57" t="str">
        <f t="shared" si="134"/>
        <v/>
      </c>
      <c r="R370" s="58" t="str">
        <f t="shared" si="135"/>
        <v/>
      </c>
      <c r="S370" s="28" t="str">
        <f t="shared" si="120"/>
        <v/>
      </c>
      <c r="T370" s="28" t="str">
        <f t="shared" si="136"/>
        <v/>
      </c>
      <c r="U370" s="29" t="str">
        <f t="shared" si="137"/>
        <v/>
      </c>
      <c r="V370" s="60" t="str">
        <f t="shared" si="121"/>
        <v/>
      </c>
      <c r="W370" s="60" t="str">
        <f t="shared" si="138"/>
        <v/>
      </c>
      <c r="X370" s="60" t="str">
        <f t="shared" si="139"/>
        <v/>
      </c>
      <c r="Y370" s="60" t="str">
        <f t="shared" si="140"/>
        <v/>
      </c>
      <c r="Z370" s="60" t="str">
        <f t="shared" si="141"/>
        <v/>
      </c>
      <c r="AA370" s="60" t="str">
        <f t="shared" si="142"/>
        <v/>
      </c>
      <c r="AB370" s="60" t="str">
        <f t="shared" si="143"/>
        <v/>
      </c>
    </row>
    <row r="371" spans="2:28">
      <c r="B371" s="57" t="str">
        <f t="shared" si="122"/>
        <v/>
      </c>
      <c r="C371" s="58" t="str">
        <f t="shared" si="123"/>
        <v/>
      </c>
      <c r="D371" s="28" t="str">
        <f t="shared" si="124"/>
        <v/>
      </c>
      <c r="E371" s="28" t="str">
        <f t="shared" si="125"/>
        <v/>
      </c>
      <c r="F371" s="29" t="str">
        <f t="shared" si="126"/>
        <v/>
      </c>
      <c r="G371" s="60" t="str">
        <f t="shared" si="127"/>
        <v/>
      </c>
      <c r="H371" s="60" t="str">
        <f t="shared" si="128"/>
        <v/>
      </c>
      <c r="I371" s="60" t="str">
        <f t="shared" si="129"/>
        <v/>
      </c>
      <c r="J371" s="60" t="str">
        <f t="shared" si="130"/>
        <v/>
      </c>
      <c r="K371" s="60" t="str">
        <f t="shared" si="131"/>
        <v/>
      </c>
      <c r="L371" s="60" t="str">
        <f t="shared" si="132"/>
        <v/>
      </c>
      <c r="M371" s="60" t="str">
        <f t="shared" si="133"/>
        <v/>
      </c>
      <c r="Q371" s="57" t="str">
        <f t="shared" si="134"/>
        <v/>
      </c>
      <c r="R371" s="58" t="str">
        <f t="shared" si="135"/>
        <v/>
      </c>
      <c r="S371" s="28" t="str">
        <f t="shared" si="120"/>
        <v/>
      </c>
      <c r="T371" s="28" t="str">
        <f t="shared" si="136"/>
        <v/>
      </c>
      <c r="U371" s="29" t="str">
        <f t="shared" si="137"/>
        <v/>
      </c>
      <c r="V371" s="60" t="str">
        <f t="shared" si="121"/>
        <v/>
      </c>
      <c r="W371" s="60" t="str">
        <f t="shared" si="138"/>
        <v/>
      </c>
      <c r="X371" s="60" t="str">
        <f t="shared" si="139"/>
        <v/>
      </c>
      <c r="Y371" s="60" t="str">
        <f t="shared" si="140"/>
        <v/>
      </c>
      <c r="Z371" s="60" t="str">
        <f t="shared" si="141"/>
        <v/>
      </c>
      <c r="AA371" s="60" t="str">
        <f t="shared" si="142"/>
        <v/>
      </c>
      <c r="AB371" s="60" t="str">
        <f t="shared" si="143"/>
        <v/>
      </c>
    </row>
    <row r="372" spans="2:28">
      <c r="B372" s="57" t="str">
        <f t="shared" si="122"/>
        <v/>
      </c>
      <c r="C372" s="58" t="str">
        <f t="shared" si="123"/>
        <v/>
      </c>
      <c r="D372" s="28" t="str">
        <f t="shared" si="124"/>
        <v/>
      </c>
      <c r="E372" s="28" t="str">
        <f t="shared" si="125"/>
        <v/>
      </c>
      <c r="F372" s="29" t="str">
        <f t="shared" si="126"/>
        <v/>
      </c>
      <c r="G372" s="60" t="str">
        <f t="shared" si="127"/>
        <v/>
      </c>
      <c r="H372" s="60" t="str">
        <f t="shared" si="128"/>
        <v/>
      </c>
      <c r="I372" s="60" t="str">
        <f t="shared" si="129"/>
        <v/>
      </c>
      <c r="J372" s="60" t="str">
        <f t="shared" si="130"/>
        <v/>
      </c>
      <c r="K372" s="60" t="str">
        <f t="shared" si="131"/>
        <v/>
      </c>
      <c r="L372" s="60" t="str">
        <f t="shared" si="132"/>
        <v/>
      </c>
      <c r="M372" s="60" t="str">
        <f t="shared" si="133"/>
        <v/>
      </c>
      <c r="Q372" s="57" t="str">
        <f t="shared" si="134"/>
        <v/>
      </c>
      <c r="R372" s="58" t="str">
        <f t="shared" si="135"/>
        <v/>
      </c>
      <c r="S372" s="28" t="str">
        <f t="shared" si="120"/>
        <v/>
      </c>
      <c r="T372" s="28" t="str">
        <f t="shared" si="136"/>
        <v/>
      </c>
      <c r="U372" s="29" t="str">
        <f t="shared" si="137"/>
        <v/>
      </c>
      <c r="V372" s="60" t="str">
        <f t="shared" si="121"/>
        <v/>
      </c>
      <c r="W372" s="60" t="str">
        <f t="shared" si="138"/>
        <v/>
      </c>
      <c r="X372" s="60" t="str">
        <f t="shared" si="139"/>
        <v/>
      </c>
      <c r="Y372" s="60" t="str">
        <f t="shared" si="140"/>
        <v/>
      </c>
      <c r="Z372" s="60" t="str">
        <f t="shared" si="141"/>
        <v/>
      </c>
      <c r="AA372" s="60" t="str">
        <f t="shared" si="142"/>
        <v/>
      </c>
      <c r="AB372" s="60" t="str">
        <f t="shared" si="143"/>
        <v/>
      </c>
    </row>
    <row r="373" spans="2:28">
      <c r="B373" s="57" t="str">
        <f t="shared" si="122"/>
        <v/>
      </c>
      <c r="C373" s="58" t="str">
        <f t="shared" si="123"/>
        <v/>
      </c>
      <c r="D373" s="28" t="str">
        <f t="shared" si="124"/>
        <v/>
      </c>
      <c r="E373" s="28" t="str">
        <f t="shared" si="125"/>
        <v/>
      </c>
      <c r="F373" s="29" t="str">
        <f t="shared" si="126"/>
        <v/>
      </c>
      <c r="G373" s="60" t="str">
        <f t="shared" si="127"/>
        <v/>
      </c>
      <c r="H373" s="60" t="str">
        <f t="shared" si="128"/>
        <v/>
      </c>
      <c r="I373" s="60" t="str">
        <f t="shared" si="129"/>
        <v/>
      </c>
      <c r="J373" s="60" t="str">
        <f t="shared" si="130"/>
        <v/>
      </c>
      <c r="K373" s="60" t="str">
        <f t="shared" si="131"/>
        <v/>
      </c>
      <c r="L373" s="60" t="str">
        <f t="shared" si="132"/>
        <v/>
      </c>
      <c r="M373" s="60" t="str">
        <f t="shared" si="133"/>
        <v/>
      </c>
      <c r="Q373" s="57" t="str">
        <f t="shared" si="134"/>
        <v/>
      </c>
      <c r="R373" s="58" t="str">
        <f t="shared" si="135"/>
        <v/>
      </c>
      <c r="S373" s="28" t="str">
        <f t="shared" si="120"/>
        <v/>
      </c>
      <c r="T373" s="28" t="str">
        <f t="shared" si="136"/>
        <v/>
      </c>
      <c r="U373" s="29" t="str">
        <f t="shared" si="137"/>
        <v/>
      </c>
      <c r="V373" s="60" t="str">
        <f t="shared" si="121"/>
        <v/>
      </c>
      <c r="W373" s="60" t="str">
        <f t="shared" si="138"/>
        <v/>
      </c>
      <c r="X373" s="60" t="str">
        <f t="shared" si="139"/>
        <v/>
      </c>
      <c r="Y373" s="60" t="str">
        <f t="shared" si="140"/>
        <v/>
      </c>
      <c r="Z373" s="60" t="str">
        <f t="shared" si="141"/>
        <v/>
      </c>
      <c r="AA373" s="60" t="str">
        <f t="shared" si="142"/>
        <v/>
      </c>
      <c r="AB373" s="60" t="str">
        <f t="shared" si="143"/>
        <v/>
      </c>
    </row>
    <row r="374" spans="2:28">
      <c r="B374" s="57" t="str">
        <f t="shared" si="122"/>
        <v/>
      </c>
      <c r="C374" s="58" t="str">
        <f t="shared" si="123"/>
        <v/>
      </c>
      <c r="D374" s="28" t="str">
        <f t="shared" si="124"/>
        <v/>
      </c>
      <c r="E374" s="28" t="str">
        <f t="shared" si="125"/>
        <v/>
      </c>
      <c r="F374" s="29" t="str">
        <f t="shared" si="126"/>
        <v/>
      </c>
      <c r="G374" s="60" t="str">
        <f t="shared" si="127"/>
        <v/>
      </c>
      <c r="H374" s="60" t="str">
        <f t="shared" si="128"/>
        <v/>
      </c>
      <c r="I374" s="60" t="str">
        <f t="shared" si="129"/>
        <v/>
      </c>
      <c r="J374" s="60" t="str">
        <f t="shared" si="130"/>
        <v/>
      </c>
      <c r="K374" s="60" t="str">
        <f t="shared" si="131"/>
        <v/>
      </c>
      <c r="L374" s="60" t="str">
        <f t="shared" si="132"/>
        <v/>
      </c>
      <c r="M374" s="60" t="str">
        <f t="shared" si="133"/>
        <v/>
      </c>
      <c r="Q374" s="57" t="str">
        <f t="shared" si="134"/>
        <v/>
      </c>
      <c r="R374" s="58" t="str">
        <f t="shared" si="135"/>
        <v/>
      </c>
      <c r="S374" s="28" t="str">
        <f t="shared" si="120"/>
        <v/>
      </c>
      <c r="T374" s="28" t="str">
        <f t="shared" si="136"/>
        <v/>
      </c>
      <c r="U374" s="29" t="str">
        <f t="shared" si="137"/>
        <v/>
      </c>
      <c r="V374" s="60" t="str">
        <f t="shared" si="121"/>
        <v/>
      </c>
      <c r="W374" s="60" t="str">
        <f t="shared" si="138"/>
        <v/>
      </c>
      <c r="X374" s="60" t="str">
        <f t="shared" si="139"/>
        <v/>
      </c>
      <c r="Y374" s="60" t="str">
        <f t="shared" si="140"/>
        <v/>
      </c>
      <c r="Z374" s="60" t="str">
        <f t="shared" si="141"/>
        <v/>
      </c>
      <c r="AA374" s="60" t="str">
        <f t="shared" si="142"/>
        <v/>
      </c>
      <c r="AB374" s="60" t="str">
        <f t="shared" si="143"/>
        <v/>
      </c>
    </row>
    <row r="375" spans="2:28">
      <c r="B375" s="57" t="str">
        <f t="shared" si="122"/>
        <v/>
      </c>
      <c r="C375" s="58" t="str">
        <f t="shared" si="123"/>
        <v/>
      </c>
      <c r="D375" s="28" t="str">
        <f t="shared" si="124"/>
        <v/>
      </c>
      <c r="E375" s="28" t="str">
        <f t="shared" si="125"/>
        <v/>
      </c>
      <c r="F375" s="29" t="str">
        <f t="shared" si="126"/>
        <v/>
      </c>
      <c r="G375" s="60" t="str">
        <f t="shared" si="127"/>
        <v/>
      </c>
      <c r="H375" s="60" t="str">
        <f t="shared" si="128"/>
        <v/>
      </c>
      <c r="I375" s="60" t="str">
        <f t="shared" si="129"/>
        <v/>
      </c>
      <c r="J375" s="60" t="str">
        <f t="shared" si="130"/>
        <v/>
      </c>
      <c r="K375" s="60" t="str">
        <f t="shared" si="131"/>
        <v/>
      </c>
      <c r="L375" s="60" t="str">
        <f t="shared" si="132"/>
        <v/>
      </c>
      <c r="M375" s="60" t="str">
        <f t="shared" si="133"/>
        <v/>
      </c>
      <c r="Q375" s="57" t="str">
        <f t="shared" si="134"/>
        <v/>
      </c>
      <c r="R375" s="58" t="str">
        <f t="shared" si="135"/>
        <v/>
      </c>
      <c r="S375" s="28" t="str">
        <f t="shared" si="120"/>
        <v/>
      </c>
      <c r="T375" s="28" t="str">
        <f t="shared" si="136"/>
        <v/>
      </c>
      <c r="U375" s="29" t="str">
        <f t="shared" si="137"/>
        <v/>
      </c>
      <c r="V375" s="60" t="str">
        <f t="shared" si="121"/>
        <v/>
      </c>
      <c r="W375" s="60" t="str">
        <f t="shared" si="138"/>
        <v/>
      </c>
      <c r="X375" s="60" t="str">
        <f t="shared" si="139"/>
        <v/>
      </c>
      <c r="Y375" s="60" t="str">
        <f t="shared" si="140"/>
        <v/>
      </c>
      <c r="Z375" s="60" t="str">
        <f t="shared" si="141"/>
        <v/>
      </c>
      <c r="AA375" s="60" t="str">
        <f t="shared" si="142"/>
        <v/>
      </c>
      <c r="AB375" s="60" t="str">
        <f t="shared" si="143"/>
        <v/>
      </c>
    </row>
    <row r="376" spans="2:28">
      <c r="B376" s="57" t="str">
        <f t="shared" si="122"/>
        <v/>
      </c>
      <c r="C376" s="58" t="str">
        <f t="shared" si="123"/>
        <v/>
      </c>
      <c r="D376" s="28" t="str">
        <f t="shared" si="124"/>
        <v/>
      </c>
      <c r="E376" s="28" t="str">
        <f t="shared" si="125"/>
        <v/>
      </c>
      <c r="F376" s="29" t="str">
        <f t="shared" si="126"/>
        <v/>
      </c>
      <c r="G376" s="60" t="str">
        <f t="shared" si="127"/>
        <v/>
      </c>
      <c r="H376" s="60" t="str">
        <f t="shared" si="128"/>
        <v/>
      </c>
      <c r="I376" s="60" t="str">
        <f t="shared" si="129"/>
        <v/>
      </c>
      <c r="J376" s="60" t="str">
        <f t="shared" si="130"/>
        <v/>
      </c>
      <c r="K376" s="60" t="str">
        <f t="shared" si="131"/>
        <v/>
      </c>
      <c r="L376" s="60" t="str">
        <f t="shared" si="132"/>
        <v/>
      </c>
      <c r="M376" s="60" t="str">
        <f t="shared" si="133"/>
        <v/>
      </c>
      <c r="Q376" s="57" t="str">
        <f t="shared" si="134"/>
        <v/>
      </c>
      <c r="R376" s="58" t="str">
        <f t="shared" si="135"/>
        <v/>
      </c>
      <c r="S376" s="28" t="str">
        <f t="shared" si="120"/>
        <v/>
      </c>
      <c r="T376" s="28" t="str">
        <f t="shared" si="136"/>
        <v/>
      </c>
      <c r="U376" s="29" t="str">
        <f t="shared" si="137"/>
        <v/>
      </c>
      <c r="V376" s="60" t="str">
        <f t="shared" si="121"/>
        <v/>
      </c>
      <c r="W376" s="60" t="str">
        <f t="shared" si="138"/>
        <v/>
      </c>
      <c r="X376" s="60" t="str">
        <f t="shared" si="139"/>
        <v/>
      </c>
      <c r="Y376" s="60" t="str">
        <f t="shared" si="140"/>
        <v/>
      </c>
      <c r="Z376" s="60" t="str">
        <f t="shared" si="141"/>
        <v/>
      </c>
      <c r="AA376" s="60" t="str">
        <f t="shared" si="142"/>
        <v/>
      </c>
      <c r="AB376" s="60" t="str">
        <f t="shared" si="143"/>
        <v/>
      </c>
    </row>
    <row r="377" spans="2:28">
      <c r="B377" s="57" t="str">
        <f t="shared" si="122"/>
        <v/>
      </c>
      <c r="C377" s="58" t="str">
        <f t="shared" si="123"/>
        <v/>
      </c>
      <c r="D377" s="28" t="str">
        <f t="shared" si="124"/>
        <v/>
      </c>
      <c r="E377" s="28" t="str">
        <f t="shared" si="125"/>
        <v/>
      </c>
      <c r="F377" s="29" t="str">
        <f t="shared" si="126"/>
        <v/>
      </c>
      <c r="G377" s="60" t="str">
        <f t="shared" si="127"/>
        <v/>
      </c>
      <c r="H377" s="60" t="str">
        <f t="shared" si="128"/>
        <v/>
      </c>
      <c r="I377" s="60" t="str">
        <f t="shared" si="129"/>
        <v/>
      </c>
      <c r="J377" s="60" t="str">
        <f t="shared" si="130"/>
        <v/>
      </c>
      <c r="K377" s="60" t="str">
        <f t="shared" si="131"/>
        <v/>
      </c>
      <c r="L377" s="60" t="str">
        <f t="shared" si="132"/>
        <v/>
      </c>
      <c r="M377" s="60" t="str">
        <f t="shared" si="133"/>
        <v/>
      </c>
      <c r="Q377" s="57" t="str">
        <f t="shared" si="134"/>
        <v/>
      </c>
      <c r="R377" s="58" t="str">
        <f t="shared" si="135"/>
        <v/>
      </c>
      <c r="S377" s="28" t="str">
        <f t="shared" si="120"/>
        <v/>
      </c>
      <c r="T377" s="28" t="str">
        <f t="shared" si="136"/>
        <v/>
      </c>
      <c r="U377" s="29" t="str">
        <f t="shared" si="137"/>
        <v/>
      </c>
      <c r="V377" s="60" t="str">
        <f t="shared" si="121"/>
        <v/>
      </c>
      <c r="W377" s="60" t="str">
        <f t="shared" si="138"/>
        <v/>
      </c>
      <c r="X377" s="60" t="str">
        <f t="shared" si="139"/>
        <v/>
      </c>
      <c r="Y377" s="60" t="str">
        <f t="shared" si="140"/>
        <v/>
      </c>
      <c r="Z377" s="60" t="str">
        <f t="shared" si="141"/>
        <v/>
      </c>
      <c r="AA377" s="60" t="str">
        <f t="shared" si="142"/>
        <v/>
      </c>
      <c r="AB377" s="60" t="str">
        <f t="shared" si="143"/>
        <v/>
      </c>
    </row>
    <row r="378" spans="2:28">
      <c r="B378" s="57" t="str">
        <f t="shared" si="122"/>
        <v/>
      </c>
      <c r="C378" s="58" t="str">
        <f t="shared" si="123"/>
        <v/>
      </c>
      <c r="D378" s="28" t="str">
        <f t="shared" si="124"/>
        <v/>
      </c>
      <c r="E378" s="28" t="str">
        <f t="shared" si="125"/>
        <v/>
      </c>
      <c r="F378" s="29" t="str">
        <f t="shared" si="126"/>
        <v/>
      </c>
      <c r="G378" s="60" t="str">
        <f t="shared" si="127"/>
        <v/>
      </c>
      <c r="H378" s="60" t="str">
        <f t="shared" si="128"/>
        <v/>
      </c>
      <c r="I378" s="60" t="str">
        <f t="shared" si="129"/>
        <v/>
      </c>
      <c r="J378" s="60" t="str">
        <f t="shared" si="130"/>
        <v/>
      </c>
      <c r="K378" s="60" t="str">
        <f t="shared" si="131"/>
        <v/>
      </c>
      <c r="L378" s="60" t="str">
        <f t="shared" si="132"/>
        <v/>
      </c>
      <c r="M378" s="60" t="str">
        <f t="shared" si="133"/>
        <v/>
      </c>
      <c r="Q378" s="57" t="str">
        <f t="shared" si="134"/>
        <v/>
      </c>
      <c r="R378" s="58" t="str">
        <f t="shared" si="135"/>
        <v/>
      </c>
      <c r="S378" s="28" t="str">
        <f t="shared" si="120"/>
        <v/>
      </c>
      <c r="T378" s="28" t="str">
        <f t="shared" si="136"/>
        <v/>
      </c>
      <c r="U378" s="29" t="str">
        <f t="shared" si="137"/>
        <v/>
      </c>
      <c r="V378" s="60" t="str">
        <f t="shared" si="121"/>
        <v/>
      </c>
      <c r="W378" s="60" t="str">
        <f t="shared" si="138"/>
        <v/>
      </c>
      <c r="X378" s="60" t="str">
        <f t="shared" si="139"/>
        <v/>
      </c>
      <c r="Y378" s="60" t="str">
        <f t="shared" si="140"/>
        <v/>
      </c>
      <c r="Z378" s="60" t="str">
        <f t="shared" si="141"/>
        <v/>
      </c>
      <c r="AA378" s="60" t="str">
        <f t="shared" si="142"/>
        <v/>
      </c>
      <c r="AB378" s="60" t="str">
        <f t="shared" si="143"/>
        <v/>
      </c>
    </row>
    <row r="379" spans="2:28">
      <c r="B379" s="57" t="str">
        <f t="shared" si="122"/>
        <v/>
      </c>
      <c r="C379" s="58" t="str">
        <f t="shared" si="123"/>
        <v/>
      </c>
      <c r="D379" s="28" t="str">
        <f t="shared" si="124"/>
        <v/>
      </c>
      <c r="E379" s="28" t="str">
        <f t="shared" si="125"/>
        <v/>
      </c>
      <c r="F379" s="29" t="str">
        <f t="shared" si="126"/>
        <v/>
      </c>
      <c r="G379" s="60" t="str">
        <f t="shared" si="127"/>
        <v/>
      </c>
      <c r="H379" s="60" t="str">
        <f t="shared" si="128"/>
        <v/>
      </c>
      <c r="I379" s="60" t="str">
        <f t="shared" si="129"/>
        <v/>
      </c>
      <c r="J379" s="60" t="str">
        <f t="shared" si="130"/>
        <v/>
      </c>
      <c r="K379" s="60" t="str">
        <f t="shared" si="131"/>
        <v/>
      </c>
      <c r="L379" s="60" t="str">
        <f t="shared" si="132"/>
        <v/>
      </c>
      <c r="M379" s="60" t="str">
        <f t="shared" si="133"/>
        <v/>
      </c>
      <c r="Q379" s="57" t="str">
        <f t="shared" si="134"/>
        <v/>
      </c>
      <c r="R379" s="58" t="str">
        <f t="shared" si="135"/>
        <v/>
      </c>
      <c r="S379" s="28" t="str">
        <f t="shared" si="120"/>
        <v/>
      </c>
      <c r="T379" s="28" t="str">
        <f t="shared" si="136"/>
        <v/>
      </c>
      <c r="U379" s="29" t="str">
        <f t="shared" si="137"/>
        <v/>
      </c>
      <c r="V379" s="60" t="str">
        <f t="shared" si="121"/>
        <v/>
      </c>
      <c r="W379" s="60" t="str">
        <f t="shared" si="138"/>
        <v/>
      </c>
      <c r="X379" s="60" t="str">
        <f t="shared" si="139"/>
        <v/>
      </c>
      <c r="Y379" s="60" t="str">
        <f t="shared" si="140"/>
        <v/>
      </c>
      <c r="Z379" s="60" t="str">
        <f t="shared" si="141"/>
        <v/>
      </c>
      <c r="AA379" s="60" t="str">
        <f t="shared" si="142"/>
        <v/>
      </c>
      <c r="AB379" s="60" t="str">
        <f t="shared" si="143"/>
        <v/>
      </c>
    </row>
    <row r="380" spans="2:28">
      <c r="Q380" s="57" t="str">
        <f t="shared" si="134"/>
        <v/>
      </c>
      <c r="R380" s="58" t="str">
        <f t="shared" si="135"/>
        <v/>
      </c>
      <c r="S380" s="28" t="str">
        <f t="shared" si="120"/>
        <v/>
      </c>
      <c r="T380" s="28" t="str">
        <f t="shared" si="136"/>
        <v/>
      </c>
      <c r="U380" s="29" t="str">
        <f t="shared" si="137"/>
        <v/>
      </c>
      <c r="V380" s="60" t="str">
        <f t="shared" si="121"/>
        <v/>
      </c>
      <c r="W380" s="60" t="str">
        <f t="shared" si="138"/>
        <v/>
      </c>
      <c r="X380" s="60" t="str">
        <f t="shared" si="139"/>
        <v/>
      </c>
      <c r="Y380" s="60" t="str">
        <f t="shared" si="140"/>
        <v/>
      </c>
      <c r="Z380" s="60" t="str">
        <f t="shared" si="141"/>
        <v/>
      </c>
      <c r="AA380" s="60" t="str">
        <f t="shared" si="142"/>
        <v/>
      </c>
      <c r="AB380" s="60" t="str">
        <f t="shared" si="143"/>
        <v/>
      </c>
    </row>
  </sheetData>
  <dataValidations disablePrompts="1" count="1">
    <dataValidation type="list" allowBlank="1" showInputMessage="1" showErrorMessage="1" sqref="M14 AB15" xr:uid="{F328C13E-D035-4444-8F9F-BAFEE2A6361F}">
      <formula1>"30/360, Actual/360, Actual/365"</formula1>
    </dataValidation>
  </dataValidations>
  <pageMargins left="0.25" right="0.25" top="0.25" bottom="0.25" header="0" footer="0"/>
  <pageSetup scale="10" orientation="landscape"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7ADF2-5DF1-374F-917C-DFCDD5013DE4}">
  <sheetPr>
    <tabColor theme="5" tint="0.59999389629810485"/>
    <pageSetUpPr fitToPage="1"/>
  </sheetPr>
  <dimension ref="B1:AG166"/>
  <sheetViews>
    <sheetView showGridLines="0" zoomScaleNormal="100" zoomScaleSheetLayoutView="110" workbookViewId="0">
      <selection activeCell="E174" sqref="E174"/>
    </sheetView>
  </sheetViews>
  <sheetFormatPr baseColWidth="10" defaultRowHeight="16" outlineLevelCol="1"/>
  <cols>
    <col min="1" max="1" width="4" customWidth="1"/>
    <col min="10" max="10" width="2.5" customWidth="1"/>
    <col min="12" max="13" width="13.33203125" customWidth="1" outlineLevel="1"/>
    <col min="14" max="18" width="10.83203125" customWidth="1" outlineLevel="1"/>
    <col min="19" max="21" width="13.33203125" customWidth="1" outlineLevel="1"/>
    <col min="24" max="35" width="0" hidden="1" customWidth="1"/>
  </cols>
  <sheetData>
    <row r="1" spans="2:25" ht="5" customHeight="1">
      <c r="X1" s="842"/>
      <c r="Y1" s="842"/>
    </row>
    <row r="2" spans="2:25" s="415" customFormat="1" ht="28" customHeight="1" thickBot="1">
      <c r="B2" s="1198" t="s">
        <v>623</v>
      </c>
      <c r="C2" s="1199"/>
      <c r="D2" s="1199"/>
      <c r="E2" s="1199"/>
      <c r="F2" s="1199"/>
      <c r="G2" s="1199"/>
      <c r="H2" s="1199"/>
      <c r="I2" s="1199"/>
      <c r="J2" s="1199"/>
      <c r="K2" s="1199"/>
      <c r="L2" s="1199"/>
      <c r="M2" s="1199"/>
      <c r="N2" s="1199"/>
      <c r="O2" s="1199"/>
      <c r="P2" s="1199"/>
      <c r="Q2" s="1199"/>
      <c r="R2" s="1199"/>
      <c r="X2" s="889" t="s">
        <v>545</v>
      </c>
      <c r="Y2" s="890"/>
    </row>
    <row r="3" spans="2:25" ht="5" customHeight="1">
      <c r="X3" s="842" t="s">
        <v>546</v>
      </c>
      <c r="Y3" s="842" t="e" cm="1">
        <f t="array" ref="Y3">INDEX('PRO FORMA'!E17:W17,1,($Y$16-1)*2+1)</f>
        <v>#VALUE!</v>
      </c>
    </row>
    <row r="4" spans="2:25" ht="19" thickBot="1">
      <c r="B4" s="1202" t="s">
        <v>542</v>
      </c>
      <c r="C4" s="1205"/>
      <c r="D4" s="1205"/>
      <c r="E4" s="1205"/>
      <c r="F4" s="1205"/>
      <c r="G4" s="1205"/>
      <c r="H4" s="1205"/>
      <c r="I4" s="1206"/>
      <c r="K4" s="1202" t="s">
        <v>544</v>
      </c>
      <c r="L4" s="1203"/>
      <c r="M4" s="1203"/>
      <c r="N4" s="1203"/>
      <c r="O4" s="1203"/>
      <c r="P4" s="1203"/>
      <c r="Q4" s="1203"/>
      <c r="R4" s="1203"/>
      <c r="S4" s="1203"/>
      <c r="T4" s="1203"/>
      <c r="U4" s="1204"/>
      <c r="X4" s="842" t="s">
        <v>547</v>
      </c>
      <c r="Y4" s="842">
        <f>'PRO FORMA'!E22-'PRO FORMA'!E17</f>
        <v>0</v>
      </c>
    </row>
    <row r="5" spans="2:25" ht="5" customHeight="1">
      <c r="B5" s="14"/>
      <c r="I5" s="15"/>
      <c r="K5" s="14"/>
      <c r="U5" s="15"/>
      <c r="X5" s="842" t="s">
        <v>52</v>
      </c>
      <c r="Y5" s="842">
        <f>INPUTS!C7</f>
        <v>0</v>
      </c>
    </row>
    <row r="6" spans="2:25">
      <c r="B6" s="1200" t="s">
        <v>624</v>
      </c>
      <c r="C6" s="1207"/>
      <c r="D6" s="1207"/>
      <c r="E6" s="1207"/>
      <c r="F6" s="1207"/>
      <c r="G6" s="1207"/>
      <c r="H6" s="1207"/>
      <c r="I6" s="1208"/>
      <c r="K6" s="1200" t="s">
        <v>626</v>
      </c>
      <c r="L6" s="1201"/>
      <c r="M6" s="1201"/>
      <c r="N6" s="1201"/>
      <c r="O6" s="1201"/>
      <c r="P6" s="1201"/>
      <c r="Q6" s="1201"/>
      <c r="R6" s="1201"/>
      <c r="S6" s="893"/>
      <c r="T6" s="893"/>
      <c r="U6" s="979"/>
      <c r="X6" s="842" t="s">
        <v>548</v>
      </c>
      <c r="Y6" s="842">
        <v>365</v>
      </c>
    </row>
    <row r="7" spans="2:25">
      <c r="B7" s="980" t="str">
        <f>IFERROR(WATERFALL!D29,"NA")</f>
        <v>NA</v>
      </c>
      <c r="C7" s="910" t="e">
        <f>$Y$13-3*$C$41</f>
        <v>#VALUE!</v>
      </c>
      <c r="D7" s="910" t="e">
        <f>$Y$13-2*$C$41</f>
        <v>#VALUE!</v>
      </c>
      <c r="E7" s="910" t="e">
        <f>$Y$13-$C$41</f>
        <v>#VALUE!</v>
      </c>
      <c r="F7" s="911" t="e">
        <f>$Y$13</f>
        <v>#VALUE!</v>
      </c>
      <c r="G7" s="910" t="e">
        <f>$Y$13+$C$41</f>
        <v>#VALUE!</v>
      </c>
      <c r="H7" s="910" t="e">
        <f>$Y$13+2*$C$41</f>
        <v>#VALUE!</v>
      </c>
      <c r="I7" s="987" t="e">
        <f>$Y$13+3*$C$41</f>
        <v>#VALUE!</v>
      </c>
      <c r="K7" s="980" t="str">
        <f>IFERROR(WATERFALL!D29,"NA")</f>
        <v>NA</v>
      </c>
      <c r="L7" s="895">
        <v>1</v>
      </c>
      <c r="M7" s="895">
        <v>2</v>
      </c>
      <c r="N7" s="895">
        <v>3</v>
      </c>
      <c r="O7" s="895">
        <v>4</v>
      </c>
      <c r="P7" s="895">
        <v>5</v>
      </c>
      <c r="Q7" s="895">
        <v>6</v>
      </c>
      <c r="R7" s="895">
        <v>7</v>
      </c>
      <c r="S7" s="895">
        <v>8</v>
      </c>
      <c r="T7" s="895">
        <v>9</v>
      </c>
      <c r="U7" s="898">
        <v>10</v>
      </c>
      <c r="X7" s="842" t="s">
        <v>549</v>
      </c>
      <c r="Y7" s="842">
        <f>'PRO FORMA'!E30</f>
        <v>0</v>
      </c>
    </row>
    <row r="8" spans="2:25">
      <c r="B8" s="988" t="e">
        <f>$Y$14-3*$C$42</f>
        <v>#VALUE!</v>
      </c>
      <c r="C8" s="908" t="str">
        <f ca="1">IFERROR(IRR(C46:OFFSET(C46,0,$Y$16)),"Neg")</f>
        <v>Neg</v>
      </c>
      <c r="D8" s="908" t="str">
        <f ca="1">IFERROR(IRR(C53:OFFSET(C53,0,$Y$16)),"Neg")</f>
        <v>Neg</v>
      </c>
      <c r="E8" s="908" t="str">
        <f ca="1">IFERROR(IRR(C60:OFFSET(C60,0,$Y$16)),"Neg")</f>
        <v>Neg</v>
      </c>
      <c r="F8" s="908" t="str">
        <f ca="1">IFERROR(IRR(C67:OFFSET(C67,0,$Y$16)),"Neg")</f>
        <v>Neg</v>
      </c>
      <c r="G8" s="908" t="str">
        <f ca="1">IFERROR(IRR(C74:OFFSET(C74,0,$Y$16)),"Neg")</f>
        <v>Neg</v>
      </c>
      <c r="H8" s="908" t="str">
        <f ca="1">IFERROR(IRR(C81:OFFSET(C81,0,$Y$16)),"Neg")</f>
        <v>Neg</v>
      </c>
      <c r="I8" s="989" t="str">
        <f ca="1">IFERROR(IRR(C88:OFFSET(C88,0,$Y$16)),"Neg")</f>
        <v>Neg</v>
      </c>
      <c r="K8" s="981">
        <f>$Y$15-3*$C$43</f>
        <v>-0.30000000000000004</v>
      </c>
      <c r="L8" s="894" t="str">
        <f ca="1">IFERROR(IRR(C96:OFFSET(C96,0,L$18)),"Neg")</f>
        <v>Neg</v>
      </c>
      <c r="M8" s="894" t="str">
        <f ca="1">IFERROR(IRR(C103:OFFSET(C103,0,M$18)),"Neg")</f>
        <v>Neg</v>
      </c>
      <c r="N8" s="894" t="str">
        <f ca="1">IFERROR(IRR(C110:OFFSET(C110,0,N$18)),"Neg")</f>
        <v>Neg</v>
      </c>
      <c r="O8" s="894" t="str">
        <f ca="1">IFERROR(IRR(C117:OFFSET(C117,0,O$18)),"Neg")</f>
        <v>Neg</v>
      </c>
      <c r="P8" s="894" t="str">
        <f ca="1">IFERROR(IRR(C124:OFFSET(C124,0,P$18)),"Neg")</f>
        <v>Neg</v>
      </c>
      <c r="Q8" s="894" t="str">
        <f ca="1">IFERROR(IRR(C131:OFFSET(C131,0,Q$18)),"Neg")</f>
        <v>Neg</v>
      </c>
      <c r="R8" s="894" t="str">
        <f ca="1">IFERROR(IRR(C138:OFFSET(C138,0,R$18)),"Neg")</f>
        <v>Neg</v>
      </c>
      <c r="S8" s="894" t="str">
        <f ca="1">IFERROR(IRR(C145:OFFSET(C145,0,S$18)),"Neg")</f>
        <v>Neg</v>
      </c>
      <c r="T8" s="894" t="str">
        <f ca="1">IFERROR(IRR(C152:OFFSET(C152,0,T$18)),"Neg")</f>
        <v>Neg</v>
      </c>
      <c r="U8" s="899" t="str">
        <f ca="1">IFERROR(IRR(C159:OFFSET(C159,0,U$18)),"Neg")</f>
        <v>Neg</v>
      </c>
      <c r="X8" s="842" t="s">
        <v>550</v>
      </c>
      <c r="Y8" s="842">
        <f>'PRO FORMA'!E41</f>
        <v>0</v>
      </c>
    </row>
    <row r="9" spans="2:25">
      <c r="B9" s="988" t="e">
        <f>$Y$14-2*$C$42</f>
        <v>#VALUE!</v>
      </c>
      <c r="C9" s="908" t="str">
        <f ca="1">IFERROR(IRR(C47:OFFSET(C47,0,$Y$16)),"Neg")</f>
        <v>Neg</v>
      </c>
      <c r="D9" s="908" t="str">
        <f ca="1">IFERROR(IRR(C54:OFFSET(C54,0,$Y$16)),"Neg")</f>
        <v>Neg</v>
      </c>
      <c r="E9" s="908" t="str">
        <f ca="1">IFERROR(IRR(C61:OFFSET(C61,0,$Y$16)),"Neg")</f>
        <v>Neg</v>
      </c>
      <c r="F9" s="908" t="str">
        <f ca="1">IFERROR(IRR(C68:OFFSET(C68,0,$Y$16)),"Neg")</f>
        <v>Neg</v>
      </c>
      <c r="G9" s="908" t="str">
        <f ca="1">IFERROR(IRR(C75:OFFSET(C75,0,$Y$16)),"Neg")</f>
        <v>Neg</v>
      </c>
      <c r="H9" s="908" t="str">
        <f ca="1">IFERROR(IRR(C82:OFFSET(C82,0,$Y$16)),"Neg")</f>
        <v>Neg</v>
      </c>
      <c r="I9" s="989" t="str">
        <f ca="1">IFERROR(IRR(C89:OFFSET(C89,0,$Y$16)),"Neg")</f>
        <v>Neg</v>
      </c>
      <c r="K9" s="981">
        <f>$Y$15-2*$C$43</f>
        <v>-0.2</v>
      </c>
      <c r="L9" s="894" t="str">
        <f ca="1">IFERROR(IRR(C97:OFFSET(C97,0,L$18)),"Neg")</f>
        <v>Neg</v>
      </c>
      <c r="M9" s="894" t="str">
        <f ca="1">IFERROR(IRR(C104:OFFSET(C104,0,M$18)),"Neg")</f>
        <v>Neg</v>
      </c>
      <c r="N9" s="894" t="str">
        <f ca="1">IFERROR(IRR(C111:OFFSET(C111,0,N$18)),"Neg")</f>
        <v>Neg</v>
      </c>
      <c r="O9" s="894" t="str">
        <f ca="1">IFERROR(IRR(C118:OFFSET(C118,0,O$18)),"Neg")</f>
        <v>Neg</v>
      </c>
      <c r="P9" s="894" t="str">
        <f ca="1">IFERROR(IRR(C125:OFFSET(C125,0,P$18)),"Neg")</f>
        <v>Neg</v>
      </c>
      <c r="Q9" s="894" t="str">
        <f ca="1">IFERROR(IRR(C132:OFFSET(C132,0,Q$18)),"Neg")</f>
        <v>Neg</v>
      </c>
      <c r="R9" s="894" t="str">
        <f ca="1">IFERROR(IRR(C139:OFFSET(C139,0,R$18)),"Neg")</f>
        <v>Neg</v>
      </c>
      <c r="S9" s="894" t="str">
        <f ca="1">IFERROR(IRR(C146:OFFSET(C146,0,S$18)),"Neg")</f>
        <v>Neg</v>
      </c>
      <c r="T9" s="894" t="str">
        <f ca="1">IFERROR(IRR(C153:OFFSET(C153,0,T$18)),"Neg")</f>
        <v>Neg</v>
      </c>
      <c r="U9" s="899" t="str">
        <f ca="1">IFERROR(IRR(C160:OFFSET(C160,0,U$18)),"Neg")</f>
        <v>Neg</v>
      </c>
      <c r="X9" s="842" t="s">
        <v>551</v>
      </c>
      <c r="Y9" s="842">
        <f>'PRO FORMA'!E49</f>
        <v>0</v>
      </c>
    </row>
    <row r="10" spans="2:25">
      <c r="B10" s="988" t="e">
        <f>$Y$14-$C$42</f>
        <v>#VALUE!</v>
      </c>
      <c r="C10" s="908" t="str">
        <f ca="1">IFERROR(IRR(C48:OFFSET(C48,0,$Y$16)),"Neg")</f>
        <v>Neg</v>
      </c>
      <c r="D10" s="908" t="str">
        <f ca="1">IFERROR(IRR(C55:OFFSET(C55,0,$Y$16)),"Neg")</f>
        <v>Neg</v>
      </c>
      <c r="E10" s="908" t="str">
        <f ca="1">IFERROR(IRR(C62:OFFSET(C62,0,$Y$16)),"Neg")</f>
        <v>Neg</v>
      </c>
      <c r="F10" s="908" t="str">
        <f ca="1">IFERROR(IRR(C69:OFFSET(C69,0,$Y$16)),"Neg")</f>
        <v>Neg</v>
      </c>
      <c r="G10" s="908" t="str">
        <f ca="1">IFERROR(IRR(C76:OFFSET(C76,0,$Y$16)),"Neg")</f>
        <v>Neg</v>
      </c>
      <c r="H10" s="908" t="str">
        <f ca="1">IFERROR(IRR(C83:OFFSET(C83,0,$Y$16)),"Neg")</f>
        <v>Neg</v>
      </c>
      <c r="I10" s="989" t="str">
        <f ca="1">IFERROR(IRR(C90:OFFSET(C90,0,$Y$16)),"Neg")</f>
        <v>Neg</v>
      </c>
      <c r="K10" s="981">
        <f>$Y$15-$C$43</f>
        <v>-0.1</v>
      </c>
      <c r="L10" s="894" t="str">
        <f ca="1">IFERROR(IRR(C98:OFFSET(C98,0,L$18)),"Neg")</f>
        <v>Neg</v>
      </c>
      <c r="M10" s="894" t="str">
        <f ca="1">IFERROR(IRR(C105:OFFSET(C105,0,M$18)),"Neg")</f>
        <v>Neg</v>
      </c>
      <c r="N10" s="894" t="str">
        <f ca="1">IFERROR(IRR(C112:OFFSET(C112,0,N$18)),"Neg")</f>
        <v>Neg</v>
      </c>
      <c r="O10" s="894" t="str">
        <f ca="1">IFERROR(IRR(C119:OFFSET(C119,0,O$18)),"Neg")</f>
        <v>Neg</v>
      </c>
      <c r="P10" s="894" t="str">
        <f ca="1">IFERROR(IRR(C126:OFFSET(C126,0,P$18)),"Neg")</f>
        <v>Neg</v>
      </c>
      <c r="Q10" s="894" t="str">
        <f ca="1">IFERROR(IRR(C133:OFFSET(C133,0,Q$18)),"Neg")</f>
        <v>Neg</v>
      </c>
      <c r="R10" s="894" t="str">
        <f ca="1">IFERROR(IRR(C140:OFFSET(C140,0,R$18)),"Neg")</f>
        <v>Neg</v>
      </c>
      <c r="S10" s="894" t="str">
        <f ca="1">IFERROR(IRR(C147:OFFSET(C147,0,S$18)),"Neg")</f>
        <v>Neg</v>
      </c>
      <c r="T10" s="894" t="str">
        <f ca="1">IFERROR(IRR(C154:OFFSET(C154,0,T$18)),"Neg")</f>
        <v>Neg</v>
      </c>
      <c r="U10" s="899" t="str">
        <f ca="1">IFERROR(IRR(C161:OFFSET(C161,0,U$18)),"Neg")</f>
        <v>Neg</v>
      </c>
      <c r="X10" s="842" t="s">
        <v>552</v>
      </c>
      <c r="Y10" s="842">
        <f>'PRO FORMA'!E52+'PRO FORMA'!E53</f>
        <v>0</v>
      </c>
    </row>
    <row r="11" spans="2:25">
      <c r="B11" s="990" t="e">
        <f>$Y$14</f>
        <v>#VALUE!</v>
      </c>
      <c r="C11" s="908" t="str">
        <f ca="1">IFERROR(IRR(C49:OFFSET(C49,0,$Y$16)),"Neg")</f>
        <v>Neg</v>
      </c>
      <c r="D11" s="908" t="str">
        <f ca="1">IFERROR(IRR(C56:OFFSET(C56,0,$Y$16)),"Neg")</f>
        <v>Neg</v>
      </c>
      <c r="E11" s="908" t="str">
        <f ca="1">IFERROR(IRR(C63:OFFSET(C63,0,$Y$16)),"Neg")</f>
        <v>Neg</v>
      </c>
      <c r="F11" s="909" t="str">
        <f ca="1">IFERROR(IRR(C70:OFFSET(C70,0,$Y$16)),"Neg")</f>
        <v>Neg</v>
      </c>
      <c r="G11" s="908" t="str">
        <f ca="1">IFERROR(IRR(C77:OFFSET(C77,0,$Y$16)),"Neg")</f>
        <v>Neg</v>
      </c>
      <c r="H11" s="908" t="str">
        <f ca="1">IFERROR(IRR(C84:OFFSET(C84,0,$Y$16)),"Neg")</f>
        <v>Neg</v>
      </c>
      <c r="I11" s="989" t="str">
        <f ca="1">IFERROR(IRR(C91:OFFSET(C91,0,$Y$16)),"Neg")</f>
        <v>Neg</v>
      </c>
      <c r="K11" s="982">
        <f>$Y$15</f>
        <v>0</v>
      </c>
      <c r="L11" s="894" t="str">
        <f ca="1">IFERROR(IRR(C99:OFFSET(C99,0,L$18)),"Neg")</f>
        <v>Neg</v>
      </c>
      <c r="M11" s="894" t="str">
        <f ca="1">IFERROR(IRR(C106:OFFSET(C106,0,M$18)),"Neg")</f>
        <v>Neg</v>
      </c>
      <c r="N11" s="894" t="str">
        <f ca="1">IFERROR(IRR(C113:OFFSET(C113,0,N$18)),"Neg")</f>
        <v>Neg</v>
      </c>
      <c r="O11" s="894" t="str">
        <f ca="1">IFERROR(IRR(C120:OFFSET(C120,0,O$18)),"Neg")</f>
        <v>Neg</v>
      </c>
      <c r="P11" s="894" t="str">
        <f ca="1">IFERROR(IRR(C127:OFFSET(C127,0,P$18)),"Neg")</f>
        <v>Neg</v>
      </c>
      <c r="Q11" s="894" t="str">
        <f ca="1">IFERROR(IRR(C134:OFFSET(C134,0,Q$18)),"Neg")</f>
        <v>Neg</v>
      </c>
      <c r="R11" s="894" t="str">
        <f ca="1">IFERROR(IRR(C141:OFFSET(C141,0,R$18)),"Neg")</f>
        <v>Neg</v>
      </c>
      <c r="S11" s="894" t="str">
        <f ca="1">IFERROR(IRR(C148:OFFSET(C148,0,S$18)),"Neg")</f>
        <v>Neg</v>
      </c>
      <c r="T11" s="894" t="str">
        <f ca="1">IFERROR(IRR(C155:OFFSET(C155,0,T$18)),"Neg")</f>
        <v>Neg</v>
      </c>
      <c r="U11" s="900" t="str">
        <f ca="1">IFERROR(IRR(C162:OFFSET(C162,0,U$18)),"Neg")</f>
        <v>Neg</v>
      </c>
      <c r="X11" s="842" t="s">
        <v>244</v>
      </c>
      <c r="Y11" s="842">
        <f>'PRO FORMA'!E56+'PRO FORMA'!E58</f>
        <v>0</v>
      </c>
    </row>
    <row r="12" spans="2:25">
      <c r="B12" s="988" t="e">
        <f>$Y$14+$C$42</f>
        <v>#VALUE!</v>
      </c>
      <c r="C12" s="908" t="str">
        <f ca="1">IFERROR(IRR(C50:OFFSET(C50,0,$Y$16)),"Neg")</f>
        <v>Neg</v>
      </c>
      <c r="D12" s="908" t="str">
        <f ca="1">IFERROR(IRR(C57:OFFSET(C57,0,$Y$16)),"Neg")</f>
        <v>Neg</v>
      </c>
      <c r="E12" s="908" t="str">
        <f ca="1">IFERROR(IRR(C64:OFFSET(C64,0,$Y$16)),"Neg")</f>
        <v>Neg</v>
      </c>
      <c r="F12" s="908" t="str">
        <f ca="1">IFERROR(IRR(C71:OFFSET(C71,0,$Y$16)),"Neg")</f>
        <v>Neg</v>
      </c>
      <c r="G12" s="908" t="str">
        <f ca="1">IFERROR(IRR(C78:OFFSET(C78,0,$Y$16)),"Neg")</f>
        <v>Neg</v>
      </c>
      <c r="H12" s="908" t="str">
        <f ca="1">IFERROR(IRR(C85:OFFSET(C85,0,$Y$16)),"Neg")</f>
        <v>Neg</v>
      </c>
      <c r="I12" s="989" t="str">
        <f ca="1">IFERROR(IRR(C92:OFFSET(C92,0,$Y$16)),"Neg")</f>
        <v>Neg</v>
      </c>
      <c r="K12" s="981">
        <f>$Y$15+$C$43</f>
        <v>0.1</v>
      </c>
      <c r="L12" s="894" t="str">
        <f ca="1">IFERROR(IRR(C100:OFFSET(C100,0,L$18)),"Neg")</f>
        <v>Neg</v>
      </c>
      <c r="M12" s="894" t="str">
        <f ca="1">IFERROR(IRR(C107:OFFSET(C107,0,M$18)),"Neg")</f>
        <v>Neg</v>
      </c>
      <c r="N12" s="894" t="str">
        <f ca="1">IFERROR(IRR(C114:OFFSET(C114,0,N$18)),"Neg")</f>
        <v>Neg</v>
      </c>
      <c r="O12" s="894" t="str">
        <f ca="1">IFERROR(IRR(C121:OFFSET(C121,0,O$18)),"Neg")</f>
        <v>Neg</v>
      </c>
      <c r="P12" s="894" t="str">
        <f ca="1">IFERROR(IRR(C128:OFFSET(C128,0,P$18)),"Neg")</f>
        <v>Neg</v>
      </c>
      <c r="Q12" s="894" t="str">
        <f ca="1">IFERROR(IRR(C135:OFFSET(C135,0,Q$18)),"Neg")</f>
        <v>Neg</v>
      </c>
      <c r="R12" s="894" t="str">
        <f ca="1">IFERROR(IRR(C142:OFFSET(C142,0,R$18)),"Neg")</f>
        <v>Neg</v>
      </c>
      <c r="S12" s="894" t="str">
        <f ca="1">IFERROR(IRR(C149:OFFSET(C149,0,S$18)),"Neg")</f>
        <v>Neg</v>
      </c>
      <c r="T12" s="894" t="str">
        <f ca="1">IFERROR(IRR(C156:OFFSET(C156,0,T$18)),"Neg")</f>
        <v>Neg</v>
      </c>
      <c r="U12" s="899" t="str">
        <f ca="1">IFERROR(IRR(C163:OFFSET(C163,0,U$18)),"Neg")</f>
        <v>Neg</v>
      </c>
      <c r="X12" s="842" t="s">
        <v>434</v>
      </c>
      <c r="Y12" s="842">
        <f>WATERFALL!D12</f>
        <v>0</v>
      </c>
    </row>
    <row r="13" spans="2:25">
      <c r="B13" s="988" t="e">
        <f>$Y$14+2*$C$42</f>
        <v>#VALUE!</v>
      </c>
      <c r="C13" s="908" t="str">
        <f ca="1">IFERROR(IRR(C51:OFFSET(C51,0,$Y$16)),"Neg")</f>
        <v>Neg</v>
      </c>
      <c r="D13" s="908" t="str">
        <f ca="1">IFERROR(IRR(C58:OFFSET(C58,0,$Y$16)),"Neg")</f>
        <v>Neg</v>
      </c>
      <c r="E13" s="908" t="str">
        <f ca="1">IFERROR(IRR(C65:OFFSET(C65,0,$Y$16)),"Neg")</f>
        <v>Neg</v>
      </c>
      <c r="F13" s="908" t="str">
        <f ca="1">IFERROR(IRR(C72:OFFSET(C72,0,$Y$16)),"Neg")</f>
        <v>Neg</v>
      </c>
      <c r="G13" s="908" t="str">
        <f ca="1">IFERROR(IRR(C79:OFFSET(C79,0,$Y$16)),"Neg")</f>
        <v>Neg</v>
      </c>
      <c r="H13" s="908" t="str">
        <f ca="1">IFERROR(IRR(C86:OFFSET(C86,0,$Y$16)),"Neg")</f>
        <v>Neg</v>
      </c>
      <c r="I13" s="989" t="str">
        <f ca="1">IFERROR(IRR(C93:OFFSET(C93,0,$Y$16)),"Neg")</f>
        <v>Neg</v>
      </c>
      <c r="K13" s="981">
        <f>$Y$15+2*$C$43</f>
        <v>0.2</v>
      </c>
      <c r="L13" s="894" t="str">
        <f ca="1">IFERROR(IRR(C101:OFFSET(C101,0,L$18)),"Neg")</f>
        <v>Neg</v>
      </c>
      <c r="M13" s="894" t="str">
        <f ca="1">IFERROR(IRR(C108:OFFSET(C108,0,M$18)),"Neg")</f>
        <v>Neg</v>
      </c>
      <c r="N13" s="894" t="str">
        <f ca="1">IFERROR(IRR(C115:OFFSET(C115,0,N$18)),"Neg")</f>
        <v>Neg</v>
      </c>
      <c r="O13" s="894" t="str">
        <f ca="1">IFERROR(IRR(C122:OFFSET(C122,0,O$18)),"Neg")</f>
        <v>Neg</v>
      </c>
      <c r="P13" s="894" t="str">
        <f ca="1">IFERROR(IRR(C129:OFFSET(C129,0,P$18)),"Neg")</f>
        <v>Neg</v>
      </c>
      <c r="Q13" s="894" t="str">
        <f ca="1">IFERROR(IRR(C136:OFFSET(C136,0,Q$18)),"Neg")</f>
        <v>Neg</v>
      </c>
      <c r="R13" s="894" t="str">
        <f ca="1">IFERROR(IRR(C143:OFFSET(C143,0,R$18)),"Neg")</f>
        <v>Neg</v>
      </c>
      <c r="S13" s="894" t="str">
        <f ca="1">IFERROR(IRR(C150:OFFSET(C150,0,S$18)),"Neg")</f>
        <v>Neg</v>
      </c>
      <c r="T13" s="894" t="str">
        <f ca="1">IFERROR(IRR(C157:OFFSET(C157,0,T$18)),"Neg")</f>
        <v>Neg</v>
      </c>
      <c r="U13" s="899" t="str">
        <f ca="1">IFERROR(IRR(C164:OFFSET(C164,0,U$18)),"Neg")</f>
        <v>Neg</v>
      </c>
      <c r="X13" s="842" t="s">
        <v>553</v>
      </c>
      <c r="Y13" s="842" t="e" cm="1">
        <f t="array" ref="Y13">INDEX(PROJECTIONS!$J$6:$AB$6,1,($Y$16-1)*2+1)</f>
        <v>#VALUE!</v>
      </c>
    </row>
    <row r="14" spans="2:25">
      <c r="B14" s="991" t="e">
        <f>$Y$14+3*$C$42</f>
        <v>#VALUE!</v>
      </c>
      <c r="C14" s="912" t="str">
        <f ca="1">IFERROR(IRR(C52:OFFSET(C52,0,$Y$16)),"Neg")</f>
        <v>Neg</v>
      </c>
      <c r="D14" s="912" t="str">
        <f ca="1">IFERROR(IRR(C59:OFFSET(C59,0,$Y$16)),"Neg")</f>
        <v>Neg</v>
      </c>
      <c r="E14" s="912" t="str">
        <f ca="1">IFERROR(IRR(C66:OFFSET(C66,0,$Y$16)),"Neg")</f>
        <v>Neg</v>
      </c>
      <c r="F14" s="912" t="str">
        <f ca="1">IFERROR(IRR(C73:OFFSET(C73,0,$Y$16)),"Neg")</f>
        <v>Neg</v>
      </c>
      <c r="G14" s="912" t="str">
        <f ca="1">IFERROR(IRR(C80:OFFSET(C80,0,$Y$16)),"Neg")</f>
        <v>Neg</v>
      </c>
      <c r="H14" s="912" t="str">
        <f ca="1">IFERROR(IRR(C87:OFFSET(C87,0,$Y$16)),"Neg")</f>
        <v>Neg</v>
      </c>
      <c r="I14" s="992" t="str">
        <f ca="1">IFERROR(IRR(C94:OFFSET(C94,0,$Y$16)),"Neg")</f>
        <v>Neg</v>
      </c>
      <c r="K14" s="983">
        <f>$Y$15+3*$C$43</f>
        <v>0.30000000000000004</v>
      </c>
      <c r="L14" s="896" t="str">
        <f ca="1">IFERROR(IRR(C102:OFFSET(C102,0,L$18)),"Neg")</f>
        <v>Neg</v>
      </c>
      <c r="M14" s="896" t="str">
        <f ca="1">IFERROR(IRR(C109:OFFSET(C109,0,M$18)),"Neg")</f>
        <v>Neg</v>
      </c>
      <c r="N14" s="896" t="str">
        <f ca="1">IFERROR(IRR(C116:OFFSET(C116,0,N$18)),"Neg")</f>
        <v>Neg</v>
      </c>
      <c r="O14" s="896" t="str">
        <f ca="1">IFERROR(IRR(C123:OFFSET(C123,0,O$18)),"Neg")</f>
        <v>Neg</v>
      </c>
      <c r="P14" s="896" t="str">
        <f ca="1">IFERROR(IRR(C130:OFFSET(C130,0,P$18)),"Neg")</f>
        <v>Neg</v>
      </c>
      <c r="Q14" s="896" t="str">
        <f ca="1">IFERROR(IRR(C137:OFFSET(C137,0,Q$18)),"Neg")</f>
        <v>Neg</v>
      </c>
      <c r="R14" s="896" t="str">
        <f ca="1">IFERROR(IRR(C144:OFFSET(C144,0,R$18)),"Neg")</f>
        <v>Neg</v>
      </c>
      <c r="S14" s="896" t="str">
        <f ca="1">IFERROR(IRR(C151:OFFSET(C151,0,S$18)),"Neg")</f>
        <v>Neg</v>
      </c>
      <c r="T14" s="896" t="str">
        <f ca="1">IFERROR(IRR(C158:OFFSET(C158,0,T$18)),"Neg")</f>
        <v>Neg</v>
      </c>
      <c r="U14" s="901" t="str">
        <f ca="1">IFERROR(IRR(C165:OFFSET(C165,0,U$18)),"Neg")</f>
        <v>Neg</v>
      </c>
      <c r="X14" s="842" t="s">
        <v>554</v>
      </c>
      <c r="Y14" s="842" t="e" cm="1">
        <f t="array" ref="Y14">INDEX(PROJECTIONS!$J$9:$AB$9,1,($Y$16-1)*2+1)</f>
        <v>#VALUE!</v>
      </c>
    </row>
    <row r="15" spans="2:25" ht="8" customHeight="1">
      <c r="B15" s="984"/>
      <c r="C15" s="841"/>
      <c r="D15" s="841"/>
      <c r="E15" s="841"/>
      <c r="F15" s="841"/>
      <c r="G15" s="841"/>
      <c r="H15" s="841"/>
      <c r="I15" s="993"/>
      <c r="K15" s="984"/>
      <c r="L15" s="841"/>
      <c r="M15" s="841"/>
      <c r="N15" s="841"/>
      <c r="O15" s="841"/>
      <c r="P15" s="841"/>
      <c r="Q15" s="841"/>
      <c r="R15" s="841"/>
      <c r="U15" s="15"/>
      <c r="X15" s="842" t="s">
        <v>555</v>
      </c>
      <c r="Y15" s="842">
        <f>INPUTS!I11</f>
        <v>0</v>
      </c>
    </row>
    <row r="16" spans="2:25" ht="8" customHeight="1">
      <c r="B16" s="984"/>
      <c r="C16" s="841"/>
      <c r="D16" s="841"/>
      <c r="E16" s="841"/>
      <c r="F16" s="841"/>
      <c r="G16" s="841"/>
      <c r="H16" s="841"/>
      <c r="I16" s="993"/>
      <c r="K16" s="984"/>
      <c r="L16" s="841"/>
      <c r="M16" s="841"/>
      <c r="N16" s="841"/>
      <c r="O16" s="841"/>
      <c r="P16" s="841"/>
      <c r="Q16" s="841"/>
      <c r="R16" s="841"/>
      <c r="U16" s="15"/>
      <c r="X16" s="842" t="s">
        <v>178</v>
      </c>
      <c r="Y16" s="842">
        <f>INPUTS!I13</f>
        <v>0</v>
      </c>
    </row>
    <row r="17" spans="2:33">
      <c r="B17" s="1200" t="s">
        <v>625</v>
      </c>
      <c r="C17" s="1207"/>
      <c r="D17" s="1207"/>
      <c r="E17" s="1207"/>
      <c r="F17" s="1207"/>
      <c r="G17" s="1207"/>
      <c r="H17" s="1207"/>
      <c r="I17" s="1208"/>
      <c r="K17" s="1200" t="s">
        <v>627</v>
      </c>
      <c r="L17" s="1201"/>
      <c r="M17" s="1201"/>
      <c r="N17" s="1201"/>
      <c r="O17" s="1201"/>
      <c r="P17" s="1201"/>
      <c r="Q17" s="1201"/>
      <c r="R17" s="1201"/>
      <c r="S17" s="893"/>
      <c r="T17" s="893"/>
      <c r="U17" s="979"/>
      <c r="X17" s="842" t="s">
        <v>556</v>
      </c>
      <c r="Y17" s="891">
        <f>INPUTS!I12+INPUTS!I14</f>
        <v>0</v>
      </c>
    </row>
    <row r="18" spans="2:33">
      <c r="B18" s="985" t="e">
        <f>WATERFALL!D30</f>
        <v>#DIV/0!</v>
      </c>
      <c r="C18" s="910" t="e">
        <f>$Y$13-3*$C$41</f>
        <v>#VALUE!</v>
      </c>
      <c r="D18" s="910" t="e">
        <f>$Y$13-2*$C$41</f>
        <v>#VALUE!</v>
      </c>
      <c r="E18" s="910" t="e">
        <f>$Y$13-$C$41</f>
        <v>#VALUE!</v>
      </c>
      <c r="F18" s="911" t="e">
        <f>$Y$13</f>
        <v>#VALUE!</v>
      </c>
      <c r="G18" s="910" t="e">
        <f>$Y$13+$C$41</f>
        <v>#VALUE!</v>
      </c>
      <c r="H18" s="910" t="e">
        <f>$Y$13+2*$C$41</f>
        <v>#VALUE!</v>
      </c>
      <c r="I18" s="987" t="e">
        <f>$Y$13+3*$C$41</f>
        <v>#VALUE!</v>
      </c>
      <c r="K18" s="985" t="e">
        <f>WATERFALL!D30</f>
        <v>#DIV/0!</v>
      </c>
      <c r="L18" s="895">
        <v>1</v>
      </c>
      <c r="M18" s="895">
        <v>2</v>
      </c>
      <c r="N18" s="895">
        <v>3</v>
      </c>
      <c r="O18" s="895">
        <v>4</v>
      </c>
      <c r="P18" s="895">
        <v>5</v>
      </c>
      <c r="Q18" s="895">
        <v>6</v>
      </c>
      <c r="R18" s="895">
        <v>7</v>
      </c>
      <c r="S18" s="895">
        <v>8</v>
      </c>
      <c r="T18" s="895">
        <v>9</v>
      </c>
      <c r="U18" s="898">
        <v>10</v>
      </c>
      <c r="X18" s="842" t="s">
        <v>557</v>
      </c>
      <c r="Y18" s="842" t="e">
        <f>'PRO FORMA'!E37/'PRO FORMA'!E17</f>
        <v>#DIV/0!</v>
      </c>
    </row>
    <row r="19" spans="2:33">
      <c r="B19" s="988" t="e">
        <f>$Y$14-3*$C$42</f>
        <v>#VALUE!</v>
      </c>
      <c r="C19" s="919" cm="1">
        <f t="array" aca="1" ref="C19" ca="1">IFERROR(SUMPRODUCT((D46:OFFSET(C46,0,$Y$16)&gt;0)*D46:OFFSET(C46,0,$Y$16))/(SUMPRODUCT((C46:OFFSET(C46,0,$Y$16)&lt;0)*C46:OFFSET(C46,0,$Y$16))*-1),0)</f>
        <v>0</v>
      </c>
      <c r="D19" s="919" cm="1">
        <f t="array" aca="1" ref="D19" ca="1">IFERROR(SUMPRODUCT((D53:OFFSET(C53,0,$Y$16)&gt;0)*D53:OFFSET(C53,0,$Y$16))/(SUMPRODUCT((C53:OFFSET(C53,0,$Y$16)&lt;0)*C53:OFFSET(C53,0,$Y$16))*-1),0)</f>
        <v>0</v>
      </c>
      <c r="E19" s="919" cm="1">
        <f t="array" aca="1" ref="E19" ca="1">IFERROR(SUMPRODUCT((D60:OFFSET(C60,0,$Y$16)&gt;0)*D60:OFFSET(C60,0,$Y$16))/(SUMPRODUCT((C60:OFFSET(C60,0,$Y$16)&lt;0)*C60:OFFSET(C60,0,$Y$16))*-1),0)</f>
        <v>0</v>
      </c>
      <c r="F19" s="919" cm="1">
        <f t="array" aca="1" ref="F19" ca="1">IFERROR(SUMPRODUCT((D67:OFFSET(C67,0,$Y$16)&gt;0)*D67:OFFSET(C67,0,$Y$16))/(SUMPRODUCT((C67:OFFSET(C67,0,$Y$16)&lt;0)*C67:OFFSET(C67,0,$Y$16))*-1),0)</f>
        <v>0</v>
      </c>
      <c r="G19" s="919" cm="1">
        <f t="array" aca="1" ref="G19" ca="1">IFERROR(SUMPRODUCT((D74:OFFSET(C74,0,$Y$16)&gt;0)*D74:OFFSET(C74,0,$Y$16))/(SUMPRODUCT((C74:OFFSET(C74,0,$Y$16)&lt;0)*C74:OFFSET(C74,0,$Y$16))*-1),0)</f>
        <v>0</v>
      </c>
      <c r="H19" s="919" cm="1">
        <f t="array" aca="1" ref="H19" ca="1">IFERROR(SUMPRODUCT((D81:OFFSET(C81,0,$Y$16)&gt;0)*D81:OFFSET(C81,0,$Y$16))/(SUMPRODUCT((C81:OFFSET(C81,0,$Y$16)&lt;0)*C81:OFFSET(C81,0,$Y$16))*-1),0)</f>
        <v>0</v>
      </c>
      <c r="I19" s="994" cm="1">
        <f t="array" aca="1" ref="I19" ca="1">IFERROR(SUMPRODUCT((D88:OFFSET(C88,0,$Y$16)&gt;0)*D88:OFFSET(C88,0,$Y$16))/(SUMPRODUCT((C88:OFFSET(C88,0,$Y$16)&lt;0)*C88:OFFSET(C88,0,$Y$16))*-1),0)</f>
        <v>0</v>
      </c>
      <c r="K19" s="981">
        <f>$Y$15-3*$C$43</f>
        <v>-0.30000000000000004</v>
      </c>
      <c r="L19" s="902" cm="1">
        <f t="array" aca="1" ref="L19" ca="1">IFERROR(SUMPRODUCT((C96:OFFSET(C96,0,L$18)&gt;0)*C96:OFFSET(C96,0,L$18))/(SUMPRODUCT((C96:OFFSET(C96,0,L$18)&lt;0)*C96:OFFSET(C96,0,L$18))*-1),0)</f>
        <v>0</v>
      </c>
      <c r="M19" s="902" cm="1">
        <f t="array" aca="1" ref="M19" ca="1">IFERROR(SUMPRODUCT((C103:OFFSET(C103,0,M$18)&gt;0)*C103:OFFSET(C103,0,M$18))/(SUMPRODUCT((C103:OFFSET(C103,0,M$18)&lt;0)*C103:OFFSET(C103,0,M$18))*-1),0)</f>
        <v>0</v>
      </c>
      <c r="N19" s="902" cm="1">
        <f t="array" aca="1" ref="N19" ca="1">IFERROR(SUMPRODUCT((C110:OFFSET(C110,0,N$18)&gt;0)*C110:OFFSET(C110,0,N$18))/(SUMPRODUCT((C110:OFFSET(C110,0,N$18)&lt;0)*C110:OFFSET(C110,0,N$18))*-1),0)</f>
        <v>0</v>
      </c>
      <c r="O19" s="902" cm="1">
        <f t="array" aca="1" ref="O19" ca="1">IFERROR(SUMPRODUCT((C117:OFFSET(C117,0,O$18)&gt;0)*C117:OFFSET(C117,0,O$18))/(SUMPRODUCT((C117:OFFSET(C117,0,O$18)&lt;0)*C117:OFFSET(C117,0,O$18))*-1),0)</f>
        <v>0</v>
      </c>
      <c r="P19" s="902" cm="1">
        <f t="array" aca="1" ref="P19" ca="1">IFERROR(SUMPRODUCT((C124:OFFSET(C124,0,P$18)&gt;0)*C124:OFFSET(C124,0,P$18))/(SUMPRODUCT((C124:OFFSET(C124,0,P$18)&lt;0)*C124:OFFSET(C124,0,P$18))*-1),0)</f>
        <v>0</v>
      </c>
      <c r="Q19" s="902" cm="1">
        <f t="array" aca="1" ref="Q19" ca="1">IFERROR(SUMPRODUCT((C131:OFFSET(C131,0,Q$18)&gt;0)*C131:OFFSET(C131,0,Q$18))/(SUMPRODUCT((C131:OFFSET(C131,0,Q$18)&lt;0)*C131:OFFSET(C131,0,Q$18))*-1),0)</f>
        <v>0</v>
      </c>
      <c r="R19" s="902" cm="1">
        <f t="array" aca="1" ref="R19" ca="1">IFERROR(SUMPRODUCT((C138:OFFSET(C138,0,R$18)&gt;0)*C138:OFFSET(C138,0,R$18))/(SUMPRODUCT((C138:OFFSET(C138,0,R$18)&lt;0)*C138:OFFSET(C138,0,R$18))*-1),0)</f>
        <v>0</v>
      </c>
      <c r="S19" s="902" cm="1">
        <f t="array" aca="1" ref="S19" ca="1">IFERROR(SUMPRODUCT((C145:OFFSET(C145,0,S$18)&gt;0)*C145:OFFSET(C145,0,S$18))/(SUMPRODUCT((C145:OFFSET(C145,0,S$18)&lt;0)*C145:OFFSET(C145,0,S$18))*-1),0)</f>
        <v>0</v>
      </c>
      <c r="T19" s="902" cm="1">
        <f t="array" aca="1" ref="T19" ca="1">IFERROR(SUMPRODUCT((C152:OFFSET(C152,0,T$18)&gt;0)*C152:OFFSET(C152,0,T$18))/(SUMPRODUCT((C152:OFFSET(C152,0,T$18)&lt;0)*C152:OFFSET(C152,0,T$18))*-1),0)</f>
        <v>0</v>
      </c>
      <c r="U19" s="905" cm="1">
        <f t="array" aca="1" ref="U19" ca="1">IFERROR(SUMPRODUCT((C159:OFFSET(C159,0,U$18)&gt;0)*C159:OFFSET(C159,0,U$18))/(SUMPRODUCT((C159:OFFSET(C159,0,U$18)&lt;0)*C159:OFFSET(C159,0,U$18))*-1),0)</f>
        <v>0</v>
      </c>
      <c r="X19" s="842" t="s">
        <v>756</v>
      </c>
      <c r="Y19" s="842" t="e">
        <f>'PRO FORMA'!E35/'PRO FORMA'!E22</f>
        <v>#DIV/0!</v>
      </c>
    </row>
    <row r="20" spans="2:33">
      <c r="B20" s="988" t="e">
        <f>$Y$14-2*$C$42</f>
        <v>#VALUE!</v>
      </c>
      <c r="C20" s="919" cm="1">
        <f t="array" aca="1" ref="C20" ca="1">IFERROR(SUMPRODUCT((D47:OFFSET(C47,0,$Y$16)&gt;0)*D47:OFFSET(C47,0,$Y$16))/(SUMPRODUCT((C47:OFFSET(C47,0,$Y$16)&lt;0)*C47:OFFSET(C47,0,$Y$16))*-1),0)</f>
        <v>0</v>
      </c>
      <c r="D20" s="919" cm="1">
        <f t="array" aca="1" ref="D20" ca="1">IFERROR(SUMPRODUCT((D54:OFFSET(C54,0,$Y$16)&gt;0)*D54:OFFSET(C54,0,$Y$16))/(SUMPRODUCT((C54:OFFSET(C54,0,$Y$16)&lt;0)*C54:OFFSET(C54,0,$Y$16))*-1),0)</f>
        <v>0</v>
      </c>
      <c r="E20" s="919" cm="1">
        <f t="array" aca="1" ref="E20" ca="1">IFERROR(SUMPRODUCT((D61:OFFSET(C61,0,$Y$16)&gt;0)*D61:OFFSET(C61,0,$Y$16))/(SUMPRODUCT((C61:OFFSET(C61,0,$Y$16)&lt;0)*C61:OFFSET(C61,0,$Y$16))*-1),0)</f>
        <v>0</v>
      </c>
      <c r="F20" s="919" cm="1">
        <f t="array" aca="1" ref="F20" ca="1">IFERROR(SUMPRODUCT((D68:OFFSET(C68,0,$Y$16)&gt;0)*D68:OFFSET(C68,0,$Y$16))/(SUMPRODUCT((C68:OFFSET(C68,0,$Y$16)&lt;0)*C68:OFFSET(C68,0,$Y$16))*-1),0)</f>
        <v>0</v>
      </c>
      <c r="G20" s="919" cm="1">
        <f t="array" aca="1" ref="G20" ca="1">IFERROR(SUMPRODUCT((D75:OFFSET(C75,0,$Y$16)&gt;0)*D75:OFFSET(C75,0,$Y$16))/(SUMPRODUCT((C75:OFFSET(C75,0,$Y$16)&lt;0)*C75:OFFSET(C75,0,$Y$16))*-1),0)</f>
        <v>0</v>
      </c>
      <c r="H20" s="919" cm="1">
        <f t="array" aca="1" ref="H20" ca="1">IFERROR(SUMPRODUCT((D82:OFFSET(C82,0,$Y$16)&gt;0)*D82:OFFSET(C82,0,$Y$16))/(SUMPRODUCT((C82:OFFSET(C82,0,$Y$16)&lt;0)*C82:OFFSET(C82,0,$Y$16))*-1),0)</f>
        <v>0</v>
      </c>
      <c r="I20" s="994" cm="1">
        <f t="array" aca="1" ref="I20" ca="1">IFERROR(SUMPRODUCT((D89:OFFSET(C89,0,$Y$16)&gt;0)*D89:OFFSET(C89,0,$Y$16))/(SUMPRODUCT((C89:OFFSET(C89,0,$Y$16)&lt;0)*C89:OFFSET(C89,0,$Y$16))*-1),0)</f>
        <v>0</v>
      </c>
      <c r="K20" s="981">
        <f>$Y$15-2*$C$43</f>
        <v>-0.2</v>
      </c>
      <c r="L20" s="902" cm="1">
        <f t="array" aca="1" ref="L20" ca="1">IFERROR(SUMPRODUCT((C97:OFFSET(C97,0,L$18)&gt;0)*C97:OFFSET(C97,0,L$18))/(SUMPRODUCT((C97:OFFSET(C97,0,L$18)&lt;0)*C97:OFFSET(C97,0,L$18))*-1),0)</f>
        <v>0</v>
      </c>
      <c r="M20" s="902" cm="1">
        <f t="array" aca="1" ref="M20" ca="1">IFERROR(SUMPRODUCT((C104:OFFSET(C104,0,M$18)&gt;0)*C104:OFFSET(C104,0,M$18))/(SUMPRODUCT((C104:OFFSET(C104,0,M$18)&lt;0)*C104:OFFSET(C104,0,M$18))*-1),0)</f>
        <v>0</v>
      </c>
      <c r="N20" s="902" cm="1">
        <f t="array" aca="1" ref="N20" ca="1">IFERROR(SUMPRODUCT((C111:OFFSET(C111,0,N$18)&gt;0)*C111:OFFSET(C111,0,N$18))/(SUMPRODUCT((C111:OFFSET(C111,0,N$18)&lt;0)*C111:OFFSET(C111,0,N$18))*-1),0)</f>
        <v>0</v>
      </c>
      <c r="O20" s="902" cm="1">
        <f t="array" aca="1" ref="O20" ca="1">IFERROR(SUMPRODUCT((C118:OFFSET(C118,0,O$18)&gt;0)*C118:OFFSET(C118,0,O$18))/(SUMPRODUCT((C118:OFFSET(C118,0,O$18)&lt;0)*C118:OFFSET(C118,0,O$18))*-1),0)</f>
        <v>0</v>
      </c>
      <c r="P20" s="902" cm="1">
        <f t="array" aca="1" ref="P20" ca="1">IFERROR(SUMPRODUCT((C125:OFFSET(C125,0,P$18)&gt;0)*C125:OFFSET(C125,0,P$18))/(SUMPRODUCT((C125:OFFSET(C125,0,P$18)&lt;0)*C125:OFFSET(C125,0,P$18))*-1),0)</f>
        <v>0</v>
      </c>
      <c r="Q20" s="902" cm="1">
        <f t="array" aca="1" ref="Q20" ca="1">IFERROR(SUMPRODUCT((C132:OFFSET(C132,0,Q$18)&gt;0)*C132:OFFSET(C132,0,Q$18))/(SUMPRODUCT((C132:OFFSET(C132,0,Q$18)&lt;0)*C132:OFFSET(C132,0,Q$18))*-1),0)</f>
        <v>0</v>
      </c>
      <c r="R20" s="902" cm="1">
        <f t="array" aca="1" ref="R20" ca="1">IFERROR(SUMPRODUCT((C139:OFFSET(C139,0,R$18)&gt;0)*C139:OFFSET(C139,0,R$18))/(SUMPRODUCT((C139:OFFSET(C139,0,R$18)&lt;0)*C139:OFFSET(C139,0,R$18))*-1),0)</f>
        <v>0</v>
      </c>
      <c r="S20" s="902" cm="1">
        <f t="array" aca="1" ref="S20" ca="1">IFERROR(SUMPRODUCT((C146:OFFSET(C146,0,S$18)&gt;0)*C146:OFFSET(C146,0,S$18))/(SUMPRODUCT((C146:OFFSET(C146,0,S$18)&lt;0)*C146:OFFSET(C146,0,S$18))*-1),0)</f>
        <v>0</v>
      </c>
      <c r="T20" s="902" cm="1">
        <f t="array" aca="1" ref="T20" ca="1">IFERROR(SUMPRODUCT((C153:OFFSET(C153,0,T$18)&gt;0)*C153:OFFSET(C153,0,T$18))/(SUMPRODUCT((C153:OFFSET(C153,0,T$18)&lt;0)*C153:OFFSET(C153,0,T$18))*-1),0)</f>
        <v>0</v>
      </c>
      <c r="U20" s="905" cm="1">
        <f t="array" aca="1" ref="U20" ca="1">IFERROR(SUMPRODUCT((C160:OFFSET(C160,0,U$18)&gt;0)*C160:OFFSET(C160,0,U$18))/(SUMPRODUCT((C160:OFFSET(C160,0,U$18)&lt;0)*C160:OFFSET(C160,0,U$18))*-1),0)</f>
        <v>0</v>
      </c>
      <c r="X20" s="842" t="s">
        <v>753</v>
      </c>
      <c r="Y20" s="842">
        <f>PROJECTIONS!J27</f>
        <v>0</v>
      </c>
    </row>
    <row r="21" spans="2:33">
      <c r="B21" s="988" t="e">
        <f>$Y$14-$C$42</f>
        <v>#VALUE!</v>
      </c>
      <c r="C21" s="919" cm="1">
        <f t="array" aca="1" ref="C21" ca="1">IFERROR(SUMPRODUCT((D48:OFFSET(C48,0,$Y$16)&gt;0)*D48:OFFSET(C48,0,$Y$16))/(SUMPRODUCT((C48:OFFSET(C48,0,$Y$16)&lt;0)*C48:OFFSET(C48,0,$Y$16))*-1),0)</f>
        <v>0</v>
      </c>
      <c r="D21" s="919" cm="1">
        <f t="array" aca="1" ref="D21" ca="1">IFERROR(SUMPRODUCT((D55:OFFSET(C55,0,$Y$16)&gt;0)*D55:OFFSET(C55,0,$Y$16))/(SUMPRODUCT((C55:OFFSET(C55,0,$Y$16)&lt;0)*C55:OFFSET(C55,0,$Y$16))*-1),0)</f>
        <v>0</v>
      </c>
      <c r="E21" s="919" cm="1">
        <f t="array" aca="1" ref="E21" ca="1">IFERROR(SUMPRODUCT((D62:OFFSET(C62,0,$Y$16)&gt;0)*D62:OFFSET(C62,0,$Y$16))/(SUMPRODUCT((C62:OFFSET(C62,0,$Y$16)&lt;0)*C62:OFFSET(C62,0,$Y$16))*-1),0)</f>
        <v>0</v>
      </c>
      <c r="F21" s="919" cm="1">
        <f t="array" aca="1" ref="F21" ca="1">IFERROR(SUMPRODUCT((D69:OFFSET(C69,0,$Y$16)&gt;0)*D69:OFFSET(C69,0,$Y$16))/(SUMPRODUCT((C69:OFFSET(C69,0,$Y$16)&lt;0)*C69:OFFSET(C69,0,$Y$16))*-1),0)</f>
        <v>0</v>
      </c>
      <c r="G21" s="919" cm="1">
        <f t="array" aca="1" ref="G21" ca="1">IFERROR(SUMPRODUCT((D76:OFFSET(C76,0,$Y$16)&gt;0)*D76:OFFSET(C76,0,$Y$16))/(SUMPRODUCT((C76:OFFSET(C76,0,$Y$16)&lt;0)*C76:OFFSET(C76,0,$Y$16))*-1),0)</f>
        <v>0</v>
      </c>
      <c r="H21" s="919" cm="1">
        <f t="array" aca="1" ref="H21" ca="1">IFERROR(SUMPRODUCT((D83:OFFSET(C83,0,$Y$16)&gt;0)*D83:OFFSET(C83,0,$Y$16))/(SUMPRODUCT((C83:OFFSET(C83,0,$Y$16)&lt;0)*C83:OFFSET(C83,0,$Y$16))*-1),0)</f>
        <v>0</v>
      </c>
      <c r="I21" s="994" cm="1">
        <f t="array" aca="1" ref="I21" ca="1">IFERROR(SUMPRODUCT((D90:OFFSET(C90,0,$Y$16)&gt;0)*D90:OFFSET(C90,0,$Y$16))/(SUMPRODUCT((C90:OFFSET(C90,0,$Y$16)&lt;0)*C90:OFFSET(C90,0,$Y$16))*-1),0)</f>
        <v>0</v>
      </c>
      <c r="K21" s="981">
        <f>$Y$15-$C$43</f>
        <v>-0.1</v>
      </c>
      <c r="L21" s="902" cm="1">
        <f t="array" aca="1" ref="L21" ca="1">IFERROR(SUMPRODUCT((C98:OFFSET(C98,0,L$18)&gt;0)*C98:OFFSET(C98,0,L$18))/(SUMPRODUCT((C98:OFFSET(C98,0,L$18)&lt;0)*C98:OFFSET(C98,0,L$18))*-1),0)</f>
        <v>0</v>
      </c>
      <c r="M21" s="902" cm="1">
        <f t="array" aca="1" ref="M21" ca="1">IFERROR(SUMPRODUCT((C105:OFFSET(C105,0,M$18)&gt;0)*C105:OFFSET(C105,0,M$18))/(SUMPRODUCT((C105:OFFSET(C105,0,M$18)&lt;0)*C105:OFFSET(C105,0,M$18))*-1),0)</f>
        <v>0</v>
      </c>
      <c r="N21" s="902" cm="1">
        <f t="array" aca="1" ref="N21" ca="1">IFERROR(SUMPRODUCT((C112:OFFSET(C112,0,N$18)&gt;0)*C112:OFFSET(C112,0,N$18))/(SUMPRODUCT((C112:OFFSET(C112,0,N$18)&lt;0)*C112:OFFSET(C112,0,N$18))*-1),0)</f>
        <v>0</v>
      </c>
      <c r="O21" s="902" cm="1">
        <f t="array" aca="1" ref="O21" ca="1">IFERROR(SUMPRODUCT((C119:OFFSET(C119,0,O$18)&gt;0)*C119:OFFSET(C119,0,O$18))/(SUMPRODUCT((C119:OFFSET(C119,0,O$18)&lt;0)*C119:OFFSET(C119,0,O$18))*-1),0)</f>
        <v>0</v>
      </c>
      <c r="P21" s="902" cm="1">
        <f t="array" aca="1" ref="P21" ca="1">IFERROR(SUMPRODUCT((C126:OFFSET(C126,0,P$18)&gt;0)*C126:OFFSET(C126,0,P$18))/(SUMPRODUCT((C126:OFFSET(C126,0,P$18)&lt;0)*C126:OFFSET(C126,0,P$18))*-1),0)</f>
        <v>0</v>
      </c>
      <c r="Q21" s="902" cm="1">
        <f t="array" aca="1" ref="Q21" ca="1">IFERROR(SUMPRODUCT((C133:OFFSET(C133,0,Q$18)&gt;0)*C133:OFFSET(C133,0,Q$18))/(SUMPRODUCT((C133:OFFSET(C133,0,Q$18)&lt;0)*C133:OFFSET(C133,0,Q$18))*-1),0)</f>
        <v>0</v>
      </c>
      <c r="R21" s="902" cm="1">
        <f t="array" aca="1" ref="R21" ca="1">IFERROR(SUMPRODUCT((C140:OFFSET(C140,0,R$18)&gt;0)*C140:OFFSET(C140,0,R$18))/(SUMPRODUCT((C140:OFFSET(C140,0,R$18)&lt;0)*C140:OFFSET(C140,0,R$18))*-1),0)</f>
        <v>0</v>
      </c>
      <c r="S21" s="902" cm="1">
        <f t="array" aca="1" ref="S21" ca="1">IFERROR(SUMPRODUCT((C147:OFFSET(C147,0,S$18)&gt;0)*C147:OFFSET(C147,0,S$18))/(SUMPRODUCT((C147:OFFSET(C147,0,S$18)&lt;0)*C147:OFFSET(C147,0,S$18))*-1),0)</f>
        <v>0</v>
      </c>
      <c r="T21" s="902" cm="1">
        <f t="array" aca="1" ref="T21" ca="1">IFERROR(SUMPRODUCT((C154:OFFSET(C154,0,T$18)&gt;0)*C154:OFFSET(C154,0,T$18))/(SUMPRODUCT((C154:OFFSET(C154,0,T$18)&lt;0)*C154:OFFSET(C154,0,T$18))*-1),0)</f>
        <v>0</v>
      </c>
      <c r="U21" s="905" cm="1">
        <f t="array" aca="1" ref="U21" ca="1">IFERROR(SUMPRODUCT((C161:OFFSET(C161,0,U$18)&gt;0)*C161:OFFSET(C161,0,U$18))/(SUMPRODUCT((C161:OFFSET(C161,0,U$18)&lt;0)*C161:OFFSET(C161,0,U$18))*-1),0)</f>
        <v>0</v>
      </c>
      <c r="X21" s="892" t="s">
        <v>636</v>
      </c>
      <c r="Y21" s="842">
        <f>INPUTS!$F$13</f>
        <v>0</v>
      </c>
    </row>
    <row r="22" spans="2:33">
      <c r="B22" s="990" t="e">
        <f>$Y$14</f>
        <v>#VALUE!</v>
      </c>
      <c r="C22" s="919" cm="1">
        <f t="array" aca="1" ref="C22" ca="1">IFERROR(SUMPRODUCT((D49:OFFSET(C49,0,$Y$16)&gt;0)*D49:OFFSET(C49,0,$Y$16))/(SUMPRODUCT((C49:OFFSET(C49,0,$Y$16)&lt;0)*C49:OFFSET(C49,0,$Y$16))*-1),0)</f>
        <v>0</v>
      </c>
      <c r="D22" s="919" cm="1">
        <f t="array" aca="1" ref="D22" ca="1">IFERROR(SUMPRODUCT((D56:OFFSET(C56,0,$Y$16)&gt;0)*D56:OFFSET(C56,0,$Y$16))/(SUMPRODUCT((C56:OFFSET(C56,0,$Y$16)&lt;0)*C56:OFFSET(C56,0,$Y$16))*-1),0)</f>
        <v>0</v>
      </c>
      <c r="E22" s="919" cm="1">
        <f t="array" aca="1" ref="E22" ca="1">IFERROR(SUMPRODUCT((D63:OFFSET(C63,0,$Y$16)&gt;0)*D63:OFFSET(C63,0,$Y$16))/(SUMPRODUCT((C63:OFFSET(C63,0,$Y$16)&lt;0)*C63:OFFSET(C63,0,$Y$16))*-1),0)</f>
        <v>0</v>
      </c>
      <c r="F22" s="920" cm="1">
        <f t="array" aca="1" ref="F22" ca="1">IFERROR(SUMPRODUCT((D70:OFFSET(C70,0,$Y$16)&gt;0)*D70:OFFSET(C70,0,$Y$16))/(SUMPRODUCT((C70:OFFSET(C70,0,$Y$16)&lt;0)*C70:OFFSET(C70,0,$Y$16))*-1),0)</f>
        <v>0</v>
      </c>
      <c r="G22" s="919" cm="1">
        <f t="array" aca="1" ref="G22" ca="1">IFERROR(SUMPRODUCT((D77:OFFSET(C77,0,$Y$16)&gt;0)*D77:OFFSET(C77,0,$Y$16))/(SUMPRODUCT((C77:OFFSET(C77,0,$Y$16)&lt;0)*C77:OFFSET(C77,0,$Y$16))*-1),0)</f>
        <v>0</v>
      </c>
      <c r="H22" s="919" cm="1">
        <f t="array" aca="1" ref="H22" ca="1">IFERROR(SUMPRODUCT((D84:OFFSET(C84,0,$Y$16)&gt;0)*D84:OFFSET(C84,0,$Y$16))/(SUMPRODUCT((C84:OFFSET(C84,0,$Y$16)&lt;0)*C84:OFFSET(C84,0,$Y$16))*-1),0)</f>
        <v>0</v>
      </c>
      <c r="I22" s="994" cm="1">
        <f t="array" aca="1" ref="I22" ca="1">IFERROR(SUMPRODUCT((D91:OFFSET(C91,0,$Y$16)&gt;0)*D91:OFFSET(C91,0,$Y$16))/(SUMPRODUCT((C91:OFFSET(C91,0,$Y$16)&lt;0)*C91:OFFSET(C91,0,$Y$16))*-1),0)</f>
        <v>0</v>
      </c>
      <c r="K22" s="982">
        <f>$Y$15</f>
        <v>0</v>
      </c>
      <c r="L22" s="902" cm="1">
        <f t="array" aca="1" ref="L22" ca="1">IFERROR(SUMPRODUCT((C99:OFFSET(C99,0,L$18)&gt;0)*C99:OFFSET(C99,0,L$18))/(SUMPRODUCT((C99:OFFSET(C99,0,L$18)&lt;0)*C99:OFFSET(C99,0,L$18))*-1),0)</f>
        <v>0</v>
      </c>
      <c r="M22" s="902" cm="1">
        <f t="array" aca="1" ref="M22" ca="1">IFERROR(SUMPRODUCT((C106:OFFSET(C106,0,M$18)&gt;0)*C106:OFFSET(C106,0,M$18))/(SUMPRODUCT((C106:OFFSET(C106,0,M$18)&lt;0)*C106:OFFSET(C106,0,M$18))*-1),0)</f>
        <v>0</v>
      </c>
      <c r="N22" s="902" cm="1">
        <f t="array" aca="1" ref="N22" ca="1">IFERROR(SUMPRODUCT((C113:OFFSET(C113,0,N$18)&gt;0)*C113:OFFSET(C113,0,N$18))/(SUMPRODUCT((C113:OFFSET(C113,0,N$18)&lt;0)*C113:OFFSET(C113,0,N$18))*-1),0)</f>
        <v>0</v>
      </c>
      <c r="O22" s="902" cm="1">
        <f t="array" aca="1" ref="O22" ca="1">IFERROR(SUMPRODUCT((C120:OFFSET(C120,0,O$18)&gt;0)*C120:OFFSET(C120,0,O$18))/(SUMPRODUCT((C120:OFFSET(C120,0,O$18)&lt;0)*C120:OFFSET(C120,0,O$18))*-1),0)</f>
        <v>0</v>
      </c>
      <c r="P22" s="902" cm="1">
        <f t="array" aca="1" ref="P22" ca="1">IFERROR(SUMPRODUCT((C127:OFFSET(C127,0,P$18)&gt;0)*C127:OFFSET(C127,0,P$18))/(SUMPRODUCT((C127:OFFSET(C127,0,P$18)&lt;0)*C127:OFFSET(C127,0,P$18))*-1),0)</f>
        <v>0</v>
      </c>
      <c r="Q22" s="902" cm="1">
        <f t="array" aca="1" ref="Q22" ca="1">IFERROR(SUMPRODUCT((C134:OFFSET(C134,0,Q$18)&gt;0)*C134:OFFSET(C134,0,Q$18))/(SUMPRODUCT((C134:OFFSET(C134,0,Q$18)&lt;0)*C134:OFFSET(C134,0,Q$18))*-1),0)</f>
        <v>0</v>
      </c>
      <c r="R22" s="902" cm="1">
        <f t="array" aca="1" ref="R22" ca="1">IFERROR(SUMPRODUCT((C141:OFFSET(C141,0,R$18)&gt;0)*C141:OFFSET(C141,0,R$18))/(SUMPRODUCT((C141:OFFSET(C141,0,R$18)&lt;0)*C141:OFFSET(C141,0,R$18))*-1),0)</f>
        <v>0</v>
      </c>
      <c r="S22" s="902" cm="1">
        <f t="array" aca="1" ref="S22" ca="1">IFERROR(SUMPRODUCT((C148:OFFSET(C148,0,S$18)&gt;0)*C148:OFFSET(C148,0,S$18))/(SUMPRODUCT((C148:OFFSET(C148,0,S$18)&lt;0)*C148:OFFSET(C148,0,S$18))*-1),0)</f>
        <v>0</v>
      </c>
      <c r="T22" s="902" cm="1">
        <f t="array" aca="1" ref="T22" ca="1">IFERROR(SUMPRODUCT((C155:OFFSET(C155,0,T$18)&gt;0)*C155:OFFSET(C155,0,T$18))/(SUMPRODUCT((C155:OFFSET(C155,0,T$18)&lt;0)*C155:OFFSET(C155,0,T$18))*-1),0)</f>
        <v>0</v>
      </c>
      <c r="U22" s="906" cm="1">
        <f t="array" aca="1" ref="U22" ca="1">IFERROR(SUMPRODUCT((C162:OFFSET(C162,0,U$18)&gt;0)*C162:OFFSET(C162,0,U$18))/(SUMPRODUCT((C162:OFFSET(C162,0,U$18)&lt;0)*C162:OFFSET(C162,0,U$18))*-1),0)</f>
        <v>0</v>
      </c>
      <c r="X22" s="842" t="s">
        <v>560</v>
      </c>
      <c r="Y22" s="842" cm="1">
        <f t="array" ref="Y22">IFERROR(IF(AND(INPUTS!C33&lt;&gt;"",INPUTS!C33&lt;INPUTS!I13),INDEX(DEBT!V19:V379,MATCH((INPUTS!I13-INPUTS!C33)*12,DEBT!R19:R379,0))-INDEX(DEBT!Y19:Y379,MATCH((INPUTS!I13-INPUTS!C33)*12,DEBT!R19:R379,0)),INDEX(DEBT!G19:G379,MATCH(INPUTS!I13*12,DEBT!C19:C379,0))-INDEX(DEBT!J19:J379,MATCH(INPUTS!I13*12,DEBT!C19:C379,0))),0)+IF(AND(INPUTS!C24="Yes",OR(INPUTS!C33="",INPUTS!C33&gt;=INPUTS!I13)),IFERROR(INDEX(DEBT!$AO$21:$AO$30,INPUTS!I13),0),0)</f>
        <v>0</v>
      </c>
    </row>
    <row r="23" spans="2:33">
      <c r="B23" s="988" t="e">
        <f>$Y$14+$C$42</f>
        <v>#VALUE!</v>
      </c>
      <c r="C23" s="919" cm="1">
        <f t="array" aca="1" ref="C23" ca="1">IFERROR(SUMPRODUCT((D50:OFFSET(C50,0,$Y$16)&gt;0)*D50:OFFSET(C50,0,$Y$16))/(SUMPRODUCT((C50:OFFSET(C50,0,$Y$16)&lt;0)*C50:OFFSET(C50,0,$Y$16))*-1),0)</f>
        <v>0</v>
      </c>
      <c r="D23" s="919" cm="1">
        <f t="array" aca="1" ref="D23" ca="1">IFERROR(SUMPRODUCT((D57:OFFSET(C57,0,$Y$16)&gt;0)*D57:OFFSET(C57,0,$Y$16))/(SUMPRODUCT((C57:OFFSET(C57,0,$Y$16)&lt;0)*C57:OFFSET(C57,0,$Y$16))*-1),0)</f>
        <v>0</v>
      </c>
      <c r="E23" s="919" cm="1">
        <f t="array" aca="1" ref="E23" ca="1">IFERROR(SUMPRODUCT((D64:OFFSET(C64,0,$Y$16)&gt;0)*D64:OFFSET(C64,0,$Y$16))/(SUMPRODUCT((C64:OFFSET(C64,0,$Y$16)&lt;0)*C64:OFFSET(C64,0,$Y$16))*-1),0)</f>
        <v>0</v>
      </c>
      <c r="F23" s="919" cm="1">
        <f t="array" aca="1" ref="F23" ca="1">IFERROR(SUMPRODUCT((D71:OFFSET(C71,0,$Y$16)&gt;0)*D71:OFFSET(C71,0,$Y$16))/(SUMPRODUCT((C71:OFFSET(C71,0,$Y$16)&lt;0)*C71:OFFSET(C71,0,$Y$16))*-1),0)</f>
        <v>0</v>
      </c>
      <c r="G23" s="919" cm="1">
        <f t="array" aca="1" ref="G23" ca="1">IFERROR(SUMPRODUCT((D78:OFFSET(C78,0,$Y$16)&gt;0)*D78:OFFSET(C78,0,$Y$16))/(SUMPRODUCT((C78:OFFSET(C78,0,$Y$16)&lt;0)*C78:OFFSET(C78,0,$Y$16))*-1),0)</f>
        <v>0</v>
      </c>
      <c r="H23" s="919" cm="1">
        <f t="array" aca="1" ref="H23" ca="1">IFERROR(SUMPRODUCT((D85:OFFSET(C85,0,$Y$16)&gt;0)*D85:OFFSET(C85,0,$Y$16))/(SUMPRODUCT((C85:OFFSET(C85,0,$Y$16)&lt;0)*C85:OFFSET(C85,0,$Y$16))*-1),0)</f>
        <v>0</v>
      </c>
      <c r="I23" s="994" cm="1">
        <f t="array" aca="1" ref="I23" ca="1">IFERROR(SUMPRODUCT((D92:OFFSET(C92,0,$Y$16)&gt;0)*D92:OFFSET(C92,0,$Y$16))/(SUMPRODUCT((C92:OFFSET(C92,0,$Y$16)&lt;0)*C92:OFFSET(C92,0,$Y$16))*-1),0)</f>
        <v>0</v>
      </c>
      <c r="K23" s="981">
        <f>$Y$15+$C$43</f>
        <v>0.1</v>
      </c>
      <c r="L23" s="902" cm="1">
        <f t="array" aca="1" ref="L23" ca="1">IFERROR(SUMPRODUCT((C100:OFFSET(C100,0,L$18)&gt;0)*C100:OFFSET(C100,0,L$18))/(SUMPRODUCT((C100:OFFSET(C100,0,L$18)&lt;0)*C100:OFFSET(C100,0,L$18))*-1),0)</f>
        <v>0</v>
      </c>
      <c r="M23" s="902" cm="1">
        <f t="array" aca="1" ref="M23" ca="1">IFERROR(SUMPRODUCT((C107:OFFSET(C107,0,M$18)&gt;0)*C107:OFFSET(C107,0,M$18))/(SUMPRODUCT((C107:OFFSET(C107,0,M$18)&lt;0)*C107:OFFSET(C107,0,M$18))*-1),0)</f>
        <v>0</v>
      </c>
      <c r="N23" s="902" cm="1">
        <f t="array" aca="1" ref="N23" ca="1">IFERROR(SUMPRODUCT((C114:OFFSET(C114,0,N$18)&gt;0)*C114:OFFSET(C114,0,N$18))/(SUMPRODUCT((C114:OFFSET(C114,0,N$18)&lt;0)*C114:OFFSET(C114,0,N$18))*-1),0)</f>
        <v>0</v>
      </c>
      <c r="O23" s="902" cm="1">
        <f t="array" aca="1" ref="O23" ca="1">IFERROR(SUMPRODUCT((C121:OFFSET(C121,0,O$18)&gt;0)*C121:OFFSET(C121,0,O$18))/(SUMPRODUCT((C121:OFFSET(C121,0,O$18)&lt;0)*C121:OFFSET(C121,0,O$18))*-1),0)</f>
        <v>0</v>
      </c>
      <c r="P23" s="902" cm="1">
        <f t="array" aca="1" ref="P23" ca="1">IFERROR(SUMPRODUCT((C128:OFFSET(C128,0,P$18)&gt;0)*C128:OFFSET(C128,0,P$18))/(SUMPRODUCT((C128:OFFSET(C128,0,P$18)&lt;0)*C128:OFFSET(C128,0,P$18))*-1),0)</f>
        <v>0</v>
      </c>
      <c r="Q23" s="902" cm="1">
        <f t="array" aca="1" ref="Q23" ca="1">IFERROR(SUMPRODUCT((C135:OFFSET(C135,0,Q$18)&gt;0)*C135:OFFSET(C135,0,Q$18))/(SUMPRODUCT((C135:OFFSET(C135,0,Q$18)&lt;0)*C135:OFFSET(C135,0,Q$18))*-1),0)</f>
        <v>0</v>
      </c>
      <c r="R23" s="902" cm="1">
        <f t="array" aca="1" ref="R23" ca="1">IFERROR(SUMPRODUCT((C142:OFFSET(C142,0,R$18)&gt;0)*C142:OFFSET(C142,0,R$18))/(SUMPRODUCT((C142:OFFSET(C142,0,R$18)&lt;0)*C142:OFFSET(C142,0,R$18))*-1),0)</f>
        <v>0</v>
      </c>
      <c r="S23" s="902" cm="1">
        <f t="array" aca="1" ref="S23" ca="1">IFERROR(SUMPRODUCT((C149:OFFSET(C149,0,S$18)&gt;0)*C149:OFFSET(C149,0,S$18))/(SUMPRODUCT((C149:OFFSET(C149,0,S$18)&lt;0)*C149:OFFSET(C149,0,S$18))*-1),0)</f>
        <v>0</v>
      </c>
      <c r="T23" s="902" cm="1">
        <f t="array" aca="1" ref="T23" ca="1">IFERROR(SUMPRODUCT((C156:OFFSET(C156,0,T$18)&gt;0)*C156:OFFSET(C156,0,T$18))/(SUMPRODUCT((C156:OFFSET(C156,0,T$18)&lt;0)*C156:OFFSET(C156,0,T$18))*-1),0)</f>
        <v>0</v>
      </c>
      <c r="U23" s="905" cm="1">
        <f t="array" aca="1" ref="U23" ca="1">IFERROR(SUMPRODUCT((C163:OFFSET(C163,0,U$18)&gt;0)*C163:OFFSET(C163,0,U$18))/(SUMPRODUCT((C163:OFFSET(C163,0,U$18)&lt;0)*C163:OFFSET(C163,0,U$18))*-1),0)</f>
        <v>0</v>
      </c>
      <c r="X23" s="842"/>
      <c r="Y23" s="842"/>
    </row>
    <row r="24" spans="2:33">
      <c r="B24" s="988" t="e">
        <f>$Y$14+2*$C$42</f>
        <v>#VALUE!</v>
      </c>
      <c r="C24" s="919" cm="1">
        <f t="array" aca="1" ref="C24" ca="1">IFERROR(SUMPRODUCT((D51:OFFSET(C51,0,$Y$16)&gt;0)*D51:OFFSET(C51,0,$Y$16))/(SUMPRODUCT((C51:OFFSET(C51,0,$Y$16)&lt;0)*C51:OFFSET(C51,0,$Y$16))*-1),0)</f>
        <v>0</v>
      </c>
      <c r="D24" s="919" cm="1">
        <f t="array" aca="1" ref="D24" ca="1">IFERROR(SUMPRODUCT((D58:OFFSET(C58,0,$Y$16)&gt;0)*D58:OFFSET(C58,0,$Y$16))/(SUMPRODUCT((C58:OFFSET(C58,0,$Y$16)&lt;0)*C58:OFFSET(C58,0,$Y$16))*-1),0)</f>
        <v>0</v>
      </c>
      <c r="E24" s="919" cm="1">
        <f t="array" aca="1" ref="E24" ca="1">IFERROR(SUMPRODUCT((D65:OFFSET(C65,0,$Y$16)&gt;0)*D65:OFFSET(C65,0,$Y$16))/(SUMPRODUCT((C65:OFFSET(C65,0,$Y$16)&lt;0)*C65:OFFSET(C65,0,$Y$16))*-1),0)</f>
        <v>0</v>
      </c>
      <c r="F24" s="919" cm="1">
        <f t="array" aca="1" ref="F24" ca="1">IFERROR(SUMPRODUCT((D72:OFFSET(C72,0,$Y$16)&gt;0)*D72:OFFSET(C72,0,$Y$16))/(SUMPRODUCT((C72:OFFSET(C72,0,$Y$16)&lt;0)*C72:OFFSET(C72,0,$Y$16))*-1),0)</f>
        <v>0</v>
      </c>
      <c r="G24" s="919" cm="1">
        <f t="array" aca="1" ref="G24" ca="1">IFERROR(SUMPRODUCT((D79:OFFSET(C79,0,$Y$16)&gt;0)*D79:OFFSET(C79,0,$Y$16))/(SUMPRODUCT((C79:OFFSET(C79,0,$Y$16)&lt;0)*C79:OFFSET(C79,0,$Y$16))*-1),0)</f>
        <v>0</v>
      </c>
      <c r="H24" s="919" cm="1">
        <f t="array" aca="1" ref="H24" ca="1">IFERROR(SUMPRODUCT((D86:OFFSET(C86,0,$Y$16)&gt;0)*D86:OFFSET(C86,0,$Y$16))/(SUMPRODUCT((C86:OFFSET(C86,0,$Y$16)&lt;0)*C86:OFFSET(C86,0,$Y$16))*-1),0)</f>
        <v>0</v>
      </c>
      <c r="I24" s="994" cm="1">
        <f t="array" aca="1" ref="I24" ca="1">IFERROR(SUMPRODUCT((D93:OFFSET(C93,0,$Y$16)&gt;0)*D93:OFFSET(C93,0,$Y$16))/(SUMPRODUCT((C93:OFFSET(C93,0,$Y$16)&lt;0)*C93:OFFSET(C93,0,$Y$16))*-1),0)</f>
        <v>0</v>
      </c>
      <c r="K24" s="981">
        <f>$Y$15+2*$C$43</f>
        <v>0.2</v>
      </c>
      <c r="L24" s="902" cm="1">
        <f t="array" aca="1" ref="L24" ca="1">IFERROR(SUMPRODUCT((C101:OFFSET(C101,0,L$18)&gt;0)*C101:OFFSET(C101,0,L$18))/(SUMPRODUCT((C101:OFFSET(C101,0,L$18)&lt;0)*C101:OFFSET(C101,0,L$18))*-1),0)</f>
        <v>0</v>
      </c>
      <c r="M24" s="902" cm="1">
        <f t="array" aca="1" ref="M24" ca="1">IFERROR(SUMPRODUCT((C108:OFFSET(C108,0,M$18)&gt;0)*C108:OFFSET(C108,0,M$18))/(SUMPRODUCT((C108:OFFSET(C108,0,M$18)&lt;0)*C108:OFFSET(C108,0,M$18))*-1),0)</f>
        <v>0</v>
      </c>
      <c r="N24" s="902" cm="1">
        <f t="array" aca="1" ref="N24" ca="1">IFERROR(SUMPRODUCT((C115:OFFSET(C115,0,N$18)&gt;0)*C115:OFFSET(C115,0,N$18))/(SUMPRODUCT((C115:OFFSET(C115,0,N$18)&lt;0)*C115:OFFSET(C115,0,N$18))*-1),0)</f>
        <v>0</v>
      </c>
      <c r="O24" s="902" cm="1">
        <f t="array" aca="1" ref="O24" ca="1">IFERROR(SUMPRODUCT((C122:OFFSET(C122,0,O$18)&gt;0)*C122:OFFSET(C122,0,O$18))/(SUMPRODUCT((C122:OFFSET(C122,0,O$18)&lt;0)*C122:OFFSET(C122,0,O$18))*-1),0)</f>
        <v>0</v>
      </c>
      <c r="P24" s="902" cm="1">
        <f t="array" aca="1" ref="P24" ca="1">IFERROR(SUMPRODUCT((C129:OFFSET(C129,0,P$18)&gt;0)*C129:OFFSET(C129,0,P$18))/(SUMPRODUCT((C129:OFFSET(C129,0,P$18)&lt;0)*C129:OFFSET(C129,0,P$18))*-1),0)</f>
        <v>0</v>
      </c>
      <c r="Q24" s="902" cm="1">
        <f t="array" aca="1" ref="Q24" ca="1">IFERROR(SUMPRODUCT((C136:OFFSET(C136,0,Q$18)&gt;0)*C136:OFFSET(C136,0,Q$18))/(SUMPRODUCT((C136:OFFSET(C136,0,Q$18)&lt;0)*C136:OFFSET(C136,0,Q$18))*-1),0)</f>
        <v>0</v>
      </c>
      <c r="R24" s="902" cm="1">
        <f t="array" aca="1" ref="R24" ca="1">IFERROR(SUMPRODUCT((C143:OFFSET(C143,0,R$18)&gt;0)*C143:OFFSET(C143,0,R$18))/(SUMPRODUCT((C143:OFFSET(C143,0,R$18)&lt;0)*C143:OFFSET(C143,0,R$18))*-1),0)</f>
        <v>0</v>
      </c>
      <c r="S24" s="902" cm="1">
        <f t="array" aca="1" ref="S24" ca="1">IFERROR(SUMPRODUCT((C150:OFFSET(C150,0,S$18)&gt;0)*C150:OFFSET(C150,0,S$18))/(SUMPRODUCT((C150:OFFSET(C150,0,S$18)&lt;0)*C150:OFFSET(C150,0,S$18))*-1),0)</f>
        <v>0</v>
      </c>
      <c r="T24" s="902" cm="1">
        <f t="array" aca="1" ref="T24" ca="1">IFERROR(SUMPRODUCT((C157:OFFSET(C157,0,T$18)&gt;0)*C157:OFFSET(C157,0,T$18))/(SUMPRODUCT((C157:OFFSET(C157,0,T$18)&lt;0)*C157:OFFSET(C157,0,T$18))*-1),0)</f>
        <v>0</v>
      </c>
      <c r="U24" s="905" cm="1">
        <f t="array" aca="1" ref="U24" ca="1">IFERROR(SUMPRODUCT((C164:OFFSET(C164,0,U$18)&gt;0)*C164:OFFSET(C164,0,U$18))/(SUMPRODUCT((C164:OFFSET(C164,0,U$18)&lt;0)*C164:OFFSET(C164,0,U$18))*-1),0)</f>
        <v>0</v>
      </c>
      <c r="X24" s="927" t="s">
        <v>608</v>
      </c>
      <c r="Y24" s="928"/>
      <c r="Z24" s="928"/>
      <c r="AA24" s="928"/>
      <c r="AB24" s="928"/>
      <c r="AC24" s="927"/>
      <c r="AD24" s="892"/>
      <c r="AE24" s="892"/>
      <c r="AF24" s="892"/>
    </row>
    <row r="25" spans="2:33">
      <c r="B25" s="995" t="e">
        <f>$Y$14+3*$C$42</f>
        <v>#VALUE!</v>
      </c>
      <c r="C25" s="996" cm="1">
        <f t="array" aca="1" ref="C25" ca="1">IFERROR(SUMPRODUCT((D52:OFFSET(C52,0,$Y$16)&gt;0)*D52:OFFSET(C52,0,$Y$16))/(SUMPRODUCT((C52:OFFSET(C52,0,$Y$16)&lt;0)*C52:OFFSET(C52,0,$Y$16))*-1),0)</f>
        <v>0</v>
      </c>
      <c r="D25" s="996" cm="1">
        <f t="array" aca="1" ref="D25" ca="1">IFERROR(SUMPRODUCT((D59:OFFSET(C59,0,$Y$16)&gt;0)*D59:OFFSET(C59,0,$Y$16))/(SUMPRODUCT((C59:OFFSET(C59,0,$Y$16)&lt;0)*C59:OFFSET(C59,0,$Y$16))*-1),0)</f>
        <v>0</v>
      </c>
      <c r="E25" s="996" cm="1">
        <f t="array" aca="1" ref="E25" ca="1">IFERROR(SUMPRODUCT((D66:OFFSET(C66,0,$Y$16)&gt;0)*D66:OFFSET(C66,0,$Y$16))/(SUMPRODUCT((C66:OFFSET(C66,0,$Y$16)&lt;0)*C66:OFFSET(C66,0,$Y$16))*-1),0)</f>
        <v>0</v>
      </c>
      <c r="F25" s="996" cm="1">
        <f t="array" aca="1" ref="F25" ca="1">IFERROR(SUMPRODUCT((D73:OFFSET(C73,0,$Y$16)&gt;0)*D73:OFFSET(C73,0,$Y$16))/(SUMPRODUCT((C73:OFFSET(C73,0,$Y$16)&lt;0)*C73:OFFSET(C73,0,$Y$16))*-1),0)</f>
        <v>0</v>
      </c>
      <c r="G25" s="996" cm="1">
        <f t="array" aca="1" ref="G25" ca="1">IFERROR(SUMPRODUCT((D80:OFFSET(C80,0,$Y$16)&gt;0)*D80:OFFSET(C80,0,$Y$16))/(SUMPRODUCT((C80:OFFSET(C80,0,$Y$16)&lt;0)*C80:OFFSET(C80,0,$Y$16))*-1),0)</f>
        <v>0</v>
      </c>
      <c r="H25" s="996" cm="1">
        <f t="array" aca="1" ref="H25" ca="1">IFERROR(SUMPRODUCT((D87:OFFSET(C87,0,$Y$16)&gt;0)*D87:OFFSET(C87,0,$Y$16))/(SUMPRODUCT((C87:OFFSET(C87,0,$Y$16)&lt;0)*C87:OFFSET(C87,0,$Y$16))*-1),0)</f>
        <v>0</v>
      </c>
      <c r="I25" s="997" cm="1">
        <f t="array" aca="1" ref="I25" ca="1">IFERROR(SUMPRODUCT((D94:OFFSET(C94,0,$Y$16)&gt;0)*D94:OFFSET(C94,0,$Y$16))/(SUMPRODUCT((C94:OFFSET(C94,0,$Y$16)&lt;0)*C94:OFFSET(C94,0,$Y$16))*-1),0)</f>
        <v>0</v>
      </c>
      <c r="K25" s="983">
        <f>$Y$15+3*$C$43</f>
        <v>0.30000000000000004</v>
      </c>
      <c r="L25" s="903" cm="1">
        <f t="array" aca="1" ref="L25" ca="1">IFERROR(SUMPRODUCT((C102:OFFSET(C102,0,L$18)&gt;0)*C102:OFFSET(C102,0,L$18))/(SUMPRODUCT((C102:OFFSET(C102,0,L$18)&lt;0)*C102:OFFSET(C102,0,L$18))*-1),0)</f>
        <v>0</v>
      </c>
      <c r="M25" s="903" cm="1">
        <f t="array" aca="1" ref="M25" ca="1">IFERROR(SUMPRODUCT((C109:OFFSET(C109,0,M$18)&gt;0)*C109:OFFSET(C109,0,M$18))/(SUMPRODUCT((C109:OFFSET(C109,0,M$18)&lt;0)*C109:OFFSET(C109,0,M$18))*-1),0)</f>
        <v>0</v>
      </c>
      <c r="N25" s="903" cm="1">
        <f t="array" aca="1" ref="N25" ca="1">IFERROR(SUMPRODUCT((C116:OFFSET(C116,0,N$18)&gt;0)*C116:OFFSET(C116,0,N$18))/(SUMPRODUCT((C116:OFFSET(C116,0,N$18)&lt;0)*C116:OFFSET(C116,0,N$18))*-1),0)</f>
        <v>0</v>
      </c>
      <c r="O25" s="903" cm="1">
        <f t="array" aca="1" ref="O25" ca="1">IFERROR(SUMPRODUCT((C123:OFFSET(C123,0,O$18)&gt;0)*C123:OFFSET(C123,0,O$18))/(SUMPRODUCT((C123:OFFSET(C123,0,O$18)&lt;0)*C123:OFFSET(C123,0,O$18))*-1),0)</f>
        <v>0</v>
      </c>
      <c r="P25" s="903" cm="1">
        <f t="array" aca="1" ref="P25" ca="1">IFERROR(SUMPRODUCT((C130:OFFSET(C130,0,P$18)&gt;0)*C130:OFFSET(C130,0,P$18))/(SUMPRODUCT((C130:OFFSET(C130,0,P$18)&lt;0)*C130:OFFSET(C130,0,P$18))*-1),0)</f>
        <v>0</v>
      </c>
      <c r="Q25" s="903" cm="1">
        <f t="array" aca="1" ref="Q25" ca="1">IFERROR(SUMPRODUCT((C137:OFFSET(C137,0,Q$18)&gt;0)*C137:OFFSET(C137,0,Q$18))/(SUMPRODUCT((C137:OFFSET(C137,0,Q$18)&lt;0)*C137:OFFSET(C137,0,Q$18))*-1),0)</f>
        <v>0</v>
      </c>
      <c r="R25" s="903" cm="1">
        <f t="array" aca="1" ref="R25" ca="1">IFERROR(SUMPRODUCT((C144:OFFSET(C144,0,R$18)&gt;0)*C144:OFFSET(C144,0,R$18))/(SUMPRODUCT((C144:OFFSET(C144,0,R$18)&lt;0)*C144:OFFSET(C144,0,R$18))*-1),0)</f>
        <v>0</v>
      </c>
      <c r="S25" s="903" cm="1">
        <f t="array" aca="1" ref="S25" ca="1">IFERROR(SUMPRODUCT((C151:OFFSET(C151,0,S$18)&gt;0)*C151:OFFSET(C151,0,S$18))/(SUMPRODUCT((C151:OFFSET(C151,0,S$18)&lt;0)*C151:OFFSET(C151,0,S$18))*-1),0)</f>
        <v>0</v>
      </c>
      <c r="T25" s="903" cm="1">
        <f t="array" aca="1" ref="T25" ca="1">IFERROR(SUMPRODUCT((C158:OFFSET(C158,0,T$18)&gt;0)*C158:OFFSET(C158,0,T$18))/(SUMPRODUCT((C158:OFFSET(C158,0,T$18)&lt;0)*C158:OFFSET(C158,0,T$18))*-1),0)</f>
        <v>0</v>
      </c>
      <c r="U25" s="907" cm="1">
        <f t="array" aca="1" ref="U25" ca="1">IFERROR(SUMPRODUCT((C165:OFFSET(C165,0,U$18)&gt;0)*C165:OFFSET(C165,0,U$18))/(SUMPRODUCT((C165:OFFSET(C165,0,U$18)&lt;0)*C165:OFFSET(C165,0,U$18))*-1),0)</f>
        <v>0</v>
      </c>
      <c r="X25" s="924" t="s">
        <v>67</v>
      </c>
      <c r="Y25" s="925" t="s">
        <v>609</v>
      </c>
      <c r="Z25" s="924" t="s">
        <v>750</v>
      </c>
      <c r="AA25" s="924" t="s">
        <v>244</v>
      </c>
      <c r="AB25" s="924" t="s">
        <v>751</v>
      </c>
      <c r="AC25" s="924"/>
      <c r="AD25" s="924" t="s">
        <v>754</v>
      </c>
      <c r="AE25" s="924" t="s">
        <v>755</v>
      </c>
      <c r="AF25" s="924" t="s">
        <v>637</v>
      </c>
      <c r="AG25" s="924" t="s">
        <v>672</v>
      </c>
    </row>
    <row r="26" spans="2:33" ht="8" customHeight="1">
      <c r="B26" s="841"/>
      <c r="C26" s="841"/>
      <c r="D26" s="841"/>
      <c r="E26" s="841"/>
      <c r="F26" s="841"/>
      <c r="G26" s="841"/>
      <c r="H26" s="841"/>
      <c r="I26" s="841"/>
      <c r="K26" s="984"/>
      <c r="L26" s="841"/>
      <c r="M26" s="841"/>
      <c r="N26" s="841"/>
      <c r="O26" s="841"/>
      <c r="P26" s="841"/>
      <c r="Q26" s="841"/>
      <c r="R26" s="841"/>
      <c r="U26" s="15"/>
      <c r="X26" s="892">
        <v>1</v>
      </c>
      <c r="Y26" s="929" cm="1">
        <f t="array" ref="Y26">IF(1&gt;$Y$16,0,IFERROR('PRO FORMA'!E17/INDEX('PRO FORMA'!E17:W17,1,($Y$16-1)*2+1),0))</f>
        <v>0</v>
      </c>
      <c r="Z26" s="931">
        <f>IF(1&gt;$Y$16,0,PROJECTIONS!J46+PROJECTIONS!J52+PROJECTIONS!J61+PROJECTIONS!J64+PROJECTIONS!J68+PROJECTIONS!J71+PROJECTIONS!J74+PROJECTIONS!J77)</f>
        <v>0</v>
      </c>
      <c r="AA26" s="931">
        <f>IF(1&gt;$Y$16,0,'PRO FORMA'!E56+'PRO FORMA'!E58)</f>
        <v>0</v>
      </c>
      <c r="AB26" s="930">
        <f>IF(1&gt;$Y$16,0,PROJECTIONS!J34+PROJECTIONS!J56)</f>
        <v>0</v>
      </c>
      <c r="AC26" s="930">
        <f>IF(1&gt;$Y$16,0,PROJECTIONS!J43+PROJECTIONS!J50+PROJECTIONS!J81+PROJECTIONS!J84)</f>
        <v>0</v>
      </c>
      <c r="AD26" s="998">
        <f>IF(1&gt;$Y$16,0,PROJECTIONS!J58/($Y$13*$Y$6*$Y$5))</f>
        <v>0</v>
      </c>
      <c r="AE26" s="998">
        <f>IF(1&gt;$Y$16,0,PROJECTIONS!J20/($Y$13*$Y$6*$Y$5))</f>
        <v>0</v>
      </c>
      <c r="AF26" s="931">
        <f>IF(1&gt;$Y$16,0,'PRO FORMA'!E67-'PRO FORMA'!E57+'PRO FORMA'!E61-'PRO FORMA'!E63)</f>
        <v>0</v>
      </c>
      <c r="AG26">
        <f>IFERROR(IF(AND(INPUTS!C33&lt;&gt;"",INPUTS!C33&lt;1),INDEX(DEBT!V19:V379,MATCH((1-INPUTS!C33)*12,DEBT!R19:R379,0))-INDEX(DEBT!Y19:Y379,MATCH((1-INPUTS!C33)*12,DEBT!R19:R379,0)),INDEX(DEBT!G19:G379,MATCH(1*12,DEBT!C19:C379,0))-INDEX(DEBT!J19:J379,MATCH(1*12,DEBT!C19:C379,0))),0)+IF(AND(INPUTS!C24="Yes",OR(INPUTS!C33="",INPUTS!C33&gt;=1)),IFERROR(INDEX(DEBT!$AO$21:$AO$30,1),0),0)</f>
        <v>0</v>
      </c>
    </row>
    <row r="27" spans="2:33" ht="8" customHeight="1">
      <c r="B27" s="841"/>
      <c r="C27" s="841"/>
      <c r="D27" s="841"/>
      <c r="E27" s="841"/>
      <c r="F27" s="841"/>
      <c r="G27" s="841"/>
      <c r="H27" s="841"/>
      <c r="I27" s="841"/>
      <c r="K27" s="984"/>
      <c r="L27" s="841"/>
      <c r="M27" s="841"/>
      <c r="N27" s="841"/>
      <c r="O27" s="841"/>
      <c r="P27" s="841"/>
      <c r="Q27" s="841"/>
      <c r="R27" s="841"/>
      <c r="U27" s="15"/>
      <c r="X27" s="892">
        <v>2</v>
      </c>
      <c r="Y27" s="929" cm="1">
        <f t="array" ref="Y27">IF(2&gt;$Y$16,0,IFERROR('PRO FORMA'!G17/INDEX('PRO FORMA'!E17:W17,1,($Y$16-1)*2+1),0))</f>
        <v>0</v>
      </c>
      <c r="Z27" s="931">
        <f>IF(2&gt;$Y$16,0,PROJECTIONS!L46+PROJECTIONS!L52+PROJECTIONS!L61+PROJECTIONS!L64+PROJECTIONS!L68+PROJECTIONS!L71+PROJECTIONS!L74+PROJECTIONS!L77)</f>
        <v>0</v>
      </c>
      <c r="AA27" s="931">
        <f>IF(2&gt;$Y$16,0,'PRO FORMA'!G56+'PRO FORMA'!G58)</f>
        <v>0</v>
      </c>
      <c r="AB27" s="930">
        <f>IF(2&gt;$Y$16,0,PROJECTIONS!L34+PROJECTIONS!L56)</f>
        <v>0</v>
      </c>
      <c r="AC27" s="930">
        <f>IF(2&gt;$Y$16,0,PROJECTIONS!L43+PROJECTIONS!L50+PROJECTIONS!L81+PROJECTIONS!L84)</f>
        <v>0</v>
      </c>
      <c r="AD27" s="998">
        <f>IF(2&gt;$Y$16,0,PROJECTIONS!L58/($Y$13*$Y$6*$Y$5))</f>
        <v>0</v>
      </c>
      <c r="AE27" s="998">
        <f>IF(2&gt;$Y$16,0,PROJECTIONS!L20/($Y$13*$Y$6*$Y$5))</f>
        <v>0</v>
      </c>
      <c r="AF27" s="931">
        <f>IF(2&gt;$Y$16,0,'PRO FORMA'!G67-'PRO FORMA'!G57+'PRO FORMA'!G61-'PRO FORMA'!G63)</f>
        <v>0</v>
      </c>
      <c r="AG27">
        <f>IFERROR(IF(AND(INPUTS!C33&lt;&gt;"",INPUTS!C33&lt;2),INDEX(DEBT!V19:V379,MATCH((2-INPUTS!C33)*12,DEBT!R19:R379,0))-INDEX(DEBT!Y19:Y379,MATCH((2-INPUTS!C33)*12,DEBT!R19:R379,0)),INDEX(DEBT!G19:G379,MATCH(2*12,DEBT!C19:C379,0))-INDEX(DEBT!J19:J379,MATCH(2*12,DEBT!C19:C379,0))),0)+IF(AND(INPUTS!C24="Yes",OR(INPUTS!C33="",INPUTS!C33&gt;=2)),IFERROR(INDEX(DEBT!$AO$21:$AO$30,2),0),0)</f>
        <v>0</v>
      </c>
    </row>
    <row r="28" spans="2:33">
      <c r="K28" s="986" t="s">
        <v>746</v>
      </c>
      <c r="L28" s="893"/>
      <c r="M28" s="893"/>
      <c r="N28" s="893"/>
      <c r="O28" s="893"/>
      <c r="P28" s="893"/>
      <c r="Q28" s="893"/>
      <c r="R28" s="893"/>
      <c r="S28" s="893"/>
      <c r="T28" s="893"/>
      <c r="U28" s="979"/>
      <c r="X28" s="892">
        <v>3</v>
      </c>
      <c r="Y28" s="932" cm="1">
        <f t="array" ref="Y28">IF(3&gt;$Y$16,0,IFERROR('PRO FORMA'!I17/INDEX('PRO FORMA'!E17:W17,1,($Y$16-1)*2+1),0))</f>
        <v>0</v>
      </c>
      <c r="Z28" s="931">
        <f>IF(3&gt;$Y$16,0,PROJECTIONS!N46+PROJECTIONS!N52+PROJECTIONS!N61+PROJECTIONS!N64+PROJECTIONS!N68+PROJECTIONS!N71+PROJECTIONS!N74+PROJECTIONS!N77)</f>
        <v>0</v>
      </c>
      <c r="AA28" s="931">
        <f>IF(3&gt;$Y$16,0,'PRO FORMA'!I56+'PRO FORMA'!I58)</f>
        <v>0</v>
      </c>
      <c r="AB28" s="930">
        <f>IF(3&gt;$Y$16,0,PROJECTIONS!N34+PROJECTIONS!N56)</f>
        <v>0</v>
      </c>
      <c r="AC28" s="930">
        <f>IF(3&gt;$Y$16,0,PROJECTIONS!N43+PROJECTIONS!N50+PROJECTIONS!N81+PROJECTIONS!N84)</f>
        <v>0</v>
      </c>
      <c r="AD28" s="998">
        <f>IF(3&gt;$Y$16,0,PROJECTIONS!N58/($Y$13*$Y$6*$Y$5))</f>
        <v>0</v>
      </c>
      <c r="AE28" s="998">
        <f>IF(3&gt;$Y$16,0,PROJECTIONS!N20/($Y$13*$Y$6*$Y$5))</f>
        <v>0</v>
      </c>
      <c r="AF28" s="931">
        <f>IF(3&gt;$Y$16,0,'PRO FORMA'!I67-'PRO FORMA'!I57+'PRO FORMA'!I61-'PRO FORMA'!I63)</f>
        <v>0</v>
      </c>
      <c r="AG28">
        <f>IFERROR(IF(AND(INPUTS!C33&lt;&gt;"",INPUTS!C33&lt;3),INDEX(DEBT!V19:V379,MATCH((3-INPUTS!C33)*12,DEBT!R19:R379,0))-INDEX(DEBT!Y19:Y379,MATCH((3-INPUTS!C33)*12,DEBT!R19:R379,0)),INDEX(DEBT!G19:G379,MATCH(3*12,DEBT!C19:C379,0))-INDEX(DEBT!J19:J379,MATCH(3*12,DEBT!C19:C379,0))),0)+IF(AND(INPUTS!C24="Yes",OR(INPUTS!C33="",INPUTS!C33&gt;=3)),IFERROR(INDEX(DEBT!$AO$21:$AO$30,3),0),0)</f>
        <v>0</v>
      </c>
    </row>
    <row r="29" spans="2:33">
      <c r="K29" s="968">
        <f>IFERROR(WATERFALL!K26/WATERFALL!D11,0)</f>
        <v>0</v>
      </c>
      <c r="L29" s="973">
        <v>1</v>
      </c>
      <c r="M29" s="973">
        <v>2</v>
      </c>
      <c r="N29" s="973">
        <v>3</v>
      </c>
      <c r="O29" s="973">
        <v>4</v>
      </c>
      <c r="P29" s="973">
        <v>5</v>
      </c>
      <c r="Q29" s="973">
        <v>6</v>
      </c>
      <c r="R29" s="973">
        <v>7</v>
      </c>
      <c r="S29" s="973">
        <v>8</v>
      </c>
      <c r="T29" s="973">
        <v>9</v>
      </c>
      <c r="U29" s="978">
        <v>10</v>
      </c>
      <c r="X29" s="892">
        <v>4</v>
      </c>
      <c r="Y29" s="932" cm="1">
        <f t="array" ref="Y29">IF(4&gt;$Y$16,0,IFERROR('PRO FORMA'!K17/INDEX('PRO FORMA'!E17:W17,1,($Y$16-1)*2+1),0))</f>
        <v>0</v>
      </c>
      <c r="Z29" s="931">
        <f>IF(4&gt;$Y$16,0,PROJECTIONS!P46+PROJECTIONS!P52+PROJECTIONS!P61+PROJECTIONS!P64+PROJECTIONS!P68+PROJECTIONS!P71+PROJECTIONS!P74+PROJECTIONS!P77)</f>
        <v>0</v>
      </c>
      <c r="AA29" s="931">
        <f>IF(4&gt;$Y$16,0,'PRO FORMA'!K56+'PRO FORMA'!K58)</f>
        <v>0</v>
      </c>
      <c r="AB29" s="930">
        <f>IF(4&gt;$Y$16,0,PROJECTIONS!P34+PROJECTIONS!P56)</f>
        <v>0</v>
      </c>
      <c r="AC29" s="930">
        <f>IF(4&gt;$Y$16,0,PROJECTIONS!P43+PROJECTIONS!P50+PROJECTIONS!P81+PROJECTIONS!P84)</f>
        <v>0</v>
      </c>
      <c r="AD29" s="998">
        <f>IF(4&gt;$Y$16,0,PROJECTIONS!P58/($Y$13*$Y$6*$Y$5))</f>
        <v>0</v>
      </c>
      <c r="AE29" s="998">
        <f>IF(4&gt;$Y$16,0,PROJECTIONS!P20/($Y$13*$Y$6*$Y$5))</f>
        <v>0</v>
      </c>
      <c r="AF29" s="931">
        <f>IF(4&gt;$Y$16,0,'PRO FORMA'!K67-'PRO FORMA'!K57+'PRO FORMA'!K61-'PRO FORMA'!K63)</f>
        <v>0</v>
      </c>
      <c r="AG29">
        <f>IFERROR(IF(AND(INPUTS!C33&lt;&gt;"",INPUTS!C33&lt;4),INDEX(DEBT!V19:V379,MATCH((4-INPUTS!C33)*12,DEBT!R19:R379,0))-INDEX(DEBT!Y19:Y379,MATCH((4-INPUTS!C33)*12,DEBT!R19:R379,0)),INDEX(DEBT!G19:G379,MATCH(4*12,DEBT!C19:C379,0))-INDEX(DEBT!J19:J379,MATCH(4*12,DEBT!C19:C379,0))),0)+IF(AND(INPUTS!C24="Yes",OR(INPUTS!C33="",INPUTS!C33&gt;=4)),IFERROR(INDEX(DEBT!$AO$21:$AO$30,4),0),0)</f>
        <v>0</v>
      </c>
    </row>
    <row r="30" spans="2:33">
      <c r="K30" s="974" t="e">
        <f>$Y$13*$Y$14-3*$C$44</f>
        <v>#VALUE!</v>
      </c>
      <c r="L30" s="969">
        <f t="shared" ref="L30:L36" si="0">IFERROR($Y$40*_xlfn.LET(_xlpm.sRR,$K30*$Y$5*$Y$6*$Y$26,_xlpm.sOR,($K30/$Y$14)*$Y$5*$Y$6,_xlpm.sOI,$AE$26*_xlpm.sOR,_xlpm.sOD,$Y$20*_xlpm.sRR,_xlpm.sGR,_xlpm.sRR+_xlpm.sOI+_xlpm.sOD,_xlpm.sExp,$Z$26+$AB$26*_xlpm.sRR+($AC$26+$Y$21)*_xlpm.sGR+$AD$26*_xlpm.sOR,_xlpm.sGR-_xlpm.sExp+$AA$26+$AF$26)/$Y$39,0)</f>
        <v>0</v>
      </c>
      <c r="M30" s="969">
        <f t="shared" ref="M30:M36" si="1">IFERROR($Y$40*_xlfn.LET(_xlpm.sRR,$K30*$Y$5*$Y$6*$Y$27,_xlpm.sOR,($K30/$Y$14)*$Y$5*$Y$6,_xlpm.sOI,$AE$27*_xlpm.sOR,_xlpm.sOD,$Y$20*_xlpm.sRR,_xlpm.sGR,_xlpm.sRR+_xlpm.sOI+_xlpm.sOD,_xlpm.sExp,$Z$27+$AB$27*_xlpm.sRR+($AC$27+$Y$21)*_xlpm.sGR+$AD$27*_xlpm.sOR,_xlpm.sGR-_xlpm.sExp+$AA$27+$AF$27)/$Y$39,0)</f>
        <v>0</v>
      </c>
      <c r="N30" s="969">
        <f t="shared" ref="N30:N36" si="2">IFERROR($Y$40*_xlfn.LET(_xlpm.sRR,$K30*$Y$5*$Y$6*$Y$28,_xlpm.sOR,($K30/$Y$14)*$Y$5*$Y$6,_xlpm.sOI,$AE$28*_xlpm.sOR,_xlpm.sOD,$Y$20*_xlpm.sRR,_xlpm.sGR,_xlpm.sRR+_xlpm.sOI+_xlpm.sOD,_xlpm.sExp,$Z$28+$AB$28*_xlpm.sRR+($AC$28+$Y$21)*_xlpm.sGR+$AD$28*_xlpm.sOR,_xlpm.sGR-_xlpm.sExp+$AA$28+$AF$28)/$Y$39,0)</f>
        <v>0</v>
      </c>
      <c r="O30" s="969">
        <f t="shared" ref="O30:O36" si="3">IFERROR($Y$40*_xlfn.LET(_xlpm.sRR,$K30*$Y$5*$Y$6*$Y$29,_xlpm.sOR,($K30/$Y$14)*$Y$5*$Y$6,_xlpm.sOI,$AE$29*_xlpm.sOR,_xlpm.sOD,$Y$20*_xlpm.sRR,_xlpm.sGR,_xlpm.sRR+_xlpm.sOI+_xlpm.sOD,_xlpm.sExp,$Z$29+$AB$29*_xlpm.sRR+($AC$29+$Y$21)*_xlpm.sGR+$AD$29*_xlpm.sOR,_xlpm.sGR-_xlpm.sExp+$AA$29+$AF$29)/$Y$39,0)</f>
        <v>0</v>
      </c>
      <c r="P30" s="969">
        <f t="shared" ref="P30:P36" si="4">IFERROR($Y$40*_xlfn.LET(_xlpm.sRR,$K30*$Y$5*$Y$6*$Y$30,_xlpm.sOR,($K30/$Y$14)*$Y$5*$Y$6,_xlpm.sOI,$AE$30*_xlpm.sOR,_xlpm.sOD,$Y$20*_xlpm.sRR,_xlpm.sGR,_xlpm.sRR+_xlpm.sOI+_xlpm.sOD,_xlpm.sExp,$Z$30+$AB$30*_xlpm.sRR+($AC$30+$Y$21)*_xlpm.sGR+$AD$30*_xlpm.sOR,_xlpm.sGR-_xlpm.sExp+$AA$30+$AF$30)/$Y$39,0)</f>
        <v>0</v>
      </c>
      <c r="Q30" s="969">
        <f t="shared" ref="Q30:Q36" si="5">IFERROR($Y$40*_xlfn.LET(_xlpm.sRR,$K30*$Y$5*$Y$6*$Y$31,_xlpm.sOR,($K30/$Y$14)*$Y$5*$Y$6,_xlpm.sOI,$AE$31*_xlpm.sOR,_xlpm.sOD,$Y$20*_xlpm.sRR,_xlpm.sGR,_xlpm.sRR+_xlpm.sOI+_xlpm.sOD,_xlpm.sExp,$Z$31+$AB$31*_xlpm.sRR+($AC$31+$Y$21)*_xlpm.sGR+$AD$31*_xlpm.sOR,_xlpm.sGR-_xlpm.sExp+$AA$31+$AF$31)/$Y$39,0)</f>
        <v>0</v>
      </c>
      <c r="R30" s="969">
        <f t="shared" ref="R30:R36" si="6">IFERROR($Y$40*_xlfn.LET(_xlpm.sRR,$K30*$Y$5*$Y$6*$Y$32,_xlpm.sOR,($K30/$Y$14)*$Y$5*$Y$6,_xlpm.sOI,$AE$32*_xlpm.sOR,_xlpm.sOD,$Y$20*_xlpm.sRR,_xlpm.sGR,_xlpm.sRR+_xlpm.sOI+_xlpm.sOD,_xlpm.sExp,$Z$32+$AB$32*_xlpm.sRR+($AC$32+$Y$21)*_xlpm.sGR+$AD$32*_xlpm.sOR,_xlpm.sGR-_xlpm.sExp+$AA$32+$AF$32)/$Y$39,0)</f>
        <v>0</v>
      </c>
      <c r="S30" s="969">
        <f t="shared" ref="S30:S36" si="7">IFERROR($Y$40*_xlfn.LET(_xlpm.sRR,$K30*$Y$5*$Y$6*$Y$33,_xlpm.sOR,($K30/$Y$14)*$Y$5*$Y$6,_xlpm.sOI,$AE$33*_xlpm.sOR,_xlpm.sOD,$Y$20*_xlpm.sRR,_xlpm.sGR,_xlpm.sRR+_xlpm.sOI+_xlpm.sOD,_xlpm.sExp,$Z$33+$AB$33*_xlpm.sRR+($AC$33+$Y$21)*_xlpm.sGR+$AD$33*_xlpm.sOR,_xlpm.sGR-_xlpm.sExp+$AA$33+$AF$33)/$Y$39,0)</f>
        <v>0</v>
      </c>
      <c r="T30" s="969">
        <f t="shared" ref="T30:T36" si="8">IFERROR($Y$40*_xlfn.LET(_xlpm.sRR,$K30*$Y$5*$Y$6*$Y$34,_xlpm.sOR,($K30/$Y$14)*$Y$5*$Y$6,_xlpm.sOI,$AE$34*_xlpm.sOR,_xlpm.sOD,$Y$20*_xlpm.sRR,_xlpm.sGR,_xlpm.sRR+_xlpm.sOI+_xlpm.sOD,_xlpm.sExp,$Z$34+$AB$34*_xlpm.sRR+($AC$34+$Y$21)*_xlpm.sGR+$AD$34*_xlpm.sOR,_xlpm.sGR-_xlpm.sExp+$AA$34+$AF$34)/$Y$39,0)</f>
        <v>0</v>
      </c>
      <c r="U30" s="970">
        <f t="shared" ref="U30:U36" si="9">IFERROR($Y$40*_xlfn.LET(_xlpm.sRR,$K30*$Y$5*$Y$6*$Y$35,_xlpm.sOR,($K30/$Y$14)*$Y$5*$Y$6,_xlpm.sOI,$AE$35*_xlpm.sOR,_xlpm.sOD,$Y$20*_xlpm.sRR,_xlpm.sGR,_xlpm.sRR+_xlpm.sOI+_xlpm.sOD,_xlpm.sExp,$Z$35+$AB$35*_xlpm.sRR+($AC$35+$Y$21)*_xlpm.sGR+$AD$35*_xlpm.sOR,_xlpm.sGR-_xlpm.sExp+$AA$35+$AF$35)/$Y$39,0)</f>
        <v>0</v>
      </c>
      <c r="X30" s="892">
        <v>5</v>
      </c>
      <c r="Y30" s="932" cm="1">
        <f t="array" ref="Y30">IF(5&gt;$Y$16,0,IFERROR('PRO FORMA'!M17/INDEX('PRO FORMA'!E17:W17,1,($Y$16-1)*2+1),0))</f>
        <v>0</v>
      </c>
      <c r="Z30" s="931">
        <f>IF(5&gt;$Y$16,0,PROJECTIONS!R46+PROJECTIONS!R52+PROJECTIONS!R61+PROJECTIONS!R64+PROJECTIONS!R68+PROJECTIONS!R71+PROJECTIONS!R74+PROJECTIONS!R77)</f>
        <v>0</v>
      </c>
      <c r="AA30" s="931">
        <f>IF(5&gt;$Y$16,0,'PRO FORMA'!M56+'PRO FORMA'!M58)</f>
        <v>0</v>
      </c>
      <c r="AB30" s="930">
        <f>IF(5&gt;$Y$16,0,PROJECTIONS!R34+PROJECTIONS!R56)</f>
        <v>0</v>
      </c>
      <c r="AC30" s="930">
        <f>IF(5&gt;$Y$16,0,PROJECTIONS!R43+PROJECTIONS!R50+PROJECTIONS!R81+PROJECTIONS!R84)</f>
        <v>0</v>
      </c>
      <c r="AD30" s="998">
        <f>IF(5&gt;$Y$16,0,PROJECTIONS!R58/($Y$13*$Y$6*$Y$5))</f>
        <v>0</v>
      </c>
      <c r="AE30" s="998">
        <f>IF(5&gt;$Y$16,0,PROJECTIONS!R20/($Y$13*$Y$6*$Y$5))</f>
        <v>0</v>
      </c>
      <c r="AF30" s="931">
        <f>IF(5&gt;$Y$16,0,'PRO FORMA'!M67-'PRO FORMA'!M57+'PRO FORMA'!M61-'PRO FORMA'!M63)</f>
        <v>0</v>
      </c>
      <c r="AG30">
        <f>IFERROR(IF(AND(INPUTS!C33&lt;&gt;"",INPUTS!C33&lt;5),INDEX(DEBT!V19:V379,MATCH((5-INPUTS!C33)*12,DEBT!R19:R379,0))-INDEX(DEBT!Y19:Y379,MATCH((5-INPUTS!C33)*12,DEBT!R19:R379,0)),INDEX(DEBT!G19:G379,MATCH(5*12,DEBT!C19:C379,0))-INDEX(DEBT!J19:J379,MATCH(5*12,DEBT!C19:C379,0))),0)+IF(AND(INPUTS!C24="Yes",OR(INPUTS!C33="",INPUTS!C33&gt;=5)),IFERROR(INDEX(DEBT!$AO$21:$AO$30,5),0),0)</f>
        <v>0</v>
      </c>
    </row>
    <row r="31" spans="2:33">
      <c r="K31" s="974" t="e">
        <f>$Y$13*$Y$14-2*$C$44</f>
        <v>#VALUE!</v>
      </c>
      <c r="L31" s="969">
        <f t="shared" si="0"/>
        <v>0</v>
      </c>
      <c r="M31" s="969">
        <f t="shared" si="1"/>
        <v>0</v>
      </c>
      <c r="N31" s="969">
        <f t="shared" si="2"/>
        <v>0</v>
      </c>
      <c r="O31" s="969">
        <f t="shared" si="3"/>
        <v>0</v>
      </c>
      <c r="P31" s="969">
        <f t="shared" si="4"/>
        <v>0</v>
      </c>
      <c r="Q31" s="969">
        <f t="shared" si="5"/>
        <v>0</v>
      </c>
      <c r="R31" s="969">
        <f t="shared" si="6"/>
        <v>0</v>
      </c>
      <c r="S31" s="969">
        <f t="shared" si="7"/>
        <v>0</v>
      </c>
      <c r="T31" s="969">
        <f t="shared" si="8"/>
        <v>0</v>
      </c>
      <c r="U31" s="970">
        <f t="shared" si="9"/>
        <v>0</v>
      </c>
      <c r="X31" s="892">
        <v>6</v>
      </c>
      <c r="Y31" s="932" cm="1">
        <f t="array" ref="Y31">IF(6&gt;$Y$16,0,IFERROR('PRO FORMA'!O17/INDEX('PRO FORMA'!E17:W17,1,($Y$16-1)*2+1),0))</f>
        <v>0</v>
      </c>
      <c r="Z31" s="931">
        <f>IF(6&gt;$Y$16,0,PROJECTIONS!T46+PROJECTIONS!T52+PROJECTIONS!T61+PROJECTIONS!T64+PROJECTIONS!T68+PROJECTIONS!T71+PROJECTIONS!T74+PROJECTIONS!T77)</f>
        <v>0</v>
      </c>
      <c r="AA31" s="931">
        <f>IF(6&gt;$Y$16,0,'PRO FORMA'!O56+'PRO FORMA'!O58)</f>
        <v>0</v>
      </c>
      <c r="AB31" s="930">
        <f>IF(6&gt;$Y$16,0,PROJECTIONS!T34+PROJECTIONS!T56)</f>
        <v>0</v>
      </c>
      <c r="AC31" s="930">
        <f>IF(6&gt;$Y$16,0,PROJECTIONS!T43+PROJECTIONS!T50+PROJECTIONS!T81+PROJECTIONS!T84)</f>
        <v>0</v>
      </c>
      <c r="AD31" s="998">
        <f>IF(6&gt;$Y$16,0,PROJECTIONS!T58/($Y$13*$Y$6*$Y$5))</f>
        <v>0</v>
      </c>
      <c r="AE31" s="998">
        <f>IF(6&gt;$Y$16,0,PROJECTIONS!T20/($Y$13*$Y$6*$Y$5))</f>
        <v>0</v>
      </c>
      <c r="AF31" s="931">
        <f>IF(6&gt;$Y$16,0,'PRO FORMA'!O67-'PRO FORMA'!O57+'PRO FORMA'!O61-'PRO FORMA'!O63)</f>
        <v>0</v>
      </c>
      <c r="AG31">
        <f>IFERROR(IF(AND(INPUTS!C33&lt;&gt;"",INPUTS!C33&lt;6),INDEX(DEBT!V19:V379,MATCH((6-INPUTS!C33)*12,DEBT!R19:R379,0))-INDEX(DEBT!Y19:Y379,MATCH((6-INPUTS!C33)*12,DEBT!R19:R379,0)),INDEX(DEBT!G19:G379,MATCH(6*12,DEBT!C19:C379,0))-INDEX(DEBT!J19:J379,MATCH(6*12,DEBT!C19:C379,0))),0)+IF(AND(INPUTS!C24="Yes",OR(INPUTS!C33="",INPUTS!C33&gt;=6)),IFERROR(INDEX(DEBT!$AO$21:$AO$30,6),0),0)</f>
        <v>0</v>
      </c>
    </row>
    <row r="32" spans="2:33">
      <c r="K32" s="974" t="e">
        <f>$Y$13*$Y$14-$C$44</f>
        <v>#VALUE!</v>
      </c>
      <c r="L32" s="969">
        <f t="shared" si="0"/>
        <v>0</v>
      </c>
      <c r="M32" s="969">
        <f t="shared" si="1"/>
        <v>0</v>
      </c>
      <c r="N32" s="969">
        <f t="shared" si="2"/>
        <v>0</v>
      </c>
      <c r="O32" s="969">
        <f t="shared" si="3"/>
        <v>0</v>
      </c>
      <c r="P32" s="969">
        <f t="shared" si="4"/>
        <v>0</v>
      </c>
      <c r="Q32" s="969">
        <f t="shared" si="5"/>
        <v>0</v>
      </c>
      <c r="R32" s="969">
        <f t="shared" si="6"/>
        <v>0</v>
      </c>
      <c r="S32" s="969">
        <f t="shared" si="7"/>
        <v>0</v>
      </c>
      <c r="T32" s="969">
        <f t="shared" si="8"/>
        <v>0</v>
      </c>
      <c r="U32" s="970">
        <f t="shared" si="9"/>
        <v>0</v>
      </c>
      <c r="X32" s="892">
        <v>7</v>
      </c>
      <c r="Y32" s="932" cm="1">
        <f t="array" ref="Y32">IF(7&gt;$Y$16,0,IFERROR('PRO FORMA'!Q17/INDEX('PRO FORMA'!E17:W17,1,($Y$16-1)*2+1),0))</f>
        <v>0</v>
      </c>
      <c r="Z32" s="931">
        <f>IF(7&gt;$Y$16,0,PROJECTIONS!V46+PROJECTIONS!V52+PROJECTIONS!V61+PROJECTIONS!V64+PROJECTIONS!V68+PROJECTIONS!V71+PROJECTIONS!V74+PROJECTIONS!V77)</f>
        <v>0</v>
      </c>
      <c r="AA32" s="931">
        <f>IF(7&gt;$Y$16,0,'PRO FORMA'!Q56+'PRO FORMA'!Q58)</f>
        <v>0</v>
      </c>
      <c r="AB32" s="930">
        <f>IF(7&gt;$Y$16,0,PROJECTIONS!V34+PROJECTIONS!V56)</f>
        <v>0</v>
      </c>
      <c r="AC32" s="930">
        <f>IF(7&gt;$Y$16,0,PROJECTIONS!V43+PROJECTIONS!V50+PROJECTIONS!V81+PROJECTIONS!V84)</f>
        <v>0</v>
      </c>
      <c r="AD32" s="998">
        <f>IF(7&gt;$Y$16,0,PROJECTIONS!V58/($Y$13*$Y$6*$Y$5))</f>
        <v>0</v>
      </c>
      <c r="AE32" s="998">
        <f>IF(7&gt;$Y$16,0,PROJECTIONS!V20/($Y$13*$Y$6*$Y$5))</f>
        <v>0</v>
      </c>
      <c r="AF32" s="931">
        <f>IF(7&gt;$Y$16,0,'PRO FORMA'!Q67-'PRO FORMA'!Q57+'PRO FORMA'!Q61-'PRO FORMA'!Q63)</f>
        <v>0</v>
      </c>
      <c r="AG32">
        <f>IFERROR(IF(AND(INPUTS!C33&lt;&gt;"",INPUTS!C33&lt;7),INDEX(DEBT!V19:V379,MATCH((7-INPUTS!C33)*12,DEBT!R19:R379,0))-INDEX(DEBT!Y19:Y379,MATCH((7-INPUTS!C33)*12,DEBT!R19:R379,0)),INDEX(DEBT!G19:G379,MATCH(7*12,DEBT!C19:C379,0))-INDEX(DEBT!J19:J379,MATCH(7*12,DEBT!C19:C379,0))),0)+IF(AND(INPUTS!C24="Yes",OR(INPUTS!C33="",INPUTS!C33&gt;=7)),IFERROR(INDEX(DEBT!$AO$21:$AO$30,7),0),0)</f>
        <v>0</v>
      </c>
    </row>
    <row r="33" spans="2:33">
      <c r="K33" s="975" t="e">
        <f>$Y$13*$Y$14</f>
        <v>#VALUE!</v>
      </c>
      <c r="L33" s="969">
        <f t="shared" si="0"/>
        <v>0</v>
      </c>
      <c r="M33" s="969">
        <f t="shared" si="1"/>
        <v>0</v>
      </c>
      <c r="N33" s="969">
        <f t="shared" si="2"/>
        <v>0</v>
      </c>
      <c r="O33" s="969">
        <f t="shared" si="3"/>
        <v>0</v>
      </c>
      <c r="P33" s="969">
        <f t="shared" si="4"/>
        <v>0</v>
      </c>
      <c r="Q33" s="969">
        <f t="shared" si="5"/>
        <v>0</v>
      </c>
      <c r="R33" s="969">
        <f t="shared" si="6"/>
        <v>0</v>
      </c>
      <c r="S33" s="969">
        <f t="shared" si="7"/>
        <v>0</v>
      </c>
      <c r="T33" s="969">
        <f t="shared" si="8"/>
        <v>0</v>
      </c>
      <c r="U33" s="900">
        <f t="shared" si="9"/>
        <v>0</v>
      </c>
      <c r="X33" s="892">
        <v>8</v>
      </c>
      <c r="Y33" s="932" cm="1">
        <f t="array" ref="Y33">IF(8&gt;$Y$16,0,IFERROR('PRO FORMA'!S17/INDEX('PRO FORMA'!E17:W17,1,($Y$16-1)*2+1),0))</f>
        <v>0</v>
      </c>
      <c r="Z33" s="931">
        <f>IF(8&gt;$Y$16,0,PROJECTIONS!X46+PROJECTIONS!X52+PROJECTIONS!X61+PROJECTIONS!X64+PROJECTIONS!X68+PROJECTIONS!X71+PROJECTIONS!X74+PROJECTIONS!X77)</f>
        <v>0</v>
      </c>
      <c r="AA33" s="931">
        <f>IF(8&gt;$Y$16,0,'PRO FORMA'!S56+'PRO FORMA'!S58)</f>
        <v>0</v>
      </c>
      <c r="AB33" s="930">
        <f>IF(8&gt;$Y$16,0,PROJECTIONS!X34+PROJECTIONS!X56)</f>
        <v>0</v>
      </c>
      <c r="AC33" s="930">
        <f>IF(8&gt;$Y$16,0,PROJECTIONS!X43+PROJECTIONS!X50+PROJECTIONS!X81+PROJECTIONS!X84)</f>
        <v>0</v>
      </c>
      <c r="AD33" s="998">
        <f>IF(8&gt;$Y$16,0,PROJECTIONS!X58/($Y$13*$Y$6*$Y$5))</f>
        <v>0</v>
      </c>
      <c r="AE33" s="998">
        <f>IF(8&gt;$Y$16,0,PROJECTIONS!X20/($Y$13*$Y$6*$Y$5))</f>
        <v>0</v>
      </c>
      <c r="AF33" s="931">
        <f>IF(8&gt;$Y$16,0,'PRO FORMA'!S67-'PRO FORMA'!S57+'PRO FORMA'!S61-'PRO FORMA'!S63)</f>
        <v>0</v>
      </c>
      <c r="AG33">
        <f>IFERROR(IF(AND(INPUTS!C33&lt;&gt;"",INPUTS!C33&lt;8),INDEX(DEBT!V19:V379,MATCH((8-INPUTS!C33)*12,DEBT!R19:R379,0))-INDEX(DEBT!Y19:Y379,MATCH((8-INPUTS!C33)*12,DEBT!R19:R379,0)),INDEX(DEBT!G19:G379,MATCH(8*12,DEBT!C19:C379,0))-INDEX(DEBT!J19:J379,MATCH(8*12,DEBT!C19:C379,0))),0)+IF(AND(INPUTS!C24="Yes",OR(INPUTS!C33="",INPUTS!C33&gt;=8)),IFERROR(INDEX(DEBT!$AO$21:$AO$30,8),0),0)</f>
        <v>0</v>
      </c>
    </row>
    <row r="34" spans="2:33">
      <c r="K34" s="974" t="e">
        <f>$Y$13*$Y$14+$C$44</f>
        <v>#VALUE!</v>
      </c>
      <c r="L34" s="969">
        <f t="shared" si="0"/>
        <v>0</v>
      </c>
      <c r="M34" s="969">
        <f t="shared" si="1"/>
        <v>0</v>
      </c>
      <c r="N34" s="969">
        <f t="shared" si="2"/>
        <v>0</v>
      </c>
      <c r="O34" s="969">
        <f t="shared" si="3"/>
        <v>0</v>
      </c>
      <c r="P34" s="969">
        <f t="shared" si="4"/>
        <v>0</v>
      </c>
      <c r="Q34" s="969">
        <f t="shared" si="5"/>
        <v>0</v>
      </c>
      <c r="R34" s="969">
        <f t="shared" si="6"/>
        <v>0</v>
      </c>
      <c r="S34" s="969">
        <f t="shared" si="7"/>
        <v>0</v>
      </c>
      <c r="T34" s="969">
        <f t="shared" si="8"/>
        <v>0</v>
      </c>
      <c r="U34" s="970">
        <f t="shared" si="9"/>
        <v>0</v>
      </c>
      <c r="X34" s="892">
        <v>9</v>
      </c>
      <c r="Y34" s="932" cm="1">
        <f t="array" ref="Y34">IF(9&gt;$Y$16,0,IFERROR('PRO FORMA'!U17/INDEX('PRO FORMA'!E17:W17,1,($Y$16-1)*2+1),0))</f>
        <v>0</v>
      </c>
      <c r="Z34" s="931">
        <f>IF(9&gt;$Y$16,0,PROJECTIONS!Z46+PROJECTIONS!Z52+PROJECTIONS!Z61+PROJECTIONS!Z64+PROJECTIONS!Z68+PROJECTIONS!Z71+PROJECTIONS!Z74+PROJECTIONS!Z77)</f>
        <v>0</v>
      </c>
      <c r="AA34" s="931">
        <f>IF(9&gt;$Y$16,0,'PRO FORMA'!U56+'PRO FORMA'!U58)</f>
        <v>0</v>
      </c>
      <c r="AB34" s="930">
        <f>IF(9&gt;$Y$16,0,PROJECTIONS!Z34+PROJECTIONS!Z56)</f>
        <v>0</v>
      </c>
      <c r="AC34" s="930">
        <f>IF(9&gt;$Y$16,0,PROJECTIONS!Z43+PROJECTIONS!Z50+PROJECTIONS!Z81+PROJECTIONS!Z84)</f>
        <v>0</v>
      </c>
      <c r="AD34" s="998">
        <f>IF(9&gt;$Y$16,0,PROJECTIONS!Z58/($Y$13*$Y$6*$Y$5))</f>
        <v>0</v>
      </c>
      <c r="AE34" s="998">
        <f>IF(9&gt;$Y$16,0,PROJECTIONS!Z20/($Y$13*$Y$6*$Y$5))</f>
        <v>0</v>
      </c>
      <c r="AF34" s="931">
        <f>IF(9&gt;$Y$16,0,'PRO FORMA'!U67-'PRO FORMA'!U57+'PRO FORMA'!U61-'PRO FORMA'!U63)</f>
        <v>0</v>
      </c>
      <c r="AG34">
        <f>IFERROR(IF(AND(INPUTS!C33&lt;&gt;"",INPUTS!C33&lt;9),INDEX(DEBT!V19:V379,MATCH((9-INPUTS!C33)*12,DEBT!R19:R379,0))-INDEX(DEBT!Y19:Y379,MATCH((9-INPUTS!C33)*12,DEBT!R19:R379,0)),INDEX(DEBT!G19:G379,MATCH(9*12,DEBT!C19:C379,0))-INDEX(DEBT!J19:J379,MATCH(9*12,DEBT!C19:C379,0))),0)+IF(AND(INPUTS!C24="Yes",OR(INPUTS!C33="",INPUTS!C33&gt;=9)),IFERROR(INDEX(DEBT!$AO$21:$AO$30,9),0),0)</f>
        <v>0</v>
      </c>
    </row>
    <row r="35" spans="2:33">
      <c r="K35" s="974" t="e">
        <f>$Y$13*$Y$14+2*$C$44</f>
        <v>#VALUE!</v>
      </c>
      <c r="L35" s="969">
        <f t="shared" si="0"/>
        <v>0</v>
      </c>
      <c r="M35" s="969">
        <f t="shared" si="1"/>
        <v>0</v>
      </c>
      <c r="N35" s="969">
        <f t="shared" si="2"/>
        <v>0</v>
      </c>
      <c r="O35" s="969">
        <f t="shared" si="3"/>
        <v>0</v>
      </c>
      <c r="P35" s="969">
        <f t="shared" si="4"/>
        <v>0</v>
      </c>
      <c r="Q35" s="969">
        <f t="shared" si="5"/>
        <v>0</v>
      </c>
      <c r="R35" s="969">
        <f t="shared" si="6"/>
        <v>0</v>
      </c>
      <c r="S35" s="969">
        <f t="shared" si="7"/>
        <v>0</v>
      </c>
      <c r="T35" s="969">
        <f t="shared" si="8"/>
        <v>0</v>
      </c>
      <c r="U35" s="970">
        <f t="shared" si="9"/>
        <v>0</v>
      </c>
      <c r="X35" s="892">
        <v>10</v>
      </c>
      <c r="Y35" s="932" cm="1">
        <f t="array" ref="Y35">IF(10&gt;$Y$16,0,IFERROR('PRO FORMA'!W17/INDEX('PRO FORMA'!E17:W17,1,($Y$16-1)*2+1),0))</f>
        <v>0</v>
      </c>
      <c r="Z35" s="931">
        <f>IF(10&gt;$Y$16,0,PROJECTIONS!AB46+PROJECTIONS!AB52+PROJECTIONS!AB61+PROJECTIONS!AB64+PROJECTIONS!AB68+PROJECTIONS!AB71+PROJECTIONS!AB74+PROJECTIONS!AB77)</f>
        <v>0</v>
      </c>
      <c r="AA35" s="931">
        <f>IF(10&gt;$Y$16,0,'PRO FORMA'!W56+'PRO FORMA'!W58)</f>
        <v>0</v>
      </c>
      <c r="AB35" s="930">
        <f>IF(10&gt;$Y$16,0,PROJECTIONS!AB34+PROJECTIONS!AB56)</f>
        <v>0</v>
      </c>
      <c r="AC35" s="930">
        <f>IF(10&gt;$Y$16,0,PROJECTIONS!AB43+PROJECTIONS!AB50+PROJECTIONS!AB81+PROJECTIONS!AB84)</f>
        <v>0</v>
      </c>
      <c r="AD35" s="998">
        <f>IF(10&gt;$Y$16,0,PROJECTIONS!AB58/($Y$13*$Y$6*$Y$5))</f>
        <v>0</v>
      </c>
      <c r="AE35" s="998">
        <f>IF(10&gt;$Y$16,0,PROJECTIONS!AB20/($Y$13*$Y$6*$Y$5))</f>
        <v>0</v>
      </c>
      <c r="AF35" s="931">
        <f>IF(10&gt;$Y$16,0,'PRO FORMA'!W67-'PRO FORMA'!W57+'PRO FORMA'!W61-'PRO FORMA'!W63)</f>
        <v>0</v>
      </c>
      <c r="AG35">
        <f>IFERROR(IF(AND(INPUTS!C33&lt;&gt;"",INPUTS!C33&lt;10),INDEX(DEBT!V19:V379,MATCH((10-INPUTS!C33)*12,DEBT!R19:R379,0))-INDEX(DEBT!Y19:Y379,MATCH((10-INPUTS!C33)*12,DEBT!R19:R379,0)),INDEX(DEBT!G19:G379,MATCH(10*12,DEBT!C19:C379,0))-INDEX(DEBT!J19:J379,MATCH(10*12,DEBT!C19:C379,0))),0)+IF(AND(INPUTS!C24="Yes",OR(INPUTS!C33="",INPUTS!C33&gt;=10)),IFERROR(INDEX(DEBT!$AO$21:$AO$30,10),0),0)</f>
        <v>0</v>
      </c>
    </row>
    <row r="36" spans="2:33">
      <c r="K36" s="976" t="e">
        <f>$Y$13*$Y$14+3*$C$44</f>
        <v>#VALUE!</v>
      </c>
      <c r="L36" s="971">
        <f t="shared" si="0"/>
        <v>0</v>
      </c>
      <c r="M36" s="971">
        <f t="shared" si="1"/>
        <v>0</v>
      </c>
      <c r="N36" s="971">
        <f t="shared" si="2"/>
        <v>0</v>
      </c>
      <c r="O36" s="971">
        <f t="shared" si="3"/>
        <v>0</v>
      </c>
      <c r="P36" s="971">
        <f t="shared" si="4"/>
        <v>0</v>
      </c>
      <c r="Q36" s="971">
        <f t="shared" si="5"/>
        <v>0</v>
      </c>
      <c r="R36" s="971">
        <f t="shared" si="6"/>
        <v>0</v>
      </c>
      <c r="S36" s="971">
        <f t="shared" si="7"/>
        <v>0</v>
      </c>
      <c r="T36" s="971">
        <f t="shared" si="8"/>
        <v>0</v>
      </c>
      <c r="U36" s="972">
        <f t="shared" si="9"/>
        <v>0</v>
      </c>
    </row>
    <row r="37" spans="2:33">
      <c r="X37" s="927" t="s">
        <v>628</v>
      </c>
      <c r="Y37" s="928"/>
    </row>
    <row r="38" spans="2:33">
      <c r="X38" s="892" t="s">
        <v>583</v>
      </c>
      <c r="Y38" s="930">
        <f>WATERFALL!C11</f>
        <v>0.60000000000000009</v>
      </c>
    </row>
    <row r="39" spans="2:33">
      <c r="X39" s="892" t="s">
        <v>517</v>
      </c>
      <c r="Y39" s="931">
        <f>$Y$12*$Y$38</f>
        <v>0</v>
      </c>
    </row>
    <row r="40" spans="2:33">
      <c r="B40" s="887" t="s">
        <v>603</v>
      </c>
      <c r="C40" s="888"/>
      <c r="X40" s="892" t="s">
        <v>629</v>
      </c>
      <c r="Y40" s="930">
        <f>WATERFALL!I16</f>
        <v>0.60000000000000009</v>
      </c>
    </row>
    <row r="41" spans="2:33">
      <c r="B41" s="842" t="s">
        <v>604</v>
      </c>
      <c r="C41" s="1002">
        <v>0.02</v>
      </c>
      <c r="X41" s="892" t="s">
        <v>630</v>
      </c>
      <c r="Y41" s="930">
        <f>WATERFALL!I17</f>
        <v>0.51</v>
      </c>
    </row>
    <row r="42" spans="2:33">
      <c r="B42" s="842" t="s">
        <v>605</v>
      </c>
      <c r="C42" s="1003">
        <v>1</v>
      </c>
      <c r="X42" s="892" t="s">
        <v>631</v>
      </c>
      <c r="Y42" s="930">
        <f>WATERFALL!I18</f>
        <v>0.45000000000000007</v>
      </c>
    </row>
    <row r="43" spans="2:33">
      <c r="B43" s="842" t="s">
        <v>606</v>
      </c>
      <c r="C43" s="1004">
        <v>0.1</v>
      </c>
      <c r="X43" s="892" t="s">
        <v>632</v>
      </c>
      <c r="Y43" s="934">
        <f>WATERFALL!C17</f>
        <v>1.5</v>
      </c>
    </row>
    <row r="44" spans="2:33">
      <c r="B44" s="3" t="s">
        <v>745</v>
      </c>
      <c r="C44" s="1005">
        <v>3</v>
      </c>
      <c r="X44" s="892" t="s">
        <v>633</v>
      </c>
      <c r="Y44" s="934">
        <f>WATERFALL!C18</f>
        <v>1.75</v>
      </c>
    </row>
    <row r="45" spans="2:33" hidden="1">
      <c r="B45" s="924" t="s">
        <v>610</v>
      </c>
      <c r="C45" s="926" t="s">
        <v>611</v>
      </c>
      <c r="D45" s="926" t="s">
        <v>612</v>
      </c>
      <c r="E45" s="926" t="s">
        <v>613</v>
      </c>
      <c r="F45" s="926" t="s">
        <v>614</v>
      </c>
      <c r="G45" s="926" t="s">
        <v>615</v>
      </c>
      <c r="H45" s="926" t="s">
        <v>616</v>
      </c>
      <c r="I45" s="926" t="s">
        <v>617</v>
      </c>
      <c r="J45" s="926" t="s">
        <v>618</v>
      </c>
      <c r="K45" s="926" t="s">
        <v>619</v>
      </c>
      <c r="L45" s="926" t="s">
        <v>620</v>
      </c>
      <c r="M45" s="926" t="s">
        <v>621</v>
      </c>
    </row>
    <row r="46" spans="2:33" hidden="1">
      <c r="B46" s="933" t="e">
        <f t="shared" ref="B46:B52" si="10">C$18&amp;" × $"&amp;TEXT($B19,"0")</f>
        <v>#VALUE!</v>
      </c>
      <c r="C46">
        <f t="shared" ref="C46:C77" si="11">-$Y$39</f>
        <v>0</v>
      </c>
      <c r="D46" s="43">
        <f t="shared" ref="D46:D52" si="12">IF(1&gt;$Y$16,0,IF(1&lt;$Y$16,$Y$40*_xlfn.LET(_xlpm.sRR,C$18*$B19*$Y$5*$Y$6*$Y$26,_xlpm.sOR,C$18*$Y$5*$Y$6,_xlpm.sOI,$AE$26*_xlpm.sOR,_xlpm.sOD,$Y$20*_xlpm.sRR,_xlpm.sGR,_xlpm.sRR+_xlpm.sOI+_xlpm.sOD,_xlpm.sExp,$Z$26+$AB$26*_xlpm.sRR+($AC$26+$Y$21)*_xlpm.sGR+$AD$26*_xlpm.sOR,_xlpm.sGR-_xlpm.sExp+$AA$26+$AF$26),_xlfn.LET(_xlpm.sRR,C$18*$B19*$Y$5*$Y$6*$Y$26,_xlpm.sOR,C$18*$Y$5*$Y$6,_xlpm.sOI,$AE$26*_xlpm.sOR,_xlpm.sOD,$Y$20*_xlpm.sRR,_xlpm.sGR,_xlpm.sRR+_xlpm.sOI+_xlpm.sOD,_xlpm.sExp,$Z$26+$AB$26*_xlpm.sRR+($AC$26+$Y$21)*_xlpm.sGR+$AD$26*_xlpm.sOR,_xlpm.opCF,_xlpm.sGR-_xlpm.sExp+$AA$26+$AF$26,_xlpm.totalCF,_xlpm.opCF+(C$18*$B19*$Y$5*$Y$6*$Y$15*(1-$Y$17)-$Y$22),_xlpm.t1cap,$Y$43*$Y$12,_xlpm.t2cap,$Y$44*$Y$12,IF(_xlpm.totalCF&lt;=0,$Y$38*_xlpm.totalCF,$Y$40*MIN(MAX(_xlpm.totalCF,0),_xlpm.t1cap)+$Y$41*MAX(MIN(MAX(_xlpm.totalCF,0),_xlpm.t2cap)-_xlpm.t1cap,0)+$Y$42*MAX(MAX(_xlpm.totalCF,0)-_xlpm.t2cap,0)))))</f>
        <v>0</v>
      </c>
      <c r="E46" s="43">
        <f t="shared" ref="E46:E52" si="13">IF(2&gt;$Y$16,0,IF(2&lt;$Y$16,$Y$40*_xlfn.LET(_xlpm.sRR,C$18*$B19*$Y$5*$Y$6*$Y$27,_xlpm.sOR,C$18*$Y$5*$Y$6,_xlpm.sOI,$AE$27*_xlpm.sOR,_xlpm.sOD,$Y$20*_xlpm.sRR,_xlpm.sGR,_xlpm.sRR+_xlpm.sOI+_xlpm.sOD,_xlpm.sExp,$Z$27+$AB$27*_xlpm.sRR+($AC$27+$Y$21)*_xlpm.sGR+$AD$27*_xlpm.sOR,_xlpm.sGR-_xlpm.sExp+$AA$27+$AF$27),_xlfn.LET(_xlpm.sRR,C$18*$B19*$Y$5*$Y$6*$Y$27,_xlpm.sOR,C$18*$Y$5*$Y$6,_xlpm.sOI,$AE$27*_xlpm.sOR,_xlpm.sOD,$Y$20*_xlpm.sRR,_xlpm.sGR,_xlpm.sRR+_xlpm.sOI+_xlpm.sOD,_xlpm.sExp,$Z$27+$AB$27*_xlpm.sRR+($AC$27+$Y$21)*_xlpm.sGR+$AD$27*_xlpm.sOR,_xlpm.opCF,_xlpm.sGR-_xlpm.sExp+$AA$27+$AF$27,_xlpm.totalCF,_xlpm.opCF+(C$18*$B19*$Y$5*$Y$6*$Y$15*(1-$Y$17)-$Y$22),_xlpm.t1cap,$Y$43*$Y$12,_xlpm.t2cap,$Y$44*$Y$12,IF(_xlpm.totalCF&lt;=0,$Y$38*_xlpm.totalCF,$Y$40*MIN(MAX(_xlpm.totalCF,0),_xlpm.t1cap)+$Y$41*MAX(MIN(MAX(_xlpm.totalCF,0),_xlpm.t2cap)-_xlpm.t1cap,0)+$Y$42*MAX(MAX(_xlpm.totalCF,0)-_xlpm.t2cap,0)))))</f>
        <v>0</v>
      </c>
      <c r="F46" s="43">
        <f t="shared" ref="F46:F52" si="14">IF(3&gt;$Y$16,0,IF(3&lt;$Y$16,$Y$40*_xlfn.LET(_xlpm.sRR,C$18*$B19*$Y$5*$Y$6*$Y$28,_xlpm.sOR,C$18*$Y$5*$Y$6,_xlpm.sOI,$AE$28*_xlpm.sOR,_xlpm.sOD,$Y$20*_xlpm.sRR,_xlpm.sGR,_xlpm.sRR+_xlpm.sOI+_xlpm.sOD,_xlpm.sExp,$Z$28+$AB$28*_xlpm.sRR+($AC$28+$Y$21)*_xlpm.sGR+$AD$28*_xlpm.sOR,_xlpm.sGR-_xlpm.sExp+$AA$28+$AF$28),_xlfn.LET(_xlpm.sRR,C$18*$B19*$Y$5*$Y$6*$Y$28,_xlpm.sOR,C$18*$Y$5*$Y$6,_xlpm.sOI,$AE$28*_xlpm.sOR,_xlpm.sOD,$Y$20*_xlpm.sRR,_xlpm.sGR,_xlpm.sRR+_xlpm.sOI+_xlpm.sOD,_xlpm.sExp,$Z$28+$AB$28*_xlpm.sRR+($AC$28+$Y$21)*_xlpm.sGR+$AD$28*_xlpm.sOR,_xlpm.opCF,_xlpm.sGR-_xlpm.sExp+$AA$28+$AF$28,_xlpm.totalCF,_xlpm.opCF+(C$18*$B19*$Y$5*$Y$6*$Y$15*(1-$Y$17)-$Y$22),_xlpm.t1cap,$Y$43*$Y$12,_xlpm.t2cap,$Y$44*$Y$12,IF(_xlpm.totalCF&lt;=0,$Y$38*_xlpm.totalCF,$Y$40*MIN(MAX(_xlpm.totalCF,0),_xlpm.t1cap)+$Y$41*MAX(MIN(MAX(_xlpm.totalCF,0),_xlpm.t2cap)-_xlpm.t1cap,0)+$Y$42*MAX(MAX(_xlpm.totalCF,0)-_xlpm.t2cap,0)))))</f>
        <v>0</v>
      </c>
      <c r="G46" s="43">
        <f t="shared" ref="G46:G52" si="15">IF(4&gt;$Y$16,0,IF(4&lt;$Y$16,$Y$40*_xlfn.LET(_xlpm.sRR,C$18*$B19*$Y$5*$Y$6*$Y$29,_xlpm.sOR,C$18*$Y$5*$Y$6,_xlpm.sOI,$AE$29*_xlpm.sOR,_xlpm.sOD,$Y$20*_xlpm.sRR,_xlpm.sGR,_xlpm.sRR+_xlpm.sOI+_xlpm.sOD,_xlpm.sExp,$Z$29+$AB$29*_xlpm.sRR+($AC$29+$Y$21)*_xlpm.sGR+$AD$29*_xlpm.sOR,_xlpm.sGR-_xlpm.sExp+$AA$29+$AF$29),_xlfn.LET(_xlpm.sRR,C$18*$B19*$Y$5*$Y$6*$Y$29,_xlpm.sOR,C$18*$Y$5*$Y$6,_xlpm.sOI,$AE$29*_xlpm.sOR,_xlpm.sOD,$Y$20*_xlpm.sRR,_xlpm.sGR,_xlpm.sRR+_xlpm.sOI+_xlpm.sOD,_xlpm.sExp,$Z$29+$AB$29*_xlpm.sRR+($AC$29+$Y$21)*_xlpm.sGR+$AD$29*_xlpm.sOR,_xlpm.opCF,_xlpm.sGR-_xlpm.sExp+$AA$29+$AF$29,_xlpm.totalCF,_xlpm.opCF+(C$18*$B19*$Y$5*$Y$6*$Y$15*(1-$Y$17)-$Y$22),_xlpm.t1cap,$Y$43*$Y$12,_xlpm.t2cap,$Y$44*$Y$12,IF(_xlpm.totalCF&lt;=0,$Y$38*_xlpm.totalCF,$Y$40*MIN(MAX(_xlpm.totalCF,0),_xlpm.t1cap)+$Y$41*MAX(MIN(MAX(_xlpm.totalCF,0),_xlpm.t2cap)-_xlpm.t1cap,0)+$Y$42*MAX(MAX(_xlpm.totalCF,0)-_xlpm.t2cap,0)))))</f>
        <v>0</v>
      </c>
      <c r="H46" s="43">
        <f t="shared" ref="H46:H52" si="16">IF(5&gt;$Y$16,0,IF(5&lt;$Y$16,$Y$40*_xlfn.LET(_xlpm.sRR,C$18*$B19*$Y$5*$Y$6*$Y$30,_xlpm.sOR,C$18*$Y$5*$Y$6,_xlpm.sOI,$AE$30*_xlpm.sOR,_xlpm.sOD,$Y$20*_xlpm.sRR,_xlpm.sGR,_xlpm.sRR+_xlpm.sOI+_xlpm.sOD,_xlpm.sExp,$Z$30+$AB$30*_xlpm.sRR+($AC$30+$Y$21)*_xlpm.sGR+$AD$30*_xlpm.sOR,_xlpm.sGR-_xlpm.sExp+$AA$30+$AF$30),_xlfn.LET(_xlpm.sRR,C$18*$B19*$Y$5*$Y$6*$Y$30,_xlpm.sOR,C$18*$Y$5*$Y$6,_xlpm.sOI,$AE$30*_xlpm.sOR,_xlpm.sOD,$Y$20*_xlpm.sRR,_xlpm.sGR,_xlpm.sRR+_xlpm.sOI+_xlpm.sOD,_xlpm.sExp,$Z$30+$AB$30*_xlpm.sRR+($AC$30+$Y$21)*_xlpm.sGR+$AD$30*_xlpm.sOR,_xlpm.opCF,_xlpm.sGR-_xlpm.sExp+$AA$30+$AF$30,_xlpm.totalCF,_xlpm.opCF+(C$18*$B19*$Y$5*$Y$6*$Y$15*(1-$Y$17)-$Y$22),_xlpm.t1cap,$Y$43*$Y$12,_xlpm.t2cap,$Y$44*$Y$12,IF(_xlpm.totalCF&lt;=0,$Y$38*_xlpm.totalCF,$Y$40*MIN(MAX(_xlpm.totalCF,0),_xlpm.t1cap)+$Y$41*MAX(MIN(MAX(_xlpm.totalCF,0),_xlpm.t2cap)-_xlpm.t1cap,0)+$Y$42*MAX(MAX(_xlpm.totalCF,0)-_xlpm.t2cap,0)))))</f>
        <v>0</v>
      </c>
      <c r="I46" s="43">
        <f t="shared" ref="I46:I52" si="17">IF(6&gt;$Y$16,0,IF(6&lt;$Y$16,$Y$40*_xlfn.LET(_xlpm.sRR,C$18*$B19*$Y$5*$Y$6*$Y$31,_xlpm.sOR,C$18*$Y$5*$Y$6,_xlpm.sOI,$AE$31*_xlpm.sOR,_xlpm.sOD,$Y$20*_xlpm.sRR,_xlpm.sGR,_xlpm.sRR+_xlpm.sOI+_xlpm.sOD,_xlpm.sExp,$Z$31+$AB$31*_xlpm.sRR+($AC$31+$Y$21)*_xlpm.sGR+$AD$31*_xlpm.sOR,_xlpm.sGR-_xlpm.sExp+$AA$31+$AF$31),_xlfn.LET(_xlpm.sRR,C$18*$B19*$Y$5*$Y$6*$Y$31,_xlpm.sOR,C$18*$Y$5*$Y$6,_xlpm.sOI,$AE$31*_xlpm.sOR,_xlpm.sOD,$Y$20*_xlpm.sRR,_xlpm.sGR,_xlpm.sRR+_xlpm.sOI+_xlpm.sOD,_xlpm.sExp,$Z$31+$AB$31*_xlpm.sRR+($AC$31+$Y$21)*_xlpm.sGR+$AD$31*_xlpm.sOR,_xlpm.opCF,_xlpm.sGR-_xlpm.sExp+$AA$31+$AF$31,_xlpm.totalCF,_xlpm.opCF+(C$18*$B19*$Y$5*$Y$6*$Y$15*(1-$Y$17)-$Y$22),_xlpm.t1cap,$Y$43*$Y$12,_xlpm.t2cap,$Y$44*$Y$12,IF(_xlpm.totalCF&lt;=0,$Y$38*_xlpm.totalCF,$Y$40*MIN(MAX(_xlpm.totalCF,0),_xlpm.t1cap)+$Y$41*MAX(MIN(MAX(_xlpm.totalCF,0),_xlpm.t2cap)-_xlpm.t1cap,0)+$Y$42*MAX(MAX(_xlpm.totalCF,0)-_xlpm.t2cap,0)))))</f>
        <v>0</v>
      </c>
      <c r="J46" s="43">
        <f t="shared" ref="J46:J52" si="18">IF(7&gt;$Y$16,0,IF(7&lt;$Y$16,$Y$40*_xlfn.LET(_xlpm.sRR,C$18*$B19*$Y$5*$Y$6*$Y$32,_xlpm.sOR,C$18*$Y$5*$Y$6,_xlpm.sOI,$AE$32*_xlpm.sOR,_xlpm.sOD,$Y$20*_xlpm.sRR,_xlpm.sGR,_xlpm.sRR+_xlpm.sOI+_xlpm.sOD,_xlpm.sExp,$Z$32+$AB$32*_xlpm.sRR+($AC$32+$Y$21)*_xlpm.sGR+$AD$32*_xlpm.sOR,_xlpm.sGR-_xlpm.sExp+$AA$32+$AF$32),_xlfn.LET(_xlpm.sRR,C$18*$B19*$Y$5*$Y$6*$Y$32,_xlpm.sOR,C$18*$Y$5*$Y$6,_xlpm.sOI,$AE$32*_xlpm.sOR,_xlpm.sOD,$Y$20*_xlpm.sRR,_xlpm.sGR,_xlpm.sRR+_xlpm.sOI+_xlpm.sOD,_xlpm.sExp,$Z$32+$AB$32*_xlpm.sRR+($AC$32+$Y$21)*_xlpm.sGR+$AD$32*_xlpm.sOR,_xlpm.opCF,_xlpm.sGR-_xlpm.sExp+$AA$32+$AF$32,_xlpm.totalCF,_xlpm.opCF+(C$18*$B19*$Y$5*$Y$6*$Y$15*(1-$Y$17)-$Y$22),_xlpm.t1cap,$Y$43*$Y$12,_xlpm.t2cap,$Y$44*$Y$12,IF(_xlpm.totalCF&lt;=0,$Y$38*_xlpm.totalCF,$Y$40*MIN(MAX(_xlpm.totalCF,0),_xlpm.t1cap)+$Y$41*MAX(MIN(MAX(_xlpm.totalCF,0),_xlpm.t2cap)-_xlpm.t1cap,0)+$Y$42*MAX(MAX(_xlpm.totalCF,0)-_xlpm.t2cap,0)))))</f>
        <v>0</v>
      </c>
      <c r="K46" s="43">
        <f t="shared" ref="K46:K52" si="19">IF(8&gt;$Y$16,0,IF(8&lt;$Y$16,$Y$40*_xlfn.LET(_xlpm.sRR,C$18*$B19*$Y$5*$Y$6*$Y$33,_xlpm.sOR,C$18*$Y$5*$Y$6,_xlpm.sOI,$AE$33*_xlpm.sOR,_xlpm.sOD,$Y$20*_xlpm.sRR,_xlpm.sGR,_xlpm.sRR+_xlpm.sOI+_xlpm.sOD,_xlpm.sExp,$Z$33+$AB$33*_xlpm.sRR+($AC$33+$Y$21)*_xlpm.sGR+$AD$33*_xlpm.sOR,_xlpm.sGR-_xlpm.sExp+$AA$33+$AF$33),_xlfn.LET(_xlpm.sRR,C$18*$B19*$Y$5*$Y$6*$Y$33,_xlpm.sOR,C$18*$Y$5*$Y$6,_xlpm.sOI,$AE$33*_xlpm.sOR,_xlpm.sOD,$Y$20*_xlpm.sRR,_xlpm.sGR,_xlpm.sRR+_xlpm.sOI+_xlpm.sOD,_xlpm.sExp,$Z$33+$AB$33*_xlpm.sRR+($AC$33+$Y$21)*_xlpm.sGR+$AD$33*_xlpm.sOR,_xlpm.opCF,_xlpm.sGR-_xlpm.sExp+$AA$33+$AF$33,_xlpm.totalCF,_xlpm.opCF+(C$18*$B19*$Y$5*$Y$6*$Y$15*(1-$Y$17)-$Y$22),_xlpm.t1cap,$Y$43*$Y$12,_xlpm.t2cap,$Y$44*$Y$12,IF(_xlpm.totalCF&lt;=0,$Y$38*_xlpm.totalCF,$Y$40*MIN(MAX(_xlpm.totalCF,0),_xlpm.t1cap)+$Y$41*MAX(MIN(MAX(_xlpm.totalCF,0),_xlpm.t2cap)-_xlpm.t1cap,0)+$Y$42*MAX(MAX(_xlpm.totalCF,0)-_xlpm.t2cap,0)))))</f>
        <v>0</v>
      </c>
      <c r="L46" s="43">
        <f t="shared" ref="L46:L52" si="20">IF(9&gt;$Y$16,0,IF(9&lt;$Y$16,$Y$40*_xlfn.LET(_xlpm.sRR,C$18*$B19*$Y$5*$Y$6*$Y$34,_xlpm.sOR,C$18*$Y$5*$Y$6,_xlpm.sOI,$AE$34*_xlpm.sOR,_xlpm.sOD,$Y$20*_xlpm.sRR,_xlpm.sGR,_xlpm.sRR+_xlpm.sOI+_xlpm.sOD,_xlpm.sExp,$Z$34+$AB$34*_xlpm.sRR+($AC$34+$Y$21)*_xlpm.sGR+$AD$34*_xlpm.sOR,_xlpm.sGR-_xlpm.sExp+$AA$34+$AF$34),_xlfn.LET(_xlpm.sRR,C$18*$B19*$Y$5*$Y$6*$Y$34,_xlpm.sOR,C$18*$Y$5*$Y$6,_xlpm.sOI,$AE$34*_xlpm.sOR,_xlpm.sOD,$Y$20*_xlpm.sRR,_xlpm.sGR,_xlpm.sRR+_xlpm.sOI+_xlpm.sOD,_xlpm.sExp,$Z$34+$AB$34*_xlpm.sRR+($AC$34+$Y$21)*_xlpm.sGR+$AD$34*_xlpm.sOR,_xlpm.opCF,_xlpm.sGR-_xlpm.sExp+$AA$34+$AF$34,_xlpm.totalCF,_xlpm.opCF+(C$18*$B19*$Y$5*$Y$6*$Y$15*(1-$Y$17)-$Y$22),_xlpm.t1cap,$Y$43*$Y$12,_xlpm.t2cap,$Y$44*$Y$12,IF(_xlpm.totalCF&lt;=0,$Y$38*_xlpm.totalCF,$Y$40*MIN(MAX(_xlpm.totalCF,0),_xlpm.t1cap)+$Y$41*MAX(MIN(MAX(_xlpm.totalCF,0),_xlpm.t2cap)-_xlpm.t1cap,0)+$Y$42*MAX(MAX(_xlpm.totalCF,0)-_xlpm.t2cap,0)))))</f>
        <v>0</v>
      </c>
      <c r="M46" s="43">
        <f t="shared" ref="M46:M52" si="21">IF(10&gt;$Y$16,0,IF(10&lt;$Y$16,$Y$40*_xlfn.LET(_xlpm.sRR,C$18*$B19*$Y$5*$Y$6*$Y$35,_xlpm.sOR,C$18*$Y$5*$Y$6,_xlpm.sOI,$AE$35*_xlpm.sOR,_xlpm.sOD,$Y$20*_xlpm.sRR,_xlpm.sGR,_xlpm.sRR+_xlpm.sOI+_xlpm.sOD,_xlpm.sExp,$Z$35+$AB$35*_xlpm.sRR+($AC$35+$Y$21)*_xlpm.sGR+$AD$35*_xlpm.sOR,_xlpm.sGR-_xlpm.sExp+$AA$35+$AF$35),IF(P46&lt;=0,$Y$38*P46,Q46+R46+S46)))</f>
        <v>0</v>
      </c>
      <c r="N46" t="e" cm="1">
        <f t="array" ref="N46">$Y$39*(1+$Y$46)^($Y$16-1)-SUMPRODUCT(D46:L46,(1+$Y$46)^_xlfn.SEQUENCE(1,$Y$16-1,$Y$16-2,-1))</f>
        <v>#VALUE!</v>
      </c>
      <c r="O46" t="e" cm="1">
        <f t="array" ref="O46">$Y$39*(1+$Y$47)^($Y$16-1)-SUMPRODUCT(D46:L46,(1+$Y$47)^_xlfn.SEQUENCE(1,$Y$16-1,$Y$16-2,-1))</f>
        <v>#VALUE!</v>
      </c>
      <c r="P46" t="e">
        <f t="shared" ref="P46:P52" si="22">_xlfn.LET(_xlpm.sRR,C$18*$B19*$Y$5*$Y$6*$Y$35,_xlpm.sOR,C$18*$Y$5*$Y$6,_xlpm.sOI,$AE$35*_xlpm.sOR,_xlpm.sOD,$Y$20*_xlpm.sRR,_xlpm.sGR,_xlpm.sRR+_xlpm.sOI+_xlpm.sOD,_xlpm.sExp,$Z$35+$AB$35*_xlpm.sRR+($AC$35+$Y$21)*_xlpm.sGR+$AD$35*_xlpm.sOR,_xlpm.opCF,_xlpm.sGR-_xlpm.sExp+$AA$35+$AF$35,_xlpm.opCF+(C$18*$B19*$Y$5*$Y$6*$Y$15*(1-$Y$17)-$Y$22))</f>
        <v>#VALUE!</v>
      </c>
      <c r="Q46" t="e">
        <f t="shared" ref="Q46:Q77" si="23">MIN(N46+N46*$Y$46,MAX((P46-$Y$48*MAX(P46,0)),0)*$Y$40/($Y$40+$Y$49))</f>
        <v>#VALUE!</v>
      </c>
      <c r="R46" t="e">
        <f t="shared" ref="R46:R77" si="24">MIN(O46+O46*$Y$47-Q46,MAX(P46-Q46-Q46/$Y$40*$Y$49-$Y$48*MAX(P46,0),0)*$Y$41)</f>
        <v>#VALUE!</v>
      </c>
      <c r="S46" t="e">
        <f t="shared" ref="S46:S77" si="25">MAX(P46-(Q46+Q46/$Y$40*$Y$49+$Y$48*MAX(P46,0))-(R46+R46/$Y$41*(1-$Y$41)),0)*$Y$42</f>
        <v>#VALUE!</v>
      </c>
      <c r="X46" s="892" t="s">
        <v>728</v>
      </c>
      <c r="Y46" s="954">
        <f>WATERFALL!E16</f>
        <v>0.1</v>
      </c>
    </row>
    <row r="47" spans="2:33" hidden="1">
      <c r="B47" s="933" t="e">
        <f t="shared" si="10"/>
        <v>#VALUE!</v>
      </c>
      <c r="C47">
        <f t="shared" si="11"/>
        <v>0</v>
      </c>
      <c r="D47" s="43">
        <f t="shared" si="12"/>
        <v>0</v>
      </c>
      <c r="E47" s="43">
        <f t="shared" si="13"/>
        <v>0</v>
      </c>
      <c r="F47" s="43">
        <f t="shared" si="14"/>
        <v>0</v>
      </c>
      <c r="G47" s="43">
        <f t="shared" si="15"/>
        <v>0</v>
      </c>
      <c r="H47" s="43">
        <f t="shared" si="16"/>
        <v>0</v>
      </c>
      <c r="I47" s="43">
        <f t="shared" si="17"/>
        <v>0</v>
      </c>
      <c r="J47" s="43">
        <f t="shared" si="18"/>
        <v>0</v>
      </c>
      <c r="K47" s="43">
        <f t="shared" si="19"/>
        <v>0</v>
      </c>
      <c r="L47" s="43">
        <f t="shared" si="20"/>
        <v>0</v>
      </c>
      <c r="M47" s="43">
        <f t="shared" si="21"/>
        <v>0</v>
      </c>
      <c r="N47" t="e" cm="1">
        <f t="array" ref="N47">$Y$39*(1+$Y$46)^($Y$16-1)-SUMPRODUCT(D47:L47,(1+$Y$46)^_xlfn.SEQUENCE(1,$Y$16-1,$Y$16-2,-1))</f>
        <v>#VALUE!</v>
      </c>
      <c r="O47" t="e" cm="1">
        <f t="array" ref="O47">$Y$39*(1+$Y$47)^($Y$16-1)-SUMPRODUCT(D47:L47,(1+$Y$47)^_xlfn.SEQUENCE(1,$Y$16-1,$Y$16-2,-1))</f>
        <v>#VALUE!</v>
      </c>
      <c r="P47" t="e">
        <f t="shared" si="22"/>
        <v>#VALUE!</v>
      </c>
      <c r="Q47" t="e">
        <f t="shared" si="23"/>
        <v>#VALUE!</v>
      </c>
      <c r="R47" t="e">
        <f t="shared" si="24"/>
        <v>#VALUE!</v>
      </c>
      <c r="S47" t="e">
        <f t="shared" si="25"/>
        <v>#VALUE!</v>
      </c>
      <c r="X47" s="892" t="s">
        <v>729</v>
      </c>
      <c r="Y47" s="954">
        <f>WATERFALL!E71</f>
        <v>0.12</v>
      </c>
    </row>
    <row r="48" spans="2:33" hidden="1">
      <c r="B48" s="933" t="e">
        <f t="shared" si="10"/>
        <v>#VALUE!</v>
      </c>
      <c r="C48">
        <f t="shared" si="11"/>
        <v>0</v>
      </c>
      <c r="D48" s="43">
        <f t="shared" si="12"/>
        <v>0</v>
      </c>
      <c r="E48" s="43">
        <f t="shared" si="13"/>
        <v>0</v>
      </c>
      <c r="F48" s="43">
        <f t="shared" si="14"/>
        <v>0</v>
      </c>
      <c r="G48" s="43">
        <f t="shared" si="15"/>
        <v>0</v>
      </c>
      <c r="H48" s="43">
        <f t="shared" si="16"/>
        <v>0</v>
      </c>
      <c r="I48" s="43">
        <f t="shared" si="17"/>
        <v>0</v>
      </c>
      <c r="J48" s="43">
        <f t="shared" si="18"/>
        <v>0</v>
      </c>
      <c r="K48" s="43">
        <f t="shared" si="19"/>
        <v>0</v>
      </c>
      <c r="L48" s="43">
        <f t="shared" si="20"/>
        <v>0</v>
      </c>
      <c r="M48" s="43">
        <f t="shared" si="21"/>
        <v>0</v>
      </c>
      <c r="N48" t="e" cm="1">
        <f t="array" ref="N48">$Y$39*(1+$Y$46)^($Y$16-1)-SUMPRODUCT(D48:L48,(1+$Y$46)^_xlfn.SEQUENCE(1,$Y$16-1,$Y$16-2,-1))</f>
        <v>#VALUE!</v>
      </c>
      <c r="O48" t="e" cm="1">
        <f t="array" ref="O48">$Y$39*(1+$Y$47)^($Y$16-1)-SUMPRODUCT(D48:L48,(1+$Y$47)^_xlfn.SEQUENCE(1,$Y$16-1,$Y$16-2,-1))</f>
        <v>#VALUE!</v>
      </c>
      <c r="P48" t="e">
        <f t="shared" si="22"/>
        <v>#VALUE!</v>
      </c>
      <c r="Q48" t="e">
        <f t="shared" si="23"/>
        <v>#VALUE!</v>
      </c>
      <c r="R48" t="e">
        <f t="shared" si="24"/>
        <v>#VALUE!</v>
      </c>
      <c r="S48" t="e">
        <f t="shared" si="25"/>
        <v>#VALUE!</v>
      </c>
      <c r="X48" s="892" t="s">
        <v>730</v>
      </c>
      <c r="Y48" s="954">
        <f>WATERFALL!C10</f>
        <v>0.3</v>
      </c>
    </row>
    <row r="49" spans="2:25" hidden="1">
      <c r="B49" s="933" t="e">
        <f t="shared" si="10"/>
        <v>#VALUE!</v>
      </c>
      <c r="C49">
        <f t="shared" si="11"/>
        <v>0</v>
      </c>
      <c r="D49" s="43">
        <f t="shared" si="12"/>
        <v>0</v>
      </c>
      <c r="E49" s="43">
        <f t="shared" si="13"/>
        <v>0</v>
      </c>
      <c r="F49" s="43">
        <f t="shared" si="14"/>
        <v>0</v>
      </c>
      <c r="G49" s="43">
        <f t="shared" si="15"/>
        <v>0</v>
      </c>
      <c r="H49" s="43">
        <f t="shared" si="16"/>
        <v>0</v>
      </c>
      <c r="I49" s="43">
        <f t="shared" si="17"/>
        <v>0</v>
      </c>
      <c r="J49" s="43">
        <f t="shared" si="18"/>
        <v>0</v>
      </c>
      <c r="K49" s="43">
        <f t="shared" si="19"/>
        <v>0</v>
      </c>
      <c r="L49" s="43">
        <f t="shared" si="20"/>
        <v>0</v>
      </c>
      <c r="M49" s="43">
        <f t="shared" si="21"/>
        <v>0</v>
      </c>
      <c r="N49" t="e" cm="1">
        <f t="array" ref="N49">$Y$39*(1+$Y$46)^($Y$16-1)-SUMPRODUCT(D49:L49,(1+$Y$46)^_xlfn.SEQUENCE(1,$Y$16-1,$Y$16-2,-1))</f>
        <v>#VALUE!</v>
      </c>
      <c r="O49" t="e" cm="1">
        <f t="array" ref="O49">$Y$39*(1+$Y$47)^($Y$16-1)-SUMPRODUCT(D49:L49,(1+$Y$47)^_xlfn.SEQUENCE(1,$Y$16-1,$Y$16-2,-1))</f>
        <v>#VALUE!</v>
      </c>
      <c r="P49" t="e">
        <f t="shared" si="22"/>
        <v>#VALUE!</v>
      </c>
      <c r="Q49" t="e">
        <f t="shared" si="23"/>
        <v>#VALUE!</v>
      </c>
      <c r="R49" t="e">
        <f t="shared" si="24"/>
        <v>#VALUE!</v>
      </c>
      <c r="S49" t="e">
        <f t="shared" si="25"/>
        <v>#VALUE!</v>
      </c>
      <c r="X49" s="892" t="s">
        <v>731</v>
      </c>
      <c r="Y49" s="954">
        <f>WATERFALL!H16</f>
        <v>0.1</v>
      </c>
    </row>
    <row r="50" spans="2:25" hidden="1">
      <c r="B50" s="933" t="e">
        <f t="shared" si="10"/>
        <v>#VALUE!</v>
      </c>
      <c r="C50">
        <f t="shared" si="11"/>
        <v>0</v>
      </c>
      <c r="D50" s="43">
        <f t="shared" si="12"/>
        <v>0</v>
      </c>
      <c r="E50" s="43">
        <f t="shared" si="13"/>
        <v>0</v>
      </c>
      <c r="F50" s="43">
        <f t="shared" si="14"/>
        <v>0</v>
      </c>
      <c r="G50" s="43">
        <f t="shared" si="15"/>
        <v>0</v>
      </c>
      <c r="H50" s="43">
        <f t="shared" si="16"/>
        <v>0</v>
      </c>
      <c r="I50" s="43">
        <f t="shared" si="17"/>
        <v>0</v>
      </c>
      <c r="J50" s="43">
        <f t="shared" si="18"/>
        <v>0</v>
      </c>
      <c r="K50" s="43">
        <f t="shared" si="19"/>
        <v>0</v>
      </c>
      <c r="L50" s="43">
        <f t="shared" si="20"/>
        <v>0</v>
      </c>
      <c r="M50" s="43">
        <f t="shared" si="21"/>
        <v>0</v>
      </c>
      <c r="N50" t="e" cm="1">
        <f t="array" ref="N50">$Y$39*(1+$Y$46)^($Y$16-1)-SUMPRODUCT(D50:L50,(1+$Y$46)^_xlfn.SEQUENCE(1,$Y$16-1,$Y$16-2,-1))</f>
        <v>#VALUE!</v>
      </c>
      <c r="O50" t="e" cm="1">
        <f t="array" ref="O50">$Y$39*(1+$Y$47)^($Y$16-1)-SUMPRODUCT(D50:L50,(1+$Y$47)^_xlfn.SEQUENCE(1,$Y$16-1,$Y$16-2,-1))</f>
        <v>#VALUE!</v>
      </c>
      <c r="P50" t="e">
        <f t="shared" si="22"/>
        <v>#VALUE!</v>
      </c>
      <c r="Q50" t="e">
        <f t="shared" si="23"/>
        <v>#VALUE!</v>
      </c>
      <c r="R50" t="e">
        <f t="shared" si="24"/>
        <v>#VALUE!</v>
      </c>
      <c r="S50" t="e">
        <f t="shared" si="25"/>
        <v>#VALUE!</v>
      </c>
    </row>
    <row r="51" spans="2:25" hidden="1">
      <c r="B51" s="933" t="e">
        <f t="shared" si="10"/>
        <v>#VALUE!</v>
      </c>
      <c r="C51">
        <f t="shared" si="11"/>
        <v>0</v>
      </c>
      <c r="D51" s="43">
        <f t="shared" si="12"/>
        <v>0</v>
      </c>
      <c r="E51" s="43">
        <f t="shared" si="13"/>
        <v>0</v>
      </c>
      <c r="F51" s="43">
        <f t="shared" si="14"/>
        <v>0</v>
      </c>
      <c r="G51" s="43">
        <f t="shared" si="15"/>
        <v>0</v>
      </c>
      <c r="H51" s="43">
        <f t="shared" si="16"/>
        <v>0</v>
      </c>
      <c r="I51" s="43">
        <f t="shared" si="17"/>
        <v>0</v>
      </c>
      <c r="J51" s="43">
        <f t="shared" si="18"/>
        <v>0</v>
      </c>
      <c r="K51" s="43">
        <f t="shared" si="19"/>
        <v>0</v>
      </c>
      <c r="L51" s="43">
        <f t="shared" si="20"/>
        <v>0</v>
      </c>
      <c r="M51" s="43">
        <f t="shared" si="21"/>
        <v>0</v>
      </c>
      <c r="N51" t="e" cm="1">
        <f t="array" ref="N51">$Y$39*(1+$Y$46)^($Y$16-1)-SUMPRODUCT(D51:L51,(1+$Y$46)^_xlfn.SEQUENCE(1,$Y$16-1,$Y$16-2,-1))</f>
        <v>#VALUE!</v>
      </c>
      <c r="O51" t="e" cm="1">
        <f t="array" ref="O51">$Y$39*(1+$Y$47)^($Y$16-1)-SUMPRODUCT(D51:L51,(1+$Y$47)^_xlfn.SEQUENCE(1,$Y$16-1,$Y$16-2,-1))</f>
        <v>#VALUE!</v>
      </c>
      <c r="P51" t="e">
        <f t="shared" si="22"/>
        <v>#VALUE!</v>
      </c>
      <c r="Q51" t="e">
        <f t="shared" si="23"/>
        <v>#VALUE!</v>
      </c>
      <c r="R51" t="e">
        <f t="shared" si="24"/>
        <v>#VALUE!</v>
      </c>
      <c r="S51" t="e">
        <f t="shared" si="25"/>
        <v>#VALUE!</v>
      </c>
    </row>
    <row r="52" spans="2:25" hidden="1">
      <c r="B52" s="933" t="e">
        <f t="shared" si="10"/>
        <v>#VALUE!</v>
      </c>
      <c r="C52">
        <f t="shared" si="11"/>
        <v>0</v>
      </c>
      <c r="D52" s="43">
        <f t="shared" si="12"/>
        <v>0</v>
      </c>
      <c r="E52" s="43">
        <f t="shared" si="13"/>
        <v>0</v>
      </c>
      <c r="F52" s="43">
        <f t="shared" si="14"/>
        <v>0</v>
      </c>
      <c r="G52" s="43">
        <f t="shared" si="15"/>
        <v>0</v>
      </c>
      <c r="H52" s="43">
        <f t="shared" si="16"/>
        <v>0</v>
      </c>
      <c r="I52" s="43">
        <f t="shared" si="17"/>
        <v>0</v>
      </c>
      <c r="J52" s="43">
        <f t="shared" si="18"/>
        <v>0</v>
      </c>
      <c r="K52" s="43">
        <f t="shared" si="19"/>
        <v>0</v>
      </c>
      <c r="L52" s="43">
        <f t="shared" si="20"/>
        <v>0</v>
      </c>
      <c r="M52" s="43">
        <f t="shared" si="21"/>
        <v>0</v>
      </c>
      <c r="N52" t="e" cm="1">
        <f t="array" ref="N52">$Y$39*(1+$Y$46)^($Y$16-1)-SUMPRODUCT(D52:L52,(1+$Y$46)^_xlfn.SEQUENCE(1,$Y$16-1,$Y$16-2,-1))</f>
        <v>#VALUE!</v>
      </c>
      <c r="O52" t="e" cm="1">
        <f t="array" ref="O52">$Y$39*(1+$Y$47)^($Y$16-1)-SUMPRODUCT(D52:L52,(1+$Y$47)^_xlfn.SEQUENCE(1,$Y$16-1,$Y$16-2,-1))</f>
        <v>#VALUE!</v>
      </c>
      <c r="P52" t="e">
        <f t="shared" si="22"/>
        <v>#VALUE!</v>
      </c>
      <c r="Q52" t="e">
        <f t="shared" si="23"/>
        <v>#VALUE!</v>
      </c>
      <c r="R52" t="e">
        <f t="shared" si="24"/>
        <v>#VALUE!</v>
      </c>
      <c r="S52" t="e">
        <f t="shared" si="25"/>
        <v>#VALUE!</v>
      </c>
    </row>
    <row r="53" spans="2:25" hidden="1">
      <c r="B53" s="933" t="e">
        <f t="shared" ref="B53:B59" si="26">D$18&amp;" × $"&amp;TEXT($B19,"0")</f>
        <v>#VALUE!</v>
      </c>
      <c r="C53">
        <f t="shared" si="11"/>
        <v>0</v>
      </c>
      <c r="D53" s="43">
        <f t="shared" ref="D53:D59" si="27">IF(1&gt;$Y$16,0,IF(1&lt;$Y$16,$Y$40*_xlfn.LET(_xlpm.sRR,D$18*$B19*$Y$5*$Y$6*$Y$26,_xlpm.sOR,D$18*$Y$5*$Y$6,_xlpm.sOI,$AE$26*_xlpm.sOR,_xlpm.sOD,$Y$20*_xlpm.sRR,_xlpm.sGR,_xlpm.sRR+_xlpm.sOI+_xlpm.sOD,_xlpm.sExp,$Z$26+$AB$26*_xlpm.sRR+($AC$26+$Y$21)*_xlpm.sGR+$AD$26*_xlpm.sOR,_xlpm.sGR-_xlpm.sExp+$AA$26+$AF$26),_xlfn.LET(_xlpm.sRR,D$18*$B19*$Y$5*$Y$6*$Y$26,_xlpm.sOR,D$18*$Y$5*$Y$6,_xlpm.sOI,$AE$26*_xlpm.sOR,_xlpm.sOD,$Y$20*_xlpm.sRR,_xlpm.sGR,_xlpm.sRR+_xlpm.sOI+_xlpm.sOD,_xlpm.sExp,$Z$26+$AB$26*_xlpm.sRR+($AC$26+$Y$21)*_xlpm.sGR+$AD$26*_xlpm.sOR,_xlpm.opCF,_xlpm.sGR-_xlpm.sExp+$AA$26+$AF$26,_xlpm.totalCF,_xlpm.opCF+(D$18*$B19*$Y$5*$Y$6*$Y$15*(1-$Y$17)-$Y$22),_xlpm.t1cap,$Y$43*$Y$12,_xlpm.t2cap,$Y$44*$Y$12,IF(_xlpm.totalCF&lt;=0,$Y$38*_xlpm.totalCF,$Y$40*MIN(MAX(_xlpm.totalCF,0),_xlpm.t1cap)+$Y$41*MAX(MIN(MAX(_xlpm.totalCF,0),_xlpm.t2cap)-_xlpm.t1cap,0)+$Y$42*MAX(MAX(_xlpm.totalCF,0)-_xlpm.t2cap,0)))))</f>
        <v>0</v>
      </c>
      <c r="E53" s="43">
        <f t="shared" ref="E53:E59" si="28">IF(2&gt;$Y$16,0,IF(2&lt;$Y$16,$Y$40*_xlfn.LET(_xlpm.sRR,D$18*$B19*$Y$5*$Y$6*$Y$27,_xlpm.sOR,D$18*$Y$5*$Y$6,_xlpm.sOI,$AE$27*_xlpm.sOR,_xlpm.sOD,$Y$20*_xlpm.sRR,_xlpm.sGR,_xlpm.sRR+_xlpm.sOI+_xlpm.sOD,_xlpm.sExp,$Z$27+$AB$27*_xlpm.sRR+($AC$27+$Y$21)*_xlpm.sGR+$AD$27*_xlpm.sOR,_xlpm.sGR-_xlpm.sExp+$AA$27+$AF$27),_xlfn.LET(_xlpm.sRR,D$18*$B19*$Y$5*$Y$6*$Y$27,_xlpm.sOR,D$18*$Y$5*$Y$6,_xlpm.sOI,$AE$27*_xlpm.sOR,_xlpm.sOD,$Y$20*_xlpm.sRR,_xlpm.sGR,_xlpm.sRR+_xlpm.sOI+_xlpm.sOD,_xlpm.sExp,$Z$27+$AB$27*_xlpm.sRR+($AC$27+$Y$21)*_xlpm.sGR+$AD$27*_xlpm.sOR,_xlpm.opCF,_xlpm.sGR-_xlpm.sExp+$AA$27+$AF$27,_xlpm.totalCF,_xlpm.opCF+(D$18*$B19*$Y$5*$Y$6*$Y$15*(1-$Y$17)-$Y$22),_xlpm.t1cap,$Y$43*$Y$12,_xlpm.t2cap,$Y$44*$Y$12,IF(_xlpm.totalCF&lt;=0,$Y$38*_xlpm.totalCF,$Y$40*MIN(MAX(_xlpm.totalCF,0),_xlpm.t1cap)+$Y$41*MAX(MIN(MAX(_xlpm.totalCF,0),_xlpm.t2cap)-_xlpm.t1cap,0)+$Y$42*MAX(MAX(_xlpm.totalCF,0)-_xlpm.t2cap,0)))))</f>
        <v>0</v>
      </c>
      <c r="F53" s="43">
        <f t="shared" ref="F53:F59" si="29">IF(3&gt;$Y$16,0,IF(3&lt;$Y$16,$Y$40*_xlfn.LET(_xlpm.sRR,D$18*$B19*$Y$5*$Y$6*$Y$28,_xlpm.sOR,D$18*$Y$5*$Y$6,_xlpm.sOI,$AE$28*_xlpm.sOR,_xlpm.sOD,$Y$20*_xlpm.sRR,_xlpm.sGR,_xlpm.sRR+_xlpm.sOI+_xlpm.sOD,_xlpm.sExp,$Z$28+$AB$28*_xlpm.sRR+($AC$28+$Y$21)*_xlpm.sGR+$AD$28*_xlpm.sOR,_xlpm.sGR-_xlpm.sExp+$AA$28+$AF$28),_xlfn.LET(_xlpm.sRR,D$18*$B19*$Y$5*$Y$6*$Y$28,_xlpm.sOR,D$18*$Y$5*$Y$6,_xlpm.sOI,$AE$28*_xlpm.sOR,_xlpm.sOD,$Y$20*_xlpm.sRR,_xlpm.sGR,_xlpm.sRR+_xlpm.sOI+_xlpm.sOD,_xlpm.sExp,$Z$28+$AB$28*_xlpm.sRR+($AC$28+$Y$21)*_xlpm.sGR+$AD$28*_xlpm.sOR,_xlpm.opCF,_xlpm.sGR-_xlpm.sExp+$AA$28+$AF$28,_xlpm.totalCF,_xlpm.opCF+(D$18*$B19*$Y$5*$Y$6*$Y$15*(1-$Y$17)-$Y$22),_xlpm.t1cap,$Y$43*$Y$12,_xlpm.t2cap,$Y$44*$Y$12,IF(_xlpm.totalCF&lt;=0,$Y$38*_xlpm.totalCF,$Y$40*MIN(MAX(_xlpm.totalCF,0),_xlpm.t1cap)+$Y$41*MAX(MIN(MAX(_xlpm.totalCF,0),_xlpm.t2cap)-_xlpm.t1cap,0)+$Y$42*MAX(MAX(_xlpm.totalCF,0)-_xlpm.t2cap,0)))))</f>
        <v>0</v>
      </c>
      <c r="G53" s="43">
        <f t="shared" ref="G53:G59" si="30">IF(4&gt;$Y$16,0,IF(4&lt;$Y$16,$Y$40*_xlfn.LET(_xlpm.sRR,D$18*$B19*$Y$5*$Y$6*$Y$29,_xlpm.sOR,D$18*$Y$5*$Y$6,_xlpm.sOI,$AE$29*_xlpm.sOR,_xlpm.sOD,$Y$20*_xlpm.sRR,_xlpm.sGR,_xlpm.sRR+_xlpm.sOI+_xlpm.sOD,_xlpm.sExp,$Z$29+$AB$29*_xlpm.sRR+($AC$29+$Y$21)*_xlpm.sGR+$AD$29*_xlpm.sOR,_xlpm.sGR-_xlpm.sExp+$AA$29+$AF$29),_xlfn.LET(_xlpm.sRR,D$18*$B19*$Y$5*$Y$6*$Y$29,_xlpm.sOR,D$18*$Y$5*$Y$6,_xlpm.sOI,$AE$29*_xlpm.sOR,_xlpm.sOD,$Y$20*_xlpm.sRR,_xlpm.sGR,_xlpm.sRR+_xlpm.sOI+_xlpm.sOD,_xlpm.sExp,$Z$29+$AB$29*_xlpm.sRR+($AC$29+$Y$21)*_xlpm.sGR+$AD$29*_xlpm.sOR,_xlpm.opCF,_xlpm.sGR-_xlpm.sExp+$AA$29+$AF$29,_xlpm.totalCF,_xlpm.opCF+(D$18*$B19*$Y$5*$Y$6*$Y$15*(1-$Y$17)-$Y$22),_xlpm.t1cap,$Y$43*$Y$12,_xlpm.t2cap,$Y$44*$Y$12,IF(_xlpm.totalCF&lt;=0,$Y$38*_xlpm.totalCF,$Y$40*MIN(MAX(_xlpm.totalCF,0),_xlpm.t1cap)+$Y$41*MAX(MIN(MAX(_xlpm.totalCF,0),_xlpm.t2cap)-_xlpm.t1cap,0)+$Y$42*MAX(MAX(_xlpm.totalCF,0)-_xlpm.t2cap,0)))))</f>
        <v>0</v>
      </c>
      <c r="H53" s="43">
        <f t="shared" ref="H53:H59" si="31">IF(5&gt;$Y$16,0,IF(5&lt;$Y$16,$Y$40*_xlfn.LET(_xlpm.sRR,D$18*$B19*$Y$5*$Y$6*$Y$30,_xlpm.sOR,D$18*$Y$5*$Y$6,_xlpm.sOI,$AE$30*_xlpm.sOR,_xlpm.sOD,$Y$20*_xlpm.sRR,_xlpm.sGR,_xlpm.sRR+_xlpm.sOI+_xlpm.sOD,_xlpm.sExp,$Z$30+$AB$30*_xlpm.sRR+($AC$30+$Y$21)*_xlpm.sGR+$AD$30*_xlpm.sOR,_xlpm.sGR-_xlpm.sExp+$AA$30+$AF$30),_xlfn.LET(_xlpm.sRR,D$18*$B19*$Y$5*$Y$6*$Y$30,_xlpm.sOR,D$18*$Y$5*$Y$6,_xlpm.sOI,$AE$30*_xlpm.sOR,_xlpm.sOD,$Y$20*_xlpm.sRR,_xlpm.sGR,_xlpm.sRR+_xlpm.sOI+_xlpm.sOD,_xlpm.sExp,$Z$30+$AB$30*_xlpm.sRR+($AC$30+$Y$21)*_xlpm.sGR+$AD$30*_xlpm.sOR,_xlpm.opCF,_xlpm.sGR-_xlpm.sExp+$AA$30+$AF$30,_xlpm.totalCF,_xlpm.opCF+(D$18*$B19*$Y$5*$Y$6*$Y$15*(1-$Y$17)-$Y$22),_xlpm.t1cap,$Y$43*$Y$12,_xlpm.t2cap,$Y$44*$Y$12,IF(_xlpm.totalCF&lt;=0,$Y$38*_xlpm.totalCF,$Y$40*MIN(MAX(_xlpm.totalCF,0),_xlpm.t1cap)+$Y$41*MAX(MIN(MAX(_xlpm.totalCF,0),_xlpm.t2cap)-_xlpm.t1cap,0)+$Y$42*MAX(MAX(_xlpm.totalCF,0)-_xlpm.t2cap,0)))))</f>
        <v>0</v>
      </c>
      <c r="I53" s="43">
        <f t="shared" ref="I53:I59" si="32">IF(6&gt;$Y$16,0,IF(6&lt;$Y$16,$Y$40*_xlfn.LET(_xlpm.sRR,D$18*$B19*$Y$5*$Y$6*$Y$31,_xlpm.sOR,D$18*$Y$5*$Y$6,_xlpm.sOI,$AE$31*_xlpm.sOR,_xlpm.sOD,$Y$20*_xlpm.sRR,_xlpm.sGR,_xlpm.sRR+_xlpm.sOI+_xlpm.sOD,_xlpm.sExp,$Z$31+$AB$31*_xlpm.sRR+($AC$31+$Y$21)*_xlpm.sGR+$AD$31*_xlpm.sOR,_xlpm.sGR-_xlpm.sExp+$AA$31+$AF$31),_xlfn.LET(_xlpm.sRR,D$18*$B19*$Y$5*$Y$6*$Y$31,_xlpm.sOR,D$18*$Y$5*$Y$6,_xlpm.sOI,$AE$31*_xlpm.sOR,_xlpm.sOD,$Y$20*_xlpm.sRR,_xlpm.sGR,_xlpm.sRR+_xlpm.sOI+_xlpm.sOD,_xlpm.sExp,$Z$31+$AB$31*_xlpm.sRR+($AC$31+$Y$21)*_xlpm.sGR+$AD$31*_xlpm.sOR,_xlpm.opCF,_xlpm.sGR-_xlpm.sExp+$AA$31+$AF$31,_xlpm.totalCF,_xlpm.opCF+(D$18*$B19*$Y$5*$Y$6*$Y$15*(1-$Y$17)-$Y$22),_xlpm.t1cap,$Y$43*$Y$12,_xlpm.t2cap,$Y$44*$Y$12,IF(_xlpm.totalCF&lt;=0,$Y$38*_xlpm.totalCF,$Y$40*MIN(MAX(_xlpm.totalCF,0),_xlpm.t1cap)+$Y$41*MAX(MIN(MAX(_xlpm.totalCF,0),_xlpm.t2cap)-_xlpm.t1cap,0)+$Y$42*MAX(MAX(_xlpm.totalCF,0)-_xlpm.t2cap,0)))))</f>
        <v>0</v>
      </c>
      <c r="J53" s="43">
        <f t="shared" ref="J53:J59" si="33">IF(7&gt;$Y$16,0,IF(7&lt;$Y$16,$Y$40*_xlfn.LET(_xlpm.sRR,D$18*$B19*$Y$5*$Y$6*$Y$32,_xlpm.sOR,D$18*$Y$5*$Y$6,_xlpm.sOI,$AE$32*_xlpm.sOR,_xlpm.sOD,$Y$20*_xlpm.sRR,_xlpm.sGR,_xlpm.sRR+_xlpm.sOI+_xlpm.sOD,_xlpm.sExp,$Z$32+$AB$32*_xlpm.sRR+($AC$32+$Y$21)*_xlpm.sGR+$AD$32*_xlpm.sOR,_xlpm.sGR-_xlpm.sExp+$AA$32+$AF$32),_xlfn.LET(_xlpm.sRR,D$18*$B19*$Y$5*$Y$6*$Y$32,_xlpm.sOR,D$18*$Y$5*$Y$6,_xlpm.sOI,$AE$32*_xlpm.sOR,_xlpm.sOD,$Y$20*_xlpm.sRR,_xlpm.sGR,_xlpm.sRR+_xlpm.sOI+_xlpm.sOD,_xlpm.sExp,$Z$32+$AB$32*_xlpm.sRR+($AC$32+$Y$21)*_xlpm.sGR+$AD$32*_xlpm.sOR,_xlpm.opCF,_xlpm.sGR-_xlpm.sExp+$AA$32+$AF$32,_xlpm.totalCF,_xlpm.opCF+(D$18*$B19*$Y$5*$Y$6*$Y$15*(1-$Y$17)-$Y$22),_xlpm.t1cap,$Y$43*$Y$12,_xlpm.t2cap,$Y$44*$Y$12,IF(_xlpm.totalCF&lt;=0,$Y$38*_xlpm.totalCF,$Y$40*MIN(MAX(_xlpm.totalCF,0),_xlpm.t1cap)+$Y$41*MAX(MIN(MAX(_xlpm.totalCF,0),_xlpm.t2cap)-_xlpm.t1cap,0)+$Y$42*MAX(MAX(_xlpm.totalCF,0)-_xlpm.t2cap,0)))))</f>
        <v>0</v>
      </c>
      <c r="K53" s="43">
        <f t="shared" ref="K53:K59" si="34">IF(8&gt;$Y$16,0,IF(8&lt;$Y$16,$Y$40*_xlfn.LET(_xlpm.sRR,D$18*$B19*$Y$5*$Y$6*$Y$33,_xlpm.sOR,D$18*$Y$5*$Y$6,_xlpm.sOI,$AE$33*_xlpm.sOR,_xlpm.sOD,$Y$20*_xlpm.sRR,_xlpm.sGR,_xlpm.sRR+_xlpm.sOI+_xlpm.sOD,_xlpm.sExp,$Z$33+$AB$33*_xlpm.sRR+($AC$33+$Y$21)*_xlpm.sGR+$AD$33*_xlpm.sOR,_xlpm.sGR-_xlpm.sExp+$AA$33+$AF$33),_xlfn.LET(_xlpm.sRR,D$18*$B19*$Y$5*$Y$6*$Y$33,_xlpm.sOR,D$18*$Y$5*$Y$6,_xlpm.sOI,$AE$33*_xlpm.sOR,_xlpm.sOD,$Y$20*_xlpm.sRR,_xlpm.sGR,_xlpm.sRR+_xlpm.sOI+_xlpm.sOD,_xlpm.sExp,$Z$33+$AB$33*_xlpm.sRR+($AC$33+$Y$21)*_xlpm.sGR+$AD$33*_xlpm.sOR,_xlpm.opCF,_xlpm.sGR-_xlpm.sExp+$AA$33+$AF$33,_xlpm.totalCF,_xlpm.opCF+(D$18*$B19*$Y$5*$Y$6*$Y$15*(1-$Y$17)-$Y$22),_xlpm.t1cap,$Y$43*$Y$12,_xlpm.t2cap,$Y$44*$Y$12,IF(_xlpm.totalCF&lt;=0,$Y$38*_xlpm.totalCF,$Y$40*MIN(MAX(_xlpm.totalCF,0),_xlpm.t1cap)+$Y$41*MAX(MIN(MAX(_xlpm.totalCF,0),_xlpm.t2cap)-_xlpm.t1cap,0)+$Y$42*MAX(MAX(_xlpm.totalCF,0)-_xlpm.t2cap,0)))))</f>
        <v>0</v>
      </c>
      <c r="L53" s="43">
        <f t="shared" ref="L53:L59" si="35">IF(9&gt;$Y$16,0,IF(9&lt;$Y$16,$Y$40*_xlfn.LET(_xlpm.sRR,D$18*$B19*$Y$5*$Y$6*$Y$34,_xlpm.sOR,D$18*$Y$5*$Y$6,_xlpm.sOI,$AE$34*_xlpm.sOR,_xlpm.sOD,$Y$20*_xlpm.sRR,_xlpm.sGR,_xlpm.sRR+_xlpm.sOI+_xlpm.sOD,_xlpm.sExp,$Z$34+$AB$34*_xlpm.sRR+($AC$34+$Y$21)*_xlpm.sGR+$AD$34*_xlpm.sOR,_xlpm.sGR-_xlpm.sExp+$AA$34+$AF$34),_xlfn.LET(_xlpm.sRR,D$18*$B19*$Y$5*$Y$6*$Y$34,_xlpm.sOR,D$18*$Y$5*$Y$6,_xlpm.sOI,$AE$34*_xlpm.sOR,_xlpm.sOD,$Y$20*_xlpm.sRR,_xlpm.sGR,_xlpm.sRR+_xlpm.sOI+_xlpm.sOD,_xlpm.sExp,$Z$34+$AB$34*_xlpm.sRR+($AC$34+$Y$21)*_xlpm.sGR+$AD$34*_xlpm.sOR,_xlpm.opCF,_xlpm.sGR-_xlpm.sExp+$AA$34+$AF$34,_xlpm.totalCF,_xlpm.opCF+(D$18*$B19*$Y$5*$Y$6*$Y$15*(1-$Y$17)-$Y$22),_xlpm.t1cap,$Y$43*$Y$12,_xlpm.t2cap,$Y$44*$Y$12,IF(_xlpm.totalCF&lt;=0,$Y$38*_xlpm.totalCF,$Y$40*MIN(MAX(_xlpm.totalCF,0),_xlpm.t1cap)+$Y$41*MAX(MIN(MAX(_xlpm.totalCF,0),_xlpm.t2cap)-_xlpm.t1cap,0)+$Y$42*MAX(MAX(_xlpm.totalCF,0)-_xlpm.t2cap,0)))))</f>
        <v>0</v>
      </c>
      <c r="M53" s="43">
        <f t="shared" ref="M53:M59" si="36">IF(10&gt;$Y$16,0,IF(10&lt;$Y$16,$Y$40*_xlfn.LET(_xlpm.sRR,D$18*$B19*$Y$5*$Y$6*$Y$35,_xlpm.sOR,D$18*$Y$5*$Y$6,_xlpm.sOI,$AE$35*_xlpm.sOR,_xlpm.sOD,$Y$20*_xlpm.sRR,_xlpm.sGR,_xlpm.sRR+_xlpm.sOI+_xlpm.sOD,_xlpm.sExp,$Z$35+$AB$35*_xlpm.sRR+($AC$35+$Y$21)*_xlpm.sGR+$AD$35*_xlpm.sOR,_xlpm.sGR-_xlpm.sExp+$AA$35+$AF$35),IF(P53&lt;=0,$Y$38*P53,Q53+R53+S53)))</f>
        <v>0</v>
      </c>
      <c r="N53" t="e" cm="1">
        <f t="array" ref="N53">$Y$39*(1+$Y$46)^($Y$16-1)-SUMPRODUCT(D53:L53,(1+$Y$46)^_xlfn.SEQUENCE(1,$Y$16-1,$Y$16-2,-1))</f>
        <v>#VALUE!</v>
      </c>
      <c r="O53" t="e" cm="1">
        <f t="array" ref="O53">$Y$39*(1+$Y$47)^($Y$16-1)-SUMPRODUCT(D53:L53,(1+$Y$47)^_xlfn.SEQUENCE(1,$Y$16-1,$Y$16-2,-1))</f>
        <v>#VALUE!</v>
      </c>
      <c r="P53" t="e">
        <f t="shared" ref="P53:P59" si="37">_xlfn.LET(_xlpm.sRR,D$18*$B19*$Y$5*$Y$6*$Y$35,_xlpm.sOR,D$18*$Y$5*$Y$6,_xlpm.sOI,$AE$35*_xlpm.sOR,_xlpm.sOD,$Y$20*_xlpm.sRR,_xlpm.sGR,_xlpm.sRR+_xlpm.sOI+_xlpm.sOD,_xlpm.sExp,$Z$35+$AB$35*_xlpm.sRR+($AC$35+$Y$21)*_xlpm.sGR+$AD$35*_xlpm.sOR,_xlpm.opCF,_xlpm.sGR-_xlpm.sExp+$AA$35+$AF$35,_xlpm.opCF+(D$18*$B19*$Y$5*$Y$6*$Y$15*(1-$Y$17)-$Y$22))</f>
        <v>#VALUE!</v>
      </c>
      <c r="Q53" t="e">
        <f t="shared" si="23"/>
        <v>#VALUE!</v>
      </c>
      <c r="R53" t="e">
        <f t="shared" si="24"/>
        <v>#VALUE!</v>
      </c>
      <c r="S53" t="e">
        <f t="shared" si="25"/>
        <v>#VALUE!</v>
      </c>
    </row>
    <row r="54" spans="2:25" hidden="1">
      <c r="B54" s="933" t="e">
        <f t="shared" si="26"/>
        <v>#VALUE!</v>
      </c>
      <c r="C54">
        <f t="shared" si="11"/>
        <v>0</v>
      </c>
      <c r="D54" s="43">
        <f t="shared" si="27"/>
        <v>0</v>
      </c>
      <c r="E54" s="43">
        <f t="shared" si="28"/>
        <v>0</v>
      </c>
      <c r="F54" s="43">
        <f t="shared" si="29"/>
        <v>0</v>
      </c>
      <c r="G54" s="43">
        <f t="shared" si="30"/>
        <v>0</v>
      </c>
      <c r="H54" s="43">
        <f t="shared" si="31"/>
        <v>0</v>
      </c>
      <c r="I54" s="43">
        <f t="shared" si="32"/>
        <v>0</v>
      </c>
      <c r="J54" s="43">
        <f t="shared" si="33"/>
        <v>0</v>
      </c>
      <c r="K54" s="43">
        <f t="shared" si="34"/>
        <v>0</v>
      </c>
      <c r="L54" s="43">
        <f t="shared" si="35"/>
        <v>0</v>
      </c>
      <c r="M54" s="43">
        <f t="shared" si="36"/>
        <v>0</v>
      </c>
      <c r="N54" t="e" cm="1">
        <f t="array" ref="N54">$Y$39*(1+$Y$46)^($Y$16-1)-SUMPRODUCT(D54:L54,(1+$Y$46)^_xlfn.SEQUENCE(1,$Y$16-1,$Y$16-2,-1))</f>
        <v>#VALUE!</v>
      </c>
      <c r="O54" t="e" cm="1">
        <f t="array" ref="O54">$Y$39*(1+$Y$47)^($Y$16-1)-SUMPRODUCT(D54:L54,(1+$Y$47)^_xlfn.SEQUENCE(1,$Y$16-1,$Y$16-2,-1))</f>
        <v>#VALUE!</v>
      </c>
      <c r="P54" t="e">
        <f t="shared" si="37"/>
        <v>#VALUE!</v>
      </c>
      <c r="Q54" t="e">
        <f t="shared" si="23"/>
        <v>#VALUE!</v>
      </c>
      <c r="R54" t="e">
        <f t="shared" si="24"/>
        <v>#VALUE!</v>
      </c>
      <c r="S54" t="e">
        <f t="shared" si="25"/>
        <v>#VALUE!</v>
      </c>
    </row>
    <row r="55" spans="2:25" hidden="1">
      <c r="B55" s="933" t="e">
        <f t="shared" si="26"/>
        <v>#VALUE!</v>
      </c>
      <c r="C55">
        <f t="shared" si="11"/>
        <v>0</v>
      </c>
      <c r="D55" s="43">
        <f t="shared" si="27"/>
        <v>0</v>
      </c>
      <c r="E55" s="43">
        <f t="shared" si="28"/>
        <v>0</v>
      </c>
      <c r="F55" s="43">
        <f t="shared" si="29"/>
        <v>0</v>
      </c>
      <c r="G55" s="43">
        <f t="shared" si="30"/>
        <v>0</v>
      </c>
      <c r="H55" s="43">
        <f t="shared" si="31"/>
        <v>0</v>
      </c>
      <c r="I55" s="43">
        <f t="shared" si="32"/>
        <v>0</v>
      </c>
      <c r="J55" s="43">
        <f t="shared" si="33"/>
        <v>0</v>
      </c>
      <c r="K55" s="43">
        <f t="shared" si="34"/>
        <v>0</v>
      </c>
      <c r="L55" s="43">
        <f t="shared" si="35"/>
        <v>0</v>
      </c>
      <c r="M55" s="43">
        <f t="shared" si="36"/>
        <v>0</v>
      </c>
      <c r="N55" t="e" cm="1">
        <f t="array" ref="N55">$Y$39*(1+$Y$46)^($Y$16-1)-SUMPRODUCT(D55:L55,(1+$Y$46)^_xlfn.SEQUENCE(1,$Y$16-1,$Y$16-2,-1))</f>
        <v>#VALUE!</v>
      </c>
      <c r="O55" t="e" cm="1">
        <f t="array" ref="O55">$Y$39*(1+$Y$47)^($Y$16-1)-SUMPRODUCT(D55:L55,(1+$Y$47)^_xlfn.SEQUENCE(1,$Y$16-1,$Y$16-2,-1))</f>
        <v>#VALUE!</v>
      </c>
      <c r="P55" t="e">
        <f t="shared" si="37"/>
        <v>#VALUE!</v>
      </c>
      <c r="Q55" t="e">
        <f t="shared" si="23"/>
        <v>#VALUE!</v>
      </c>
      <c r="R55" t="e">
        <f t="shared" si="24"/>
        <v>#VALUE!</v>
      </c>
      <c r="S55" t="e">
        <f t="shared" si="25"/>
        <v>#VALUE!</v>
      </c>
    </row>
    <row r="56" spans="2:25" hidden="1">
      <c r="B56" s="933" t="e">
        <f t="shared" si="26"/>
        <v>#VALUE!</v>
      </c>
      <c r="C56">
        <f t="shared" si="11"/>
        <v>0</v>
      </c>
      <c r="D56" s="43">
        <f t="shared" si="27"/>
        <v>0</v>
      </c>
      <c r="E56" s="43">
        <f t="shared" si="28"/>
        <v>0</v>
      </c>
      <c r="F56" s="43">
        <f t="shared" si="29"/>
        <v>0</v>
      </c>
      <c r="G56" s="43">
        <f t="shared" si="30"/>
        <v>0</v>
      </c>
      <c r="H56" s="43">
        <f t="shared" si="31"/>
        <v>0</v>
      </c>
      <c r="I56" s="43">
        <f t="shared" si="32"/>
        <v>0</v>
      </c>
      <c r="J56" s="43">
        <f t="shared" si="33"/>
        <v>0</v>
      </c>
      <c r="K56" s="43">
        <f t="shared" si="34"/>
        <v>0</v>
      </c>
      <c r="L56" s="43">
        <f t="shared" si="35"/>
        <v>0</v>
      </c>
      <c r="M56" s="43">
        <f t="shared" si="36"/>
        <v>0</v>
      </c>
      <c r="N56" t="e" cm="1">
        <f t="array" ref="N56">$Y$39*(1+$Y$46)^($Y$16-1)-SUMPRODUCT(D56:L56,(1+$Y$46)^_xlfn.SEQUENCE(1,$Y$16-1,$Y$16-2,-1))</f>
        <v>#VALUE!</v>
      </c>
      <c r="O56" t="e" cm="1">
        <f t="array" ref="O56">$Y$39*(1+$Y$47)^($Y$16-1)-SUMPRODUCT(D56:L56,(1+$Y$47)^_xlfn.SEQUENCE(1,$Y$16-1,$Y$16-2,-1))</f>
        <v>#VALUE!</v>
      </c>
      <c r="P56" t="e">
        <f t="shared" si="37"/>
        <v>#VALUE!</v>
      </c>
      <c r="Q56" t="e">
        <f t="shared" si="23"/>
        <v>#VALUE!</v>
      </c>
      <c r="R56" t="e">
        <f t="shared" si="24"/>
        <v>#VALUE!</v>
      </c>
      <c r="S56" t="e">
        <f t="shared" si="25"/>
        <v>#VALUE!</v>
      </c>
    </row>
    <row r="57" spans="2:25" hidden="1">
      <c r="B57" s="933" t="e">
        <f t="shared" si="26"/>
        <v>#VALUE!</v>
      </c>
      <c r="C57">
        <f t="shared" si="11"/>
        <v>0</v>
      </c>
      <c r="D57" s="43">
        <f t="shared" si="27"/>
        <v>0</v>
      </c>
      <c r="E57" s="43">
        <f t="shared" si="28"/>
        <v>0</v>
      </c>
      <c r="F57" s="43">
        <f t="shared" si="29"/>
        <v>0</v>
      </c>
      <c r="G57" s="43">
        <f t="shared" si="30"/>
        <v>0</v>
      </c>
      <c r="H57" s="43">
        <f t="shared" si="31"/>
        <v>0</v>
      </c>
      <c r="I57" s="43">
        <f t="shared" si="32"/>
        <v>0</v>
      </c>
      <c r="J57" s="43">
        <f t="shared" si="33"/>
        <v>0</v>
      </c>
      <c r="K57" s="43">
        <f t="shared" si="34"/>
        <v>0</v>
      </c>
      <c r="L57" s="43">
        <f t="shared" si="35"/>
        <v>0</v>
      </c>
      <c r="M57" s="43">
        <f t="shared" si="36"/>
        <v>0</v>
      </c>
      <c r="N57" t="e" cm="1">
        <f t="array" ref="N57">$Y$39*(1+$Y$46)^($Y$16-1)-SUMPRODUCT(D57:L57,(1+$Y$46)^_xlfn.SEQUENCE(1,$Y$16-1,$Y$16-2,-1))</f>
        <v>#VALUE!</v>
      </c>
      <c r="O57" t="e" cm="1">
        <f t="array" ref="O57">$Y$39*(1+$Y$47)^($Y$16-1)-SUMPRODUCT(D57:L57,(1+$Y$47)^_xlfn.SEQUENCE(1,$Y$16-1,$Y$16-2,-1))</f>
        <v>#VALUE!</v>
      </c>
      <c r="P57" t="e">
        <f t="shared" si="37"/>
        <v>#VALUE!</v>
      </c>
      <c r="Q57" t="e">
        <f t="shared" si="23"/>
        <v>#VALUE!</v>
      </c>
      <c r="R57" t="e">
        <f t="shared" si="24"/>
        <v>#VALUE!</v>
      </c>
      <c r="S57" t="e">
        <f t="shared" si="25"/>
        <v>#VALUE!</v>
      </c>
    </row>
    <row r="58" spans="2:25" hidden="1">
      <c r="B58" s="933" t="e">
        <f t="shared" si="26"/>
        <v>#VALUE!</v>
      </c>
      <c r="C58">
        <f t="shared" si="11"/>
        <v>0</v>
      </c>
      <c r="D58" s="43">
        <f t="shared" si="27"/>
        <v>0</v>
      </c>
      <c r="E58" s="43">
        <f t="shared" si="28"/>
        <v>0</v>
      </c>
      <c r="F58" s="43">
        <f t="shared" si="29"/>
        <v>0</v>
      </c>
      <c r="G58" s="43">
        <f t="shared" si="30"/>
        <v>0</v>
      </c>
      <c r="H58" s="43">
        <f t="shared" si="31"/>
        <v>0</v>
      </c>
      <c r="I58" s="43">
        <f t="shared" si="32"/>
        <v>0</v>
      </c>
      <c r="J58" s="43">
        <f t="shared" si="33"/>
        <v>0</v>
      </c>
      <c r="K58" s="43">
        <f t="shared" si="34"/>
        <v>0</v>
      </c>
      <c r="L58" s="43">
        <f t="shared" si="35"/>
        <v>0</v>
      </c>
      <c r="M58" s="43">
        <f t="shared" si="36"/>
        <v>0</v>
      </c>
      <c r="N58" t="e" cm="1">
        <f t="array" ref="N58">$Y$39*(1+$Y$46)^($Y$16-1)-SUMPRODUCT(D58:L58,(1+$Y$46)^_xlfn.SEQUENCE(1,$Y$16-1,$Y$16-2,-1))</f>
        <v>#VALUE!</v>
      </c>
      <c r="O58" t="e" cm="1">
        <f t="array" ref="O58">$Y$39*(1+$Y$47)^($Y$16-1)-SUMPRODUCT(D58:L58,(1+$Y$47)^_xlfn.SEQUENCE(1,$Y$16-1,$Y$16-2,-1))</f>
        <v>#VALUE!</v>
      </c>
      <c r="P58" t="e">
        <f t="shared" si="37"/>
        <v>#VALUE!</v>
      </c>
      <c r="Q58" t="e">
        <f t="shared" si="23"/>
        <v>#VALUE!</v>
      </c>
      <c r="R58" t="e">
        <f t="shared" si="24"/>
        <v>#VALUE!</v>
      </c>
      <c r="S58" t="e">
        <f t="shared" si="25"/>
        <v>#VALUE!</v>
      </c>
    </row>
    <row r="59" spans="2:25" hidden="1">
      <c r="B59" s="933" t="e">
        <f t="shared" si="26"/>
        <v>#VALUE!</v>
      </c>
      <c r="C59">
        <f t="shared" si="11"/>
        <v>0</v>
      </c>
      <c r="D59" s="43">
        <f t="shared" si="27"/>
        <v>0</v>
      </c>
      <c r="E59" s="43">
        <f t="shared" si="28"/>
        <v>0</v>
      </c>
      <c r="F59" s="43">
        <f t="shared" si="29"/>
        <v>0</v>
      </c>
      <c r="G59" s="43">
        <f t="shared" si="30"/>
        <v>0</v>
      </c>
      <c r="H59" s="43">
        <f t="shared" si="31"/>
        <v>0</v>
      </c>
      <c r="I59" s="43">
        <f t="shared" si="32"/>
        <v>0</v>
      </c>
      <c r="J59" s="43">
        <f t="shared" si="33"/>
        <v>0</v>
      </c>
      <c r="K59" s="43">
        <f t="shared" si="34"/>
        <v>0</v>
      </c>
      <c r="L59" s="43">
        <f t="shared" si="35"/>
        <v>0</v>
      </c>
      <c r="M59" s="43">
        <f t="shared" si="36"/>
        <v>0</v>
      </c>
      <c r="N59" t="e" cm="1">
        <f t="array" ref="N59">$Y$39*(1+$Y$46)^($Y$16-1)-SUMPRODUCT(D59:L59,(1+$Y$46)^_xlfn.SEQUENCE(1,$Y$16-1,$Y$16-2,-1))</f>
        <v>#VALUE!</v>
      </c>
      <c r="O59" t="e" cm="1">
        <f t="array" ref="O59">$Y$39*(1+$Y$47)^($Y$16-1)-SUMPRODUCT(D59:L59,(1+$Y$47)^_xlfn.SEQUENCE(1,$Y$16-1,$Y$16-2,-1))</f>
        <v>#VALUE!</v>
      </c>
      <c r="P59" t="e">
        <f t="shared" si="37"/>
        <v>#VALUE!</v>
      </c>
      <c r="Q59" t="e">
        <f t="shared" si="23"/>
        <v>#VALUE!</v>
      </c>
      <c r="R59" t="e">
        <f t="shared" si="24"/>
        <v>#VALUE!</v>
      </c>
      <c r="S59" t="e">
        <f t="shared" si="25"/>
        <v>#VALUE!</v>
      </c>
    </row>
    <row r="60" spans="2:25" hidden="1">
      <c r="B60" s="933" t="e">
        <f t="shared" ref="B60:B66" si="38">E$18&amp;" × $"&amp;TEXT($B19,"0")</f>
        <v>#VALUE!</v>
      </c>
      <c r="C60">
        <f t="shared" si="11"/>
        <v>0</v>
      </c>
      <c r="D60" s="43">
        <f t="shared" ref="D60:D66" si="39">IF(1&gt;$Y$16,0,IF(1&lt;$Y$16,$Y$40*_xlfn.LET(_xlpm.sRR,E$18*$B19*$Y$5*$Y$6*$Y$26,_xlpm.sOR,E$18*$Y$5*$Y$6,_xlpm.sOI,$AE$26*_xlpm.sOR,_xlpm.sOD,$Y$20*_xlpm.sRR,_xlpm.sGR,_xlpm.sRR+_xlpm.sOI+_xlpm.sOD,_xlpm.sExp,$Z$26+$AB$26*_xlpm.sRR+($AC$26+$Y$21)*_xlpm.sGR+$AD$26*_xlpm.sOR,_xlpm.sGR-_xlpm.sExp+$AA$26+$AF$26),_xlfn.LET(_xlpm.sRR,E$18*$B19*$Y$5*$Y$6*$Y$26,_xlpm.sOR,E$18*$Y$5*$Y$6,_xlpm.sOI,$AE$26*_xlpm.sOR,_xlpm.sOD,$Y$20*_xlpm.sRR,_xlpm.sGR,_xlpm.sRR+_xlpm.sOI+_xlpm.sOD,_xlpm.sExp,$Z$26+$AB$26*_xlpm.sRR+($AC$26+$Y$21)*_xlpm.sGR+$AD$26*_xlpm.sOR,_xlpm.opCF,_xlpm.sGR-_xlpm.sExp+$AA$26+$AF$26,_xlpm.totalCF,_xlpm.opCF+(E$18*$B19*$Y$5*$Y$6*$Y$15*(1-$Y$17)-$Y$22),_xlpm.t1cap,$Y$43*$Y$12,_xlpm.t2cap,$Y$44*$Y$12,IF(_xlpm.totalCF&lt;=0,$Y$38*_xlpm.totalCF,$Y$40*MIN(MAX(_xlpm.totalCF,0),_xlpm.t1cap)+$Y$41*MAX(MIN(MAX(_xlpm.totalCF,0),_xlpm.t2cap)-_xlpm.t1cap,0)+$Y$42*MAX(MAX(_xlpm.totalCF,0)-_xlpm.t2cap,0)))))</f>
        <v>0</v>
      </c>
      <c r="E60" s="43">
        <f t="shared" ref="E60:E66" si="40">IF(2&gt;$Y$16,0,IF(2&lt;$Y$16,$Y$40*_xlfn.LET(_xlpm.sRR,E$18*$B19*$Y$5*$Y$6*$Y$27,_xlpm.sOR,E$18*$Y$5*$Y$6,_xlpm.sOI,$AE$27*_xlpm.sOR,_xlpm.sOD,$Y$20*_xlpm.sRR,_xlpm.sGR,_xlpm.sRR+_xlpm.sOI+_xlpm.sOD,_xlpm.sExp,$Z$27+$AB$27*_xlpm.sRR+($AC$27+$Y$21)*_xlpm.sGR+$AD$27*_xlpm.sOR,_xlpm.sGR-_xlpm.sExp+$AA$27+$AF$27),_xlfn.LET(_xlpm.sRR,E$18*$B19*$Y$5*$Y$6*$Y$27,_xlpm.sOR,E$18*$Y$5*$Y$6,_xlpm.sOI,$AE$27*_xlpm.sOR,_xlpm.sOD,$Y$20*_xlpm.sRR,_xlpm.sGR,_xlpm.sRR+_xlpm.sOI+_xlpm.sOD,_xlpm.sExp,$Z$27+$AB$27*_xlpm.sRR+($AC$27+$Y$21)*_xlpm.sGR+$AD$27*_xlpm.sOR,_xlpm.opCF,_xlpm.sGR-_xlpm.sExp+$AA$27+$AF$27,_xlpm.totalCF,_xlpm.opCF+(E$18*$B19*$Y$5*$Y$6*$Y$15*(1-$Y$17)-$Y$22),_xlpm.t1cap,$Y$43*$Y$12,_xlpm.t2cap,$Y$44*$Y$12,IF(_xlpm.totalCF&lt;=0,$Y$38*_xlpm.totalCF,$Y$40*MIN(MAX(_xlpm.totalCF,0),_xlpm.t1cap)+$Y$41*MAX(MIN(MAX(_xlpm.totalCF,0),_xlpm.t2cap)-_xlpm.t1cap,0)+$Y$42*MAX(MAX(_xlpm.totalCF,0)-_xlpm.t2cap,0)))))</f>
        <v>0</v>
      </c>
      <c r="F60" s="43">
        <f t="shared" ref="F60:F66" si="41">IF(3&gt;$Y$16,0,IF(3&lt;$Y$16,$Y$40*_xlfn.LET(_xlpm.sRR,E$18*$B19*$Y$5*$Y$6*$Y$28,_xlpm.sOR,E$18*$Y$5*$Y$6,_xlpm.sOI,$AE$28*_xlpm.sOR,_xlpm.sOD,$Y$20*_xlpm.sRR,_xlpm.sGR,_xlpm.sRR+_xlpm.sOI+_xlpm.sOD,_xlpm.sExp,$Z$28+$AB$28*_xlpm.sRR+($AC$28+$Y$21)*_xlpm.sGR+$AD$28*_xlpm.sOR,_xlpm.sGR-_xlpm.sExp+$AA$28+$AF$28),_xlfn.LET(_xlpm.sRR,E$18*$B19*$Y$5*$Y$6*$Y$28,_xlpm.sOR,E$18*$Y$5*$Y$6,_xlpm.sOI,$AE$28*_xlpm.sOR,_xlpm.sOD,$Y$20*_xlpm.sRR,_xlpm.sGR,_xlpm.sRR+_xlpm.sOI+_xlpm.sOD,_xlpm.sExp,$Z$28+$AB$28*_xlpm.sRR+($AC$28+$Y$21)*_xlpm.sGR+$AD$28*_xlpm.sOR,_xlpm.opCF,_xlpm.sGR-_xlpm.sExp+$AA$28+$AF$28,_xlpm.totalCF,_xlpm.opCF+(E$18*$B19*$Y$5*$Y$6*$Y$15*(1-$Y$17)-$Y$22),_xlpm.t1cap,$Y$43*$Y$12,_xlpm.t2cap,$Y$44*$Y$12,IF(_xlpm.totalCF&lt;=0,$Y$38*_xlpm.totalCF,$Y$40*MIN(MAX(_xlpm.totalCF,0),_xlpm.t1cap)+$Y$41*MAX(MIN(MAX(_xlpm.totalCF,0),_xlpm.t2cap)-_xlpm.t1cap,0)+$Y$42*MAX(MAX(_xlpm.totalCF,0)-_xlpm.t2cap,0)))))</f>
        <v>0</v>
      </c>
      <c r="G60" s="43">
        <f t="shared" ref="G60:G66" si="42">IF(4&gt;$Y$16,0,IF(4&lt;$Y$16,$Y$40*_xlfn.LET(_xlpm.sRR,E$18*$B19*$Y$5*$Y$6*$Y$29,_xlpm.sOR,E$18*$Y$5*$Y$6,_xlpm.sOI,$AE$29*_xlpm.sOR,_xlpm.sOD,$Y$20*_xlpm.sRR,_xlpm.sGR,_xlpm.sRR+_xlpm.sOI+_xlpm.sOD,_xlpm.sExp,$Z$29+$AB$29*_xlpm.sRR+($AC$29+$Y$21)*_xlpm.sGR+$AD$29*_xlpm.sOR,_xlpm.sGR-_xlpm.sExp+$AA$29+$AF$29),_xlfn.LET(_xlpm.sRR,E$18*$B19*$Y$5*$Y$6*$Y$29,_xlpm.sOR,E$18*$Y$5*$Y$6,_xlpm.sOI,$AE$29*_xlpm.sOR,_xlpm.sOD,$Y$20*_xlpm.sRR,_xlpm.sGR,_xlpm.sRR+_xlpm.sOI+_xlpm.sOD,_xlpm.sExp,$Z$29+$AB$29*_xlpm.sRR+($AC$29+$Y$21)*_xlpm.sGR+$AD$29*_xlpm.sOR,_xlpm.opCF,_xlpm.sGR-_xlpm.sExp+$AA$29+$AF$29,_xlpm.totalCF,_xlpm.opCF+(E$18*$B19*$Y$5*$Y$6*$Y$15*(1-$Y$17)-$Y$22),_xlpm.t1cap,$Y$43*$Y$12,_xlpm.t2cap,$Y$44*$Y$12,IF(_xlpm.totalCF&lt;=0,$Y$38*_xlpm.totalCF,$Y$40*MIN(MAX(_xlpm.totalCF,0),_xlpm.t1cap)+$Y$41*MAX(MIN(MAX(_xlpm.totalCF,0),_xlpm.t2cap)-_xlpm.t1cap,0)+$Y$42*MAX(MAX(_xlpm.totalCF,0)-_xlpm.t2cap,0)))))</f>
        <v>0</v>
      </c>
      <c r="H60" s="43">
        <f t="shared" ref="H60:H66" si="43">IF(5&gt;$Y$16,0,IF(5&lt;$Y$16,$Y$40*_xlfn.LET(_xlpm.sRR,E$18*$B19*$Y$5*$Y$6*$Y$30,_xlpm.sOR,E$18*$Y$5*$Y$6,_xlpm.sOI,$AE$30*_xlpm.sOR,_xlpm.sOD,$Y$20*_xlpm.sRR,_xlpm.sGR,_xlpm.sRR+_xlpm.sOI+_xlpm.sOD,_xlpm.sExp,$Z$30+$AB$30*_xlpm.sRR+($AC$30+$Y$21)*_xlpm.sGR+$AD$30*_xlpm.sOR,_xlpm.sGR-_xlpm.sExp+$AA$30+$AF$30),_xlfn.LET(_xlpm.sRR,E$18*$B19*$Y$5*$Y$6*$Y$30,_xlpm.sOR,E$18*$Y$5*$Y$6,_xlpm.sOI,$AE$30*_xlpm.sOR,_xlpm.sOD,$Y$20*_xlpm.sRR,_xlpm.sGR,_xlpm.sRR+_xlpm.sOI+_xlpm.sOD,_xlpm.sExp,$Z$30+$AB$30*_xlpm.sRR+($AC$30+$Y$21)*_xlpm.sGR+$AD$30*_xlpm.sOR,_xlpm.opCF,_xlpm.sGR-_xlpm.sExp+$AA$30+$AF$30,_xlpm.totalCF,_xlpm.opCF+(E$18*$B19*$Y$5*$Y$6*$Y$15*(1-$Y$17)-$Y$22),_xlpm.t1cap,$Y$43*$Y$12,_xlpm.t2cap,$Y$44*$Y$12,IF(_xlpm.totalCF&lt;=0,$Y$38*_xlpm.totalCF,$Y$40*MIN(MAX(_xlpm.totalCF,0),_xlpm.t1cap)+$Y$41*MAX(MIN(MAX(_xlpm.totalCF,0),_xlpm.t2cap)-_xlpm.t1cap,0)+$Y$42*MAX(MAX(_xlpm.totalCF,0)-_xlpm.t2cap,0)))))</f>
        <v>0</v>
      </c>
      <c r="I60" s="43">
        <f t="shared" ref="I60:I66" si="44">IF(6&gt;$Y$16,0,IF(6&lt;$Y$16,$Y$40*_xlfn.LET(_xlpm.sRR,E$18*$B19*$Y$5*$Y$6*$Y$31,_xlpm.sOR,E$18*$Y$5*$Y$6,_xlpm.sOI,$AE$31*_xlpm.sOR,_xlpm.sOD,$Y$20*_xlpm.sRR,_xlpm.sGR,_xlpm.sRR+_xlpm.sOI+_xlpm.sOD,_xlpm.sExp,$Z$31+$AB$31*_xlpm.sRR+($AC$31+$Y$21)*_xlpm.sGR+$AD$31*_xlpm.sOR,_xlpm.sGR-_xlpm.sExp+$AA$31+$AF$31),_xlfn.LET(_xlpm.sRR,E$18*$B19*$Y$5*$Y$6*$Y$31,_xlpm.sOR,E$18*$Y$5*$Y$6,_xlpm.sOI,$AE$31*_xlpm.sOR,_xlpm.sOD,$Y$20*_xlpm.sRR,_xlpm.sGR,_xlpm.sRR+_xlpm.sOI+_xlpm.sOD,_xlpm.sExp,$Z$31+$AB$31*_xlpm.sRR+($AC$31+$Y$21)*_xlpm.sGR+$AD$31*_xlpm.sOR,_xlpm.opCF,_xlpm.sGR-_xlpm.sExp+$AA$31+$AF$31,_xlpm.totalCF,_xlpm.opCF+(E$18*$B19*$Y$5*$Y$6*$Y$15*(1-$Y$17)-$Y$22),_xlpm.t1cap,$Y$43*$Y$12,_xlpm.t2cap,$Y$44*$Y$12,IF(_xlpm.totalCF&lt;=0,$Y$38*_xlpm.totalCF,$Y$40*MIN(MAX(_xlpm.totalCF,0),_xlpm.t1cap)+$Y$41*MAX(MIN(MAX(_xlpm.totalCF,0),_xlpm.t2cap)-_xlpm.t1cap,0)+$Y$42*MAX(MAX(_xlpm.totalCF,0)-_xlpm.t2cap,0)))))</f>
        <v>0</v>
      </c>
      <c r="J60" s="43">
        <f t="shared" ref="J60:J66" si="45">IF(7&gt;$Y$16,0,IF(7&lt;$Y$16,$Y$40*_xlfn.LET(_xlpm.sRR,E$18*$B19*$Y$5*$Y$6*$Y$32,_xlpm.sOR,E$18*$Y$5*$Y$6,_xlpm.sOI,$AE$32*_xlpm.sOR,_xlpm.sOD,$Y$20*_xlpm.sRR,_xlpm.sGR,_xlpm.sRR+_xlpm.sOI+_xlpm.sOD,_xlpm.sExp,$Z$32+$AB$32*_xlpm.sRR+($AC$32+$Y$21)*_xlpm.sGR+$AD$32*_xlpm.sOR,_xlpm.sGR-_xlpm.sExp+$AA$32+$AF$32),_xlfn.LET(_xlpm.sRR,E$18*$B19*$Y$5*$Y$6*$Y$32,_xlpm.sOR,E$18*$Y$5*$Y$6,_xlpm.sOI,$AE$32*_xlpm.sOR,_xlpm.sOD,$Y$20*_xlpm.sRR,_xlpm.sGR,_xlpm.sRR+_xlpm.sOI+_xlpm.sOD,_xlpm.sExp,$Z$32+$AB$32*_xlpm.sRR+($AC$32+$Y$21)*_xlpm.sGR+$AD$32*_xlpm.sOR,_xlpm.opCF,_xlpm.sGR-_xlpm.sExp+$AA$32+$AF$32,_xlpm.totalCF,_xlpm.opCF+(E$18*$B19*$Y$5*$Y$6*$Y$15*(1-$Y$17)-$Y$22),_xlpm.t1cap,$Y$43*$Y$12,_xlpm.t2cap,$Y$44*$Y$12,IF(_xlpm.totalCF&lt;=0,$Y$38*_xlpm.totalCF,$Y$40*MIN(MAX(_xlpm.totalCF,0),_xlpm.t1cap)+$Y$41*MAX(MIN(MAX(_xlpm.totalCF,0),_xlpm.t2cap)-_xlpm.t1cap,0)+$Y$42*MAX(MAX(_xlpm.totalCF,0)-_xlpm.t2cap,0)))))</f>
        <v>0</v>
      </c>
      <c r="K60" s="43">
        <f t="shared" ref="K60:K66" si="46">IF(8&gt;$Y$16,0,IF(8&lt;$Y$16,$Y$40*_xlfn.LET(_xlpm.sRR,E$18*$B19*$Y$5*$Y$6*$Y$33,_xlpm.sOR,E$18*$Y$5*$Y$6,_xlpm.sOI,$AE$33*_xlpm.sOR,_xlpm.sOD,$Y$20*_xlpm.sRR,_xlpm.sGR,_xlpm.sRR+_xlpm.sOI+_xlpm.sOD,_xlpm.sExp,$Z$33+$AB$33*_xlpm.sRR+($AC$33+$Y$21)*_xlpm.sGR+$AD$33*_xlpm.sOR,_xlpm.sGR-_xlpm.sExp+$AA$33+$AF$33),_xlfn.LET(_xlpm.sRR,E$18*$B19*$Y$5*$Y$6*$Y$33,_xlpm.sOR,E$18*$Y$5*$Y$6,_xlpm.sOI,$AE$33*_xlpm.sOR,_xlpm.sOD,$Y$20*_xlpm.sRR,_xlpm.sGR,_xlpm.sRR+_xlpm.sOI+_xlpm.sOD,_xlpm.sExp,$Z$33+$AB$33*_xlpm.sRR+($AC$33+$Y$21)*_xlpm.sGR+$AD$33*_xlpm.sOR,_xlpm.opCF,_xlpm.sGR-_xlpm.sExp+$AA$33+$AF$33,_xlpm.totalCF,_xlpm.opCF+(E$18*$B19*$Y$5*$Y$6*$Y$15*(1-$Y$17)-$Y$22),_xlpm.t1cap,$Y$43*$Y$12,_xlpm.t2cap,$Y$44*$Y$12,IF(_xlpm.totalCF&lt;=0,$Y$38*_xlpm.totalCF,$Y$40*MIN(MAX(_xlpm.totalCF,0),_xlpm.t1cap)+$Y$41*MAX(MIN(MAX(_xlpm.totalCF,0),_xlpm.t2cap)-_xlpm.t1cap,0)+$Y$42*MAX(MAX(_xlpm.totalCF,0)-_xlpm.t2cap,0)))))</f>
        <v>0</v>
      </c>
      <c r="L60" s="43">
        <f t="shared" ref="L60:L66" si="47">IF(9&gt;$Y$16,0,IF(9&lt;$Y$16,$Y$40*_xlfn.LET(_xlpm.sRR,E$18*$B19*$Y$5*$Y$6*$Y$34,_xlpm.sOR,E$18*$Y$5*$Y$6,_xlpm.sOI,$AE$34*_xlpm.sOR,_xlpm.sOD,$Y$20*_xlpm.sRR,_xlpm.sGR,_xlpm.sRR+_xlpm.sOI+_xlpm.sOD,_xlpm.sExp,$Z$34+$AB$34*_xlpm.sRR+($AC$34+$Y$21)*_xlpm.sGR+$AD$34*_xlpm.sOR,_xlpm.sGR-_xlpm.sExp+$AA$34+$AF$34),_xlfn.LET(_xlpm.sRR,E$18*$B19*$Y$5*$Y$6*$Y$34,_xlpm.sOR,E$18*$Y$5*$Y$6,_xlpm.sOI,$AE$34*_xlpm.sOR,_xlpm.sOD,$Y$20*_xlpm.sRR,_xlpm.sGR,_xlpm.sRR+_xlpm.sOI+_xlpm.sOD,_xlpm.sExp,$Z$34+$AB$34*_xlpm.sRR+($AC$34+$Y$21)*_xlpm.sGR+$AD$34*_xlpm.sOR,_xlpm.opCF,_xlpm.sGR-_xlpm.sExp+$AA$34+$AF$34,_xlpm.totalCF,_xlpm.opCF+(E$18*$B19*$Y$5*$Y$6*$Y$15*(1-$Y$17)-$Y$22),_xlpm.t1cap,$Y$43*$Y$12,_xlpm.t2cap,$Y$44*$Y$12,IF(_xlpm.totalCF&lt;=0,$Y$38*_xlpm.totalCF,$Y$40*MIN(MAX(_xlpm.totalCF,0),_xlpm.t1cap)+$Y$41*MAX(MIN(MAX(_xlpm.totalCF,0),_xlpm.t2cap)-_xlpm.t1cap,0)+$Y$42*MAX(MAX(_xlpm.totalCF,0)-_xlpm.t2cap,0)))))</f>
        <v>0</v>
      </c>
      <c r="M60" s="43">
        <f t="shared" ref="M60:M66" si="48">IF(10&gt;$Y$16,0,IF(10&lt;$Y$16,$Y$40*_xlfn.LET(_xlpm.sRR,E$18*$B19*$Y$5*$Y$6*$Y$35,_xlpm.sOR,E$18*$Y$5*$Y$6,_xlpm.sOI,$AE$35*_xlpm.sOR,_xlpm.sOD,$Y$20*_xlpm.sRR,_xlpm.sGR,_xlpm.sRR+_xlpm.sOI+_xlpm.sOD,_xlpm.sExp,$Z$35+$AB$35*_xlpm.sRR+($AC$35+$Y$21)*_xlpm.sGR+$AD$35*_xlpm.sOR,_xlpm.sGR-_xlpm.sExp+$AA$35+$AF$35),IF(P60&lt;=0,$Y$38*P60,Q60+R60+S60)))</f>
        <v>0</v>
      </c>
      <c r="N60" t="e" cm="1">
        <f t="array" ref="N60">$Y$39*(1+$Y$46)^($Y$16-1)-SUMPRODUCT(D60:L60,(1+$Y$46)^_xlfn.SEQUENCE(1,$Y$16-1,$Y$16-2,-1))</f>
        <v>#VALUE!</v>
      </c>
      <c r="O60" t="e" cm="1">
        <f t="array" ref="O60">$Y$39*(1+$Y$47)^($Y$16-1)-SUMPRODUCT(D60:L60,(1+$Y$47)^_xlfn.SEQUENCE(1,$Y$16-1,$Y$16-2,-1))</f>
        <v>#VALUE!</v>
      </c>
      <c r="P60" t="e">
        <f t="shared" ref="P60:P66" si="49">_xlfn.LET(_xlpm.sRR,E$18*$B19*$Y$5*$Y$6*$Y$35,_xlpm.sOR,E$18*$Y$5*$Y$6,_xlpm.sOI,$AE$35*_xlpm.sOR,_xlpm.sOD,$Y$20*_xlpm.sRR,_xlpm.sGR,_xlpm.sRR+_xlpm.sOI+_xlpm.sOD,_xlpm.sExp,$Z$35+$AB$35*_xlpm.sRR+($AC$35+$Y$21)*_xlpm.sGR+$AD$35*_xlpm.sOR,_xlpm.opCF,_xlpm.sGR-_xlpm.sExp+$AA$35+$AF$35,_xlpm.opCF+(E$18*$B19*$Y$5*$Y$6*$Y$15*(1-$Y$17)-$Y$22))</f>
        <v>#VALUE!</v>
      </c>
      <c r="Q60" t="e">
        <f t="shared" si="23"/>
        <v>#VALUE!</v>
      </c>
      <c r="R60" t="e">
        <f t="shared" si="24"/>
        <v>#VALUE!</v>
      </c>
      <c r="S60" t="e">
        <f t="shared" si="25"/>
        <v>#VALUE!</v>
      </c>
    </row>
    <row r="61" spans="2:25" hidden="1">
      <c r="B61" s="933" t="e">
        <f t="shared" si="38"/>
        <v>#VALUE!</v>
      </c>
      <c r="C61">
        <f t="shared" si="11"/>
        <v>0</v>
      </c>
      <c r="D61" s="43">
        <f t="shared" si="39"/>
        <v>0</v>
      </c>
      <c r="E61" s="43">
        <f t="shared" si="40"/>
        <v>0</v>
      </c>
      <c r="F61" s="43">
        <f t="shared" si="41"/>
        <v>0</v>
      </c>
      <c r="G61" s="43">
        <f t="shared" si="42"/>
        <v>0</v>
      </c>
      <c r="H61" s="43">
        <f t="shared" si="43"/>
        <v>0</v>
      </c>
      <c r="I61" s="43">
        <f t="shared" si="44"/>
        <v>0</v>
      </c>
      <c r="J61" s="43">
        <f t="shared" si="45"/>
        <v>0</v>
      </c>
      <c r="K61" s="43">
        <f t="shared" si="46"/>
        <v>0</v>
      </c>
      <c r="L61" s="43">
        <f t="shared" si="47"/>
        <v>0</v>
      </c>
      <c r="M61" s="43">
        <f t="shared" si="48"/>
        <v>0</v>
      </c>
      <c r="N61" t="e" cm="1">
        <f t="array" ref="N61">$Y$39*(1+$Y$46)^($Y$16-1)-SUMPRODUCT(D61:L61,(1+$Y$46)^_xlfn.SEQUENCE(1,$Y$16-1,$Y$16-2,-1))</f>
        <v>#VALUE!</v>
      </c>
      <c r="O61" t="e" cm="1">
        <f t="array" ref="O61">$Y$39*(1+$Y$47)^($Y$16-1)-SUMPRODUCT(D61:L61,(1+$Y$47)^_xlfn.SEQUENCE(1,$Y$16-1,$Y$16-2,-1))</f>
        <v>#VALUE!</v>
      </c>
      <c r="P61" t="e">
        <f t="shared" si="49"/>
        <v>#VALUE!</v>
      </c>
      <c r="Q61" t="e">
        <f t="shared" si="23"/>
        <v>#VALUE!</v>
      </c>
      <c r="R61" t="e">
        <f t="shared" si="24"/>
        <v>#VALUE!</v>
      </c>
      <c r="S61" t="e">
        <f t="shared" si="25"/>
        <v>#VALUE!</v>
      </c>
    </row>
    <row r="62" spans="2:25" hidden="1">
      <c r="B62" s="933" t="e">
        <f t="shared" si="38"/>
        <v>#VALUE!</v>
      </c>
      <c r="C62">
        <f t="shared" si="11"/>
        <v>0</v>
      </c>
      <c r="D62" s="43">
        <f t="shared" si="39"/>
        <v>0</v>
      </c>
      <c r="E62" s="43">
        <f t="shared" si="40"/>
        <v>0</v>
      </c>
      <c r="F62" s="43">
        <f t="shared" si="41"/>
        <v>0</v>
      </c>
      <c r="G62" s="43">
        <f t="shared" si="42"/>
        <v>0</v>
      </c>
      <c r="H62" s="43">
        <f t="shared" si="43"/>
        <v>0</v>
      </c>
      <c r="I62" s="43">
        <f t="shared" si="44"/>
        <v>0</v>
      </c>
      <c r="J62" s="43">
        <f t="shared" si="45"/>
        <v>0</v>
      </c>
      <c r="K62" s="43">
        <f t="shared" si="46"/>
        <v>0</v>
      </c>
      <c r="L62" s="43">
        <f t="shared" si="47"/>
        <v>0</v>
      </c>
      <c r="M62" s="43">
        <f t="shared" si="48"/>
        <v>0</v>
      </c>
      <c r="N62" t="e" cm="1">
        <f t="array" ref="N62">$Y$39*(1+$Y$46)^($Y$16-1)-SUMPRODUCT(D62:L62,(1+$Y$46)^_xlfn.SEQUENCE(1,$Y$16-1,$Y$16-2,-1))</f>
        <v>#VALUE!</v>
      </c>
      <c r="O62" t="e" cm="1">
        <f t="array" ref="O62">$Y$39*(1+$Y$47)^($Y$16-1)-SUMPRODUCT(D62:L62,(1+$Y$47)^_xlfn.SEQUENCE(1,$Y$16-1,$Y$16-2,-1))</f>
        <v>#VALUE!</v>
      </c>
      <c r="P62" t="e">
        <f t="shared" si="49"/>
        <v>#VALUE!</v>
      </c>
      <c r="Q62" t="e">
        <f t="shared" si="23"/>
        <v>#VALUE!</v>
      </c>
      <c r="R62" t="e">
        <f t="shared" si="24"/>
        <v>#VALUE!</v>
      </c>
      <c r="S62" t="e">
        <f t="shared" si="25"/>
        <v>#VALUE!</v>
      </c>
    </row>
    <row r="63" spans="2:25" hidden="1">
      <c r="B63" s="933" t="e">
        <f t="shared" si="38"/>
        <v>#VALUE!</v>
      </c>
      <c r="C63">
        <f t="shared" si="11"/>
        <v>0</v>
      </c>
      <c r="D63" s="43">
        <f t="shared" si="39"/>
        <v>0</v>
      </c>
      <c r="E63" s="43">
        <f t="shared" si="40"/>
        <v>0</v>
      </c>
      <c r="F63" s="43">
        <f t="shared" si="41"/>
        <v>0</v>
      </c>
      <c r="G63" s="43">
        <f t="shared" si="42"/>
        <v>0</v>
      </c>
      <c r="H63" s="43">
        <f t="shared" si="43"/>
        <v>0</v>
      </c>
      <c r="I63" s="43">
        <f t="shared" si="44"/>
        <v>0</v>
      </c>
      <c r="J63" s="43">
        <f t="shared" si="45"/>
        <v>0</v>
      </c>
      <c r="K63" s="43">
        <f t="shared" si="46"/>
        <v>0</v>
      </c>
      <c r="L63" s="43">
        <f t="shared" si="47"/>
        <v>0</v>
      </c>
      <c r="M63" s="43">
        <f t="shared" si="48"/>
        <v>0</v>
      </c>
      <c r="N63" t="e" cm="1">
        <f t="array" ref="N63">$Y$39*(1+$Y$46)^($Y$16-1)-SUMPRODUCT(D63:L63,(1+$Y$46)^_xlfn.SEQUENCE(1,$Y$16-1,$Y$16-2,-1))</f>
        <v>#VALUE!</v>
      </c>
      <c r="O63" t="e" cm="1">
        <f t="array" ref="O63">$Y$39*(1+$Y$47)^($Y$16-1)-SUMPRODUCT(D63:L63,(1+$Y$47)^_xlfn.SEQUENCE(1,$Y$16-1,$Y$16-2,-1))</f>
        <v>#VALUE!</v>
      </c>
      <c r="P63" t="e">
        <f t="shared" si="49"/>
        <v>#VALUE!</v>
      </c>
      <c r="Q63" t="e">
        <f t="shared" si="23"/>
        <v>#VALUE!</v>
      </c>
      <c r="R63" t="e">
        <f t="shared" si="24"/>
        <v>#VALUE!</v>
      </c>
      <c r="S63" t="e">
        <f t="shared" si="25"/>
        <v>#VALUE!</v>
      </c>
    </row>
    <row r="64" spans="2:25" hidden="1">
      <c r="B64" s="933" t="e">
        <f t="shared" si="38"/>
        <v>#VALUE!</v>
      </c>
      <c r="C64">
        <f t="shared" si="11"/>
        <v>0</v>
      </c>
      <c r="D64" s="43">
        <f t="shared" si="39"/>
        <v>0</v>
      </c>
      <c r="E64" s="43">
        <f t="shared" si="40"/>
        <v>0</v>
      </c>
      <c r="F64" s="43">
        <f t="shared" si="41"/>
        <v>0</v>
      </c>
      <c r="G64" s="43">
        <f t="shared" si="42"/>
        <v>0</v>
      </c>
      <c r="H64" s="43">
        <f t="shared" si="43"/>
        <v>0</v>
      </c>
      <c r="I64" s="43">
        <f t="shared" si="44"/>
        <v>0</v>
      </c>
      <c r="J64" s="43">
        <f t="shared" si="45"/>
        <v>0</v>
      </c>
      <c r="K64" s="43">
        <f t="shared" si="46"/>
        <v>0</v>
      </c>
      <c r="L64" s="43">
        <f t="shared" si="47"/>
        <v>0</v>
      </c>
      <c r="M64" s="43">
        <f t="shared" si="48"/>
        <v>0</v>
      </c>
      <c r="N64" t="e" cm="1">
        <f t="array" ref="N64">$Y$39*(1+$Y$46)^($Y$16-1)-SUMPRODUCT(D64:L64,(1+$Y$46)^_xlfn.SEQUENCE(1,$Y$16-1,$Y$16-2,-1))</f>
        <v>#VALUE!</v>
      </c>
      <c r="O64" t="e" cm="1">
        <f t="array" ref="O64">$Y$39*(1+$Y$47)^($Y$16-1)-SUMPRODUCT(D64:L64,(1+$Y$47)^_xlfn.SEQUENCE(1,$Y$16-1,$Y$16-2,-1))</f>
        <v>#VALUE!</v>
      </c>
      <c r="P64" t="e">
        <f t="shared" si="49"/>
        <v>#VALUE!</v>
      </c>
      <c r="Q64" t="e">
        <f t="shared" si="23"/>
        <v>#VALUE!</v>
      </c>
      <c r="R64" t="e">
        <f t="shared" si="24"/>
        <v>#VALUE!</v>
      </c>
      <c r="S64" t="e">
        <f t="shared" si="25"/>
        <v>#VALUE!</v>
      </c>
    </row>
    <row r="65" spans="2:19" hidden="1">
      <c r="B65" s="933" t="e">
        <f t="shared" si="38"/>
        <v>#VALUE!</v>
      </c>
      <c r="C65">
        <f t="shared" si="11"/>
        <v>0</v>
      </c>
      <c r="D65" s="43">
        <f t="shared" si="39"/>
        <v>0</v>
      </c>
      <c r="E65" s="43">
        <f t="shared" si="40"/>
        <v>0</v>
      </c>
      <c r="F65" s="43">
        <f t="shared" si="41"/>
        <v>0</v>
      </c>
      <c r="G65" s="43">
        <f t="shared" si="42"/>
        <v>0</v>
      </c>
      <c r="H65" s="43">
        <f t="shared" si="43"/>
        <v>0</v>
      </c>
      <c r="I65" s="43">
        <f t="shared" si="44"/>
        <v>0</v>
      </c>
      <c r="J65" s="43">
        <f t="shared" si="45"/>
        <v>0</v>
      </c>
      <c r="K65" s="43">
        <f t="shared" si="46"/>
        <v>0</v>
      </c>
      <c r="L65" s="43">
        <f t="shared" si="47"/>
        <v>0</v>
      </c>
      <c r="M65" s="43">
        <f t="shared" si="48"/>
        <v>0</v>
      </c>
      <c r="N65" t="e" cm="1">
        <f t="array" ref="N65">$Y$39*(1+$Y$46)^($Y$16-1)-SUMPRODUCT(D65:L65,(1+$Y$46)^_xlfn.SEQUENCE(1,$Y$16-1,$Y$16-2,-1))</f>
        <v>#VALUE!</v>
      </c>
      <c r="O65" t="e" cm="1">
        <f t="array" ref="O65">$Y$39*(1+$Y$47)^($Y$16-1)-SUMPRODUCT(D65:L65,(1+$Y$47)^_xlfn.SEQUENCE(1,$Y$16-1,$Y$16-2,-1))</f>
        <v>#VALUE!</v>
      </c>
      <c r="P65" t="e">
        <f t="shared" si="49"/>
        <v>#VALUE!</v>
      </c>
      <c r="Q65" t="e">
        <f t="shared" si="23"/>
        <v>#VALUE!</v>
      </c>
      <c r="R65" t="e">
        <f t="shared" si="24"/>
        <v>#VALUE!</v>
      </c>
      <c r="S65" t="e">
        <f t="shared" si="25"/>
        <v>#VALUE!</v>
      </c>
    </row>
    <row r="66" spans="2:19" hidden="1">
      <c r="B66" s="933" t="e">
        <f t="shared" si="38"/>
        <v>#VALUE!</v>
      </c>
      <c r="C66">
        <f t="shared" si="11"/>
        <v>0</v>
      </c>
      <c r="D66" s="43">
        <f t="shared" si="39"/>
        <v>0</v>
      </c>
      <c r="E66" s="43">
        <f t="shared" si="40"/>
        <v>0</v>
      </c>
      <c r="F66" s="43">
        <f t="shared" si="41"/>
        <v>0</v>
      </c>
      <c r="G66" s="43">
        <f t="shared" si="42"/>
        <v>0</v>
      </c>
      <c r="H66" s="43">
        <f t="shared" si="43"/>
        <v>0</v>
      </c>
      <c r="I66" s="43">
        <f t="shared" si="44"/>
        <v>0</v>
      </c>
      <c r="J66" s="43">
        <f t="shared" si="45"/>
        <v>0</v>
      </c>
      <c r="K66" s="43">
        <f t="shared" si="46"/>
        <v>0</v>
      </c>
      <c r="L66" s="43">
        <f t="shared" si="47"/>
        <v>0</v>
      </c>
      <c r="M66" s="43">
        <f t="shared" si="48"/>
        <v>0</v>
      </c>
      <c r="N66" t="e" cm="1">
        <f t="array" ref="N66">$Y$39*(1+$Y$46)^($Y$16-1)-SUMPRODUCT(D66:L66,(1+$Y$46)^_xlfn.SEQUENCE(1,$Y$16-1,$Y$16-2,-1))</f>
        <v>#VALUE!</v>
      </c>
      <c r="O66" t="e" cm="1">
        <f t="array" ref="O66">$Y$39*(1+$Y$47)^($Y$16-1)-SUMPRODUCT(D66:L66,(1+$Y$47)^_xlfn.SEQUENCE(1,$Y$16-1,$Y$16-2,-1))</f>
        <v>#VALUE!</v>
      </c>
      <c r="P66" t="e">
        <f t="shared" si="49"/>
        <v>#VALUE!</v>
      </c>
      <c r="Q66" t="e">
        <f t="shared" si="23"/>
        <v>#VALUE!</v>
      </c>
      <c r="R66" t="e">
        <f t="shared" si="24"/>
        <v>#VALUE!</v>
      </c>
      <c r="S66" t="e">
        <f t="shared" si="25"/>
        <v>#VALUE!</v>
      </c>
    </row>
    <row r="67" spans="2:19" hidden="1">
      <c r="B67" s="933" t="e">
        <f t="shared" ref="B67:B73" si="50">F$18&amp;" × $"&amp;TEXT($B19,"0")</f>
        <v>#VALUE!</v>
      </c>
      <c r="C67">
        <f t="shared" si="11"/>
        <v>0</v>
      </c>
      <c r="D67" s="43">
        <f t="shared" ref="D67:D73" si="51">IF(1&gt;$Y$16,0,IF(1&lt;$Y$16,$Y$40*_xlfn.LET(_xlpm.sRR,F$18*$B19*$Y$5*$Y$6*$Y$26,_xlpm.sOR,F$18*$Y$5*$Y$6,_xlpm.sOI,$AE$26*_xlpm.sOR,_xlpm.sOD,$Y$20*_xlpm.sRR,_xlpm.sGR,_xlpm.sRR+_xlpm.sOI+_xlpm.sOD,_xlpm.sExp,$Z$26+$AB$26*_xlpm.sRR+($AC$26+$Y$21)*_xlpm.sGR+$AD$26*_xlpm.sOR,_xlpm.sGR-_xlpm.sExp+$AA$26+$AF$26),_xlfn.LET(_xlpm.sRR,F$18*$B19*$Y$5*$Y$6*$Y$26,_xlpm.sOR,F$18*$Y$5*$Y$6,_xlpm.sOI,$AE$26*_xlpm.sOR,_xlpm.sOD,$Y$20*_xlpm.sRR,_xlpm.sGR,_xlpm.sRR+_xlpm.sOI+_xlpm.sOD,_xlpm.sExp,$Z$26+$AB$26*_xlpm.sRR+($AC$26+$Y$21)*_xlpm.sGR+$AD$26*_xlpm.sOR,_xlpm.opCF,_xlpm.sGR-_xlpm.sExp+$AA$26+$AF$26,_xlpm.totalCF,_xlpm.opCF+(F$18*$B19*$Y$5*$Y$6*$Y$15*(1-$Y$17)-$Y$22),_xlpm.t1cap,$Y$43*$Y$12,_xlpm.t2cap,$Y$44*$Y$12,IF(_xlpm.totalCF&lt;=0,$Y$38*_xlpm.totalCF,$Y$40*MIN(MAX(_xlpm.totalCF,0),_xlpm.t1cap)+$Y$41*MAX(MIN(MAX(_xlpm.totalCF,0),_xlpm.t2cap)-_xlpm.t1cap,0)+$Y$42*MAX(MAX(_xlpm.totalCF,0)-_xlpm.t2cap,0)))))</f>
        <v>0</v>
      </c>
      <c r="E67" s="43">
        <f t="shared" ref="E67:E73" si="52">IF(2&gt;$Y$16,0,IF(2&lt;$Y$16,$Y$40*_xlfn.LET(_xlpm.sRR,F$18*$B19*$Y$5*$Y$6*$Y$27,_xlpm.sOR,F$18*$Y$5*$Y$6,_xlpm.sOI,$AE$27*_xlpm.sOR,_xlpm.sOD,$Y$20*_xlpm.sRR,_xlpm.sGR,_xlpm.sRR+_xlpm.sOI+_xlpm.sOD,_xlpm.sExp,$Z$27+$AB$27*_xlpm.sRR+($AC$27+$Y$21)*_xlpm.sGR+$AD$27*_xlpm.sOR,_xlpm.sGR-_xlpm.sExp+$AA$27+$AF$27),_xlfn.LET(_xlpm.sRR,F$18*$B19*$Y$5*$Y$6*$Y$27,_xlpm.sOR,F$18*$Y$5*$Y$6,_xlpm.sOI,$AE$27*_xlpm.sOR,_xlpm.sOD,$Y$20*_xlpm.sRR,_xlpm.sGR,_xlpm.sRR+_xlpm.sOI+_xlpm.sOD,_xlpm.sExp,$Z$27+$AB$27*_xlpm.sRR+($AC$27+$Y$21)*_xlpm.sGR+$AD$27*_xlpm.sOR,_xlpm.opCF,_xlpm.sGR-_xlpm.sExp+$AA$27+$AF$27,_xlpm.totalCF,_xlpm.opCF+(F$18*$B19*$Y$5*$Y$6*$Y$15*(1-$Y$17)-$Y$22),_xlpm.t1cap,$Y$43*$Y$12,_xlpm.t2cap,$Y$44*$Y$12,IF(_xlpm.totalCF&lt;=0,$Y$38*_xlpm.totalCF,$Y$40*MIN(MAX(_xlpm.totalCF,0),_xlpm.t1cap)+$Y$41*MAX(MIN(MAX(_xlpm.totalCF,0),_xlpm.t2cap)-_xlpm.t1cap,0)+$Y$42*MAX(MAX(_xlpm.totalCF,0)-_xlpm.t2cap,0)))))</f>
        <v>0</v>
      </c>
      <c r="F67" s="43">
        <f t="shared" ref="F67:F73" si="53">IF(3&gt;$Y$16,0,IF(3&lt;$Y$16,$Y$40*_xlfn.LET(_xlpm.sRR,F$18*$B19*$Y$5*$Y$6*$Y$28,_xlpm.sOR,F$18*$Y$5*$Y$6,_xlpm.sOI,$AE$28*_xlpm.sOR,_xlpm.sOD,$Y$20*_xlpm.sRR,_xlpm.sGR,_xlpm.sRR+_xlpm.sOI+_xlpm.sOD,_xlpm.sExp,$Z$28+$AB$28*_xlpm.sRR+($AC$28+$Y$21)*_xlpm.sGR+$AD$28*_xlpm.sOR,_xlpm.sGR-_xlpm.sExp+$AA$28+$AF$28),_xlfn.LET(_xlpm.sRR,F$18*$B19*$Y$5*$Y$6*$Y$28,_xlpm.sOR,F$18*$Y$5*$Y$6,_xlpm.sOI,$AE$28*_xlpm.sOR,_xlpm.sOD,$Y$20*_xlpm.sRR,_xlpm.sGR,_xlpm.sRR+_xlpm.sOI+_xlpm.sOD,_xlpm.sExp,$Z$28+$AB$28*_xlpm.sRR+($AC$28+$Y$21)*_xlpm.sGR+$AD$28*_xlpm.sOR,_xlpm.opCF,_xlpm.sGR-_xlpm.sExp+$AA$28+$AF$28,_xlpm.totalCF,_xlpm.opCF+(F$18*$B19*$Y$5*$Y$6*$Y$15*(1-$Y$17)-$Y$22),_xlpm.t1cap,$Y$43*$Y$12,_xlpm.t2cap,$Y$44*$Y$12,IF(_xlpm.totalCF&lt;=0,$Y$38*_xlpm.totalCF,$Y$40*MIN(MAX(_xlpm.totalCF,0),_xlpm.t1cap)+$Y$41*MAX(MIN(MAX(_xlpm.totalCF,0),_xlpm.t2cap)-_xlpm.t1cap,0)+$Y$42*MAX(MAX(_xlpm.totalCF,0)-_xlpm.t2cap,0)))))</f>
        <v>0</v>
      </c>
      <c r="G67" s="43">
        <f t="shared" ref="G67:G73" si="54">IF(4&gt;$Y$16,0,IF(4&lt;$Y$16,$Y$40*_xlfn.LET(_xlpm.sRR,F$18*$B19*$Y$5*$Y$6*$Y$29,_xlpm.sOR,F$18*$Y$5*$Y$6,_xlpm.sOI,$AE$29*_xlpm.sOR,_xlpm.sOD,$Y$20*_xlpm.sRR,_xlpm.sGR,_xlpm.sRR+_xlpm.sOI+_xlpm.sOD,_xlpm.sExp,$Z$29+$AB$29*_xlpm.sRR+($AC$29+$Y$21)*_xlpm.sGR+$AD$29*_xlpm.sOR,_xlpm.sGR-_xlpm.sExp+$AA$29+$AF$29),_xlfn.LET(_xlpm.sRR,F$18*$B19*$Y$5*$Y$6*$Y$29,_xlpm.sOR,F$18*$Y$5*$Y$6,_xlpm.sOI,$AE$29*_xlpm.sOR,_xlpm.sOD,$Y$20*_xlpm.sRR,_xlpm.sGR,_xlpm.sRR+_xlpm.sOI+_xlpm.sOD,_xlpm.sExp,$Z$29+$AB$29*_xlpm.sRR+($AC$29+$Y$21)*_xlpm.sGR+$AD$29*_xlpm.sOR,_xlpm.opCF,_xlpm.sGR-_xlpm.sExp+$AA$29+$AF$29,_xlpm.totalCF,_xlpm.opCF+(F$18*$B19*$Y$5*$Y$6*$Y$15*(1-$Y$17)-$Y$22),_xlpm.t1cap,$Y$43*$Y$12,_xlpm.t2cap,$Y$44*$Y$12,IF(_xlpm.totalCF&lt;=0,$Y$38*_xlpm.totalCF,$Y$40*MIN(MAX(_xlpm.totalCF,0),_xlpm.t1cap)+$Y$41*MAX(MIN(MAX(_xlpm.totalCF,0),_xlpm.t2cap)-_xlpm.t1cap,0)+$Y$42*MAX(MAX(_xlpm.totalCF,0)-_xlpm.t2cap,0)))))</f>
        <v>0</v>
      </c>
      <c r="H67" s="43">
        <f t="shared" ref="H67:H73" si="55">IF(5&gt;$Y$16,0,IF(5&lt;$Y$16,$Y$40*_xlfn.LET(_xlpm.sRR,F$18*$B19*$Y$5*$Y$6*$Y$30,_xlpm.sOR,F$18*$Y$5*$Y$6,_xlpm.sOI,$AE$30*_xlpm.sOR,_xlpm.sOD,$Y$20*_xlpm.sRR,_xlpm.sGR,_xlpm.sRR+_xlpm.sOI+_xlpm.sOD,_xlpm.sExp,$Z$30+$AB$30*_xlpm.sRR+($AC$30+$Y$21)*_xlpm.sGR+$AD$30*_xlpm.sOR,_xlpm.sGR-_xlpm.sExp+$AA$30+$AF$30),_xlfn.LET(_xlpm.sRR,F$18*$B19*$Y$5*$Y$6*$Y$30,_xlpm.sOR,F$18*$Y$5*$Y$6,_xlpm.sOI,$AE$30*_xlpm.sOR,_xlpm.sOD,$Y$20*_xlpm.sRR,_xlpm.sGR,_xlpm.sRR+_xlpm.sOI+_xlpm.sOD,_xlpm.sExp,$Z$30+$AB$30*_xlpm.sRR+($AC$30+$Y$21)*_xlpm.sGR+$AD$30*_xlpm.sOR,_xlpm.opCF,_xlpm.sGR-_xlpm.sExp+$AA$30+$AF$30,_xlpm.totalCF,_xlpm.opCF+(F$18*$B19*$Y$5*$Y$6*$Y$15*(1-$Y$17)-$Y$22),_xlpm.t1cap,$Y$43*$Y$12,_xlpm.t2cap,$Y$44*$Y$12,IF(_xlpm.totalCF&lt;=0,$Y$38*_xlpm.totalCF,$Y$40*MIN(MAX(_xlpm.totalCF,0),_xlpm.t1cap)+$Y$41*MAX(MIN(MAX(_xlpm.totalCF,0),_xlpm.t2cap)-_xlpm.t1cap,0)+$Y$42*MAX(MAX(_xlpm.totalCF,0)-_xlpm.t2cap,0)))))</f>
        <v>0</v>
      </c>
      <c r="I67" s="43">
        <f t="shared" ref="I67:I73" si="56">IF(6&gt;$Y$16,0,IF(6&lt;$Y$16,$Y$40*_xlfn.LET(_xlpm.sRR,F$18*$B19*$Y$5*$Y$6*$Y$31,_xlpm.sOR,F$18*$Y$5*$Y$6,_xlpm.sOI,$AE$31*_xlpm.sOR,_xlpm.sOD,$Y$20*_xlpm.sRR,_xlpm.sGR,_xlpm.sRR+_xlpm.sOI+_xlpm.sOD,_xlpm.sExp,$Z$31+$AB$31*_xlpm.sRR+($AC$31+$Y$21)*_xlpm.sGR+$AD$31*_xlpm.sOR,_xlpm.sGR-_xlpm.sExp+$AA$31+$AF$31),_xlfn.LET(_xlpm.sRR,F$18*$B19*$Y$5*$Y$6*$Y$31,_xlpm.sOR,F$18*$Y$5*$Y$6,_xlpm.sOI,$AE$31*_xlpm.sOR,_xlpm.sOD,$Y$20*_xlpm.sRR,_xlpm.sGR,_xlpm.sRR+_xlpm.sOI+_xlpm.sOD,_xlpm.sExp,$Z$31+$AB$31*_xlpm.sRR+($AC$31+$Y$21)*_xlpm.sGR+$AD$31*_xlpm.sOR,_xlpm.opCF,_xlpm.sGR-_xlpm.sExp+$AA$31+$AF$31,_xlpm.totalCF,_xlpm.opCF+(F$18*$B19*$Y$5*$Y$6*$Y$15*(1-$Y$17)-$Y$22),_xlpm.t1cap,$Y$43*$Y$12,_xlpm.t2cap,$Y$44*$Y$12,IF(_xlpm.totalCF&lt;=0,$Y$38*_xlpm.totalCF,$Y$40*MIN(MAX(_xlpm.totalCF,0),_xlpm.t1cap)+$Y$41*MAX(MIN(MAX(_xlpm.totalCF,0),_xlpm.t2cap)-_xlpm.t1cap,0)+$Y$42*MAX(MAX(_xlpm.totalCF,0)-_xlpm.t2cap,0)))))</f>
        <v>0</v>
      </c>
      <c r="J67" s="43">
        <f t="shared" ref="J67:J73" si="57">IF(7&gt;$Y$16,0,IF(7&lt;$Y$16,$Y$40*_xlfn.LET(_xlpm.sRR,F$18*$B19*$Y$5*$Y$6*$Y$32,_xlpm.sOR,F$18*$Y$5*$Y$6,_xlpm.sOI,$AE$32*_xlpm.sOR,_xlpm.sOD,$Y$20*_xlpm.sRR,_xlpm.sGR,_xlpm.sRR+_xlpm.sOI+_xlpm.sOD,_xlpm.sExp,$Z$32+$AB$32*_xlpm.sRR+($AC$32+$Y$21)*_xlpm.sGR+$AD$32*_xlpm.sOR,_xlpm.sGR-_xlpm.sExp+$AA$32+$AF$32),_xlfn.LET(_xlpm.sRR,F$18*$B19*$Y$5*$Y$6*$Y$32,_xlpm.sOR,F$18*$Y$5*$Y$6,_xlpm.sOI,$AE$32*_xlpm.sOR,_xlpm.sOD,$Y$20*_xlpm.sRR,_xlpm.sGR,_xlpm.sRR+_xlpm.sOI+_xlpm.sOD,_xlpm.sExp,$Z$32+$AB$32*_xlpm.sRR+($AC$32+$Y$21)*_xlpm.sGR+$AD$32*_xlpm.sOR,_xlpm.opCF,_xlpm.sGR-_xlpm.sExp+$AA$32+$AF$32,_xlpm.totalCF,_xlpm.opCF+(F$18*$B19*$Y$5*$Y$6*$Y$15*(1-$Y$17)-$Y$22),_xlpm.t1cap,$Y$43*$Y$12,_xlpm.t2cap,$Y$44*$Y$12,IF(_xlpm.totalCF&lt;=0,$Y$38*_xlpm.totalCF,$Y$40*MIN(MAX(_xlpm.totalCF,0),_xlpm.t1cap)+$Y$41*MAX(MIN(MAX(_xlpm.totalCF,0),_xlpm.t2cap)-_xlpm.t1cap,0)+$Y$42*MAX(MAX(_xlpm.totalCF,0)-_xlpm.t2cap,0)))))</f>
        <v>0</v>
      </c>
      <c r="K67" s="43">
        <f t="shared" ref="K67:K73" si="58">IF(8&gt;$Y$16,0,IF(8&lt;$Y$16,$Y$40*_xlfn.LET(_xlpm.sRR,F$18*$B19*$Y$5*$Y$6*$Y$33,_xlpm.sOR,F$18*$Y$5*$Y$6,_xlpm.sOI,$AE$33*_xlpm.sOR,_xlpm.sOD,$Y$20*_xlpm.sRR,_xlpm.sGR,_xlpm.sRR+_xlpm.sOI+_xlpm.sOD,_xlpm.sExp,$Z$33+$AB$33*_xlpm.sRR+($AC$33+$Y$21)*_xlpm.sGR+$AD$33*_xlpm.sOR,_xlpm.sGR-_xlpm.sExp+$AA$33+$AF$33),_xlfn.LET(_xlpm.sRR,F$18*$B19*$Y$5*$Y$6*$Y$33,_xlpm.sOR,F$18*$Y$5*$Y$6,_xlpm.sOI,$AE$33*_xlpm.sOR,_xlpm.sOD,$Y$20*_xlpm.sRR,_xlpm.sGR,_xlpm.sRR+_xlpm.sOI+_xlpm.sOD,_xlpm.sExp,$Z$33+$AB$33*_xlpm.sRR+($AC$33+$Y$21)*_xlpm.sGR+$AD$33*_xlpm.sOR,_xlpm.opCF,_xlpm.sGR-_xlpm.sExp+$AA$33+$AF$33,_xlpm.totalCF,_xlpm.opCF+(F$18*$B19*$Y$5*$Y$6*$Y$15*(1-$Y$17)-$Y$22),_xlpm.t1cap,$Y$43*$Y$12,_xlpm.t2cap,$Y$44*$Y$12,IF(_xlpm.totalCF&lt;=0,$Y$38*_xlpm.totalCF,$Y$40*MIN(MAX(_xlpm.totalCF,0),_xlpm.t1cap)+$Y$41*MAX(MIN(MAX(_xlpm.totalCF,0),_xlpm.t2cap)-_xlpm.t1cap,0)+$Y$42*MAX(MAX(_xlpm.totalCF,0)-_xlpm.t2cap,0)))))</f>
        <v>0</v>
      </c>
      <c r="L67" s="43">
        <f t="shared" ref="L67:L73" si="59">IF(9&gt;$Y$16,0,IF(9&lt;$Y$16,$Y$40*_xlfn.LET(_xlpm.sRR,F$18*$B19*$Y$5*$Y$6*$Y$34,_xlpm.sOR,F$18*$Y$5*$Y$6,_xlpm.sOI,$AE$34*_xlpm.sOR,_xlpm.sOD,$Y$20*_xlpm.sRR,_xlpm.sGR,_xlpm.sRR+_xlpm.sOI+_xlpm.sOD,_xlpm.sExp,$Z$34+$AB$34*_xlpm.sRR+($AC$34+$Y$21)*_xlpm.sGR+$AD$34*_xlpm.sOR,_xlpm.sGR-_xlpm.sExp+$AA$34+$AF$34),_xlfn.LET(_xlpm.sRR,F$18*$B19*$Y$5*$Y$6*$Y$34,_xlpm.sOR,F$18*$Y$5*$Y$6,_xlpm.sOI,$AE$34*_xlpm.sOR,_xlpm.sOD,$Y$20*_xlpm.sRR,_xlpm.sGR,_xlpm.sRR+_xlpm.sOI+_xlpm.sOD,_xlpm.sExp,$Z$34+$AB$34*_xlpm.sRR+($AC$34+$Y$21)*_xlpm.sGR+$AD$34*_xlpm.sOR,_xlpm.opCF,_xlpm.sGR-_xlpm.sExp+$AA$34+$AF$34,_xlpm.totalCF,_xlpm.opCF+(F$18*$B19*$Y$5*$Y$6*$Y$15*(1-$Y$17)-$Y$22),_xlpm.t1cap,$Y$43*$Y$12,_xlpm.t2cap,$Y$44*$Y$12,IF(_xlpm.totalCF&lt;=0,$Y$38*_xlpm.totalCF,$Y$40*MIN(MAX(_xlpm.totalCF,0),_xlpm.t1cap)+$Y$41*MAX(MIN(MAX(_xlpm.totalCF,0),_xlpm.t2cap)-_xlpm.t1cap,0)+$Y$42*MAX(MAX(_xlpm.totalCF,0)-_xlpm.t2cap,0)))))</f>
        <v>0</v>
      </c>
      <c r="M67" s="43">
        <f t="shared" ref="M67:M73" si="60">IF(10&gt;$Y$16,0,IF(10&lt;$Y$16,$Y$40*_xlfn.LET(_xlpm.sRR,F$18*$B19*$Y$5*$Y$6*$Y$35,_xlpm.sOR,F$18*$Y$5*$Y$6,_xlpm.sOI,$AE$35*_xlpm.sOR,_xlpm.sOD,$Y$20*_xlpm.sRR,_xlpm.sGR,_xlpm.sRR+_xlpm.sOI+_xlpm.sOD,_xlpm.sExp,$Z$35+$AB$35*_xlpm.sRR+($AC$35+$Y$21)*_xlpm.sGR+$AD$35*_xlpm.sOR,_xlpm.sGR-_xlpm.sExp+$AA$35+$AF$35),IF(P67&lt;=0,$Y$38*P67,Q67+R67+S67)))</f>
        <v>0</v>
      </c>
      <c r="N67" t="e" cm="1">
        <f t="array" ref="N67">$Y$39*(1+$Y$46)^($Y$16-1)-SUMPRODUCT(D67:L67,(1+$Y$46)^_xlfn.SEQUENCE(1,$Y$16-1,$Y$16-2,-1))</f>
        <v>#VALUE!</v>
      </c>
      <c r="O67" t="e" cm="1">
        <f t="array" ref="O67">$Y$39*(1+$Y$47)^($Y$16-1)-SUMPRODUCT(D67:L67,(1+$Y$47)^_xlfn.SEQUENCE(1,$Y$16-1,$Y$16-2,-1))</f>
        <v>#VALUE!</v>
      </c>
      <c r="P67" t="e">
        <f t="shared" ref="P67:P73" si="61">_xlfn.LET(_xlpm.sRR,F$18*$B19*$Y$5*$Y$6*$Y$35,_xlpm.sOR,F$18*$Y$5*$Y$6,_xlpm.sOI,$AE$35*_xlpm.sOR,_xlpm.sOD,$Y$20*_xlpm.sRR,_xlpm.sGR,_xlpm.sRR+_xlpm.sOI+_xlpm.sOD,_xlpm.sExp,$Z$35+$AB$35*_xlpm.sRR+($AC$35+$Y$21)*_xlpm.sGR+$AD$35*_xlpm.sOR,_xlpm.opCF,_xlpm.sGR-_xlpm.sExp+$AA$35+$AF$35,_xlpm.opCF+(F$18*$B19*$Y$5*$Y$6*$Y$15*(1-$Y$17)-$Y$22))</f>
        <v>#VALUE!</v>
      </c>
      <c r="Q67" t="e">
        <f t="shared" si="23"/>
        <v>#VALUE!</v>
      </c>
      <c r="R67" t="e">
        <f t="shared" si="24"/>
        <v>#VALUE!</v>
      </c>
      <c r="S67" t="e">
        <f t="shared" si="25"/>
        <v>#VALUE!</v>
      </c>
    </row>
    <row r="68" spans="2:19" hidden="1">
      <c r="B68" s="933" t="e">
        <f t="shared" si="50"/>
        <v>#VALUE!</v>
      </c>
      <c r="C68">
        <f t="shared" si="11"/>
        <v>0</v>
      </c>
      <c r="D68" s="43">
        <f t="shared" si="51"/>
        <v>0</v>
      </c>
      <c r="E68" s="43">
        <f t="shared" si="52"/>
        <v>0</v>
      </c>
      <c r="F68" s="43">
        <f t="shared" si="53"/>
        <v>0</v>
      </c>
      <c r="G68" s="43">
        <f t="shared" si="54"/>
        <v>0</v>
      </c>
      <c r="H68" s="43">
        <f t="shared" si="55"/>
        <v>0</v>
      </c>
      <c r="I68" s="43">
        <f t="shared" si="56"/>
        <v>0</v>
      </c>
      <c r="J68" s="43">
        <f t="shared" si="57"/>
        <v>0</v>
      </c>
      <c r="K68" s="43">
        <f t="shared" si="58"/>
        <v>0</v>
      </c>
      <c r="L68" s="43">
        <f t="shared" si="59"/>
        <v>0</v>
      </c>
      <c r="M68" s="43">
        <f t="shared" si="60"/>
        <v>0</v>
      </c>
      <c r="N68" t="e" cm="1">
        <f t="array" ref="N68">$Y$39*(1+$Y$46)^($Y$16-1)-SUMPRODUCT(D68:L68,(1+$Y$46)^_xlfn.SEQUENCE(1,$Y$16-1,$Y$16-2,-1))</f>
        <v>#VALUE!</v>
      </c>
      <c r="O68" t="e" cm="1">
        <f t="array" ref="O68">$Y$39*(1+$Y$47)^($Y$16-1)-SUMPRODUCT(D68:L68,(1+$Y$47)^_xlfn.SEQUENCE(1,$Y$16-1,$Y$16-2,-1))</f>
        <v>#VALUE!</v>
      </c>
      <c r="P68" t="e">
        <f t="shared" si="61"/>
        <v>#VALUE!</v>
      </c>
      <c r="Q68" t="e">
        <f t="shared" si="23"/>
        <v>#VALUE!</v>
      </c>
      <c r="R68" t="e">
        <f t="shared" si="24"/>
        <v>#VALUE!</v>
      </c>
      <c r="S68" t="e">
        <f t="shared" si="25"/>
        <v>#VALUE!</v>
      </c>
    </row>
    <row r="69" spans="2:19" hidden="1">
      <c r="B69" s="933" t="e">
        <f t="shared" si="50"/>
        <v>#VALUE!</v>
      </c>
      <c r="C69">
        <f t="shared" si="11"/>
        <v>0</v>
      </c>
      <c r="D69" s="43">
        <f t="shared" si="51"/>
        <v>0</v>
      </c>
      <c r="E69" s="43">
        <f t="shared" si="52"/>
        <v>0</v>
      </c>
      <c r="F69" s="43">
        <f t="shared" si="53"/>
        <v>0</v>
      </c>
      <c r="G69" s="43">
        <f t="shared" si="54"/>
        <v>0</v>
      </c>
      <c r="H69" s="43">
        <f t="shared" si="55"/>
        <v>0</v>
      </c>
      <c r="I69" s="43">
        <f t="shared" si="56"/>
        <v>0</v>
      </c>
      <c r="J69" s="43">
        <f t="shared" si="57"/>
        <v>0</v>
      </c>
      <c r="K69" s="43">
        <f t="shared" si="58"/>
        <v>0</v>
      </c>
      <c r="L69" s="43">
        <f t="shared" si="59"/>
        <v>0</v>
      </c>
      <c r="M69" s="43">
        <f t="shared" si="60"/>
        <v>0</v>
      </c>
      <c r="N69" t="e" cm="1">
        <f t="array" ref="N69">$Y$39*(1+$Y$46)^($Y$16-1)-SUMPRODUCT(D69:L69,(1+$Y$46)^_xlfn.SEQUENCE(1,$Y$16-1,$Y$16-2,-1))</f>
        <v>#VALUE!</v>
      </c>
      <c r="O69" t="e" cm="1">
        <f t="array" ref="O69">$Y$39*(1+$Y$47)^($Y$16-1)-SUMPRODUCT(D69:L69,(1+$Y$47)^_xlfn.SEQUENCE(1,$Y$16-1,$Y$16-2,-1))</f>
        <v>#VALUE!</v>
      </c>
      <c r="P69" t="e">
        <f t="shared" si="61"/>
        <v>#VALUE!</v>
      </c>
      <c r="Q69" t="e">
        <f t="shared" si="23"/>
        <v>#VALUE!</v>
      </c>
      <c r="R69" t="e">
        <f t="shared" si="24"/>
        <v>#VALUE!</v>
      </c>
      <c r="S69" t="e">
        <f t="shared" si="25"/>
        <v>#VALUE!</v>
      </c>
    </row>
    <row r="70" spans="2:19" hidden="1">
      <c r="B70" s="933" t="e">
        <f t="shared" si="50"/>
        <v>#VALUE!</v>
      </c>
      <c r="C70">
        <f t="shared" si="11"/>
        <v>0</v>
      </c>
      <c r="D70" s="43">
        <f t="shared" si="51"/>
        <v>0</v>
      </c>
      <c r="E70" s="43">
        <f t="shared" si="52"/>
        <v>0</v>
      </c>
      <c r="F70" s="43">
        <f t="shared" si="53"/>
        <v>0</v>
      </c>
      <c r="G70" s="43">
        <f t="shared" si="54"/>
        <v>0</v>
      </c>
      <c r="H70" s="43">
        <f t="shared" si="55"/>
        <v>0</v>
      </c>
      <c r="I70" s="43">
        <f t="shared" si="56"/>
        <v>0</v>
      </c>
      <c r="J70" s="43">
        <f t="shared" si="57"/>
        <v>0</v>
      </c>
      <c r="K70" s="43">
        <f t="shared" si="58"/>
        <v>0</v>
      </c>
      <c r="L70" s="43">
        <f t="shared" si="59"/>
        <v>0</v>
      </c>
      <c r="M70" s="43">
        <f t="shared" si="60"/>
        <v>0</v>
      </c>
      <c r="N70" s="43" t="e" cm="1">
        <f t="array" ref="N70">$Y$39*(1+$Y$46)^($Y$16-1)-SUMPRODUCT(D70:L70,(1+$Y$46)^_xlfn.SEQUENCE(1,$Y$16-1,$Y$16-2,-1))</f>
        <v>#VALUE!</v>
      </c>
      <c r="O70" s="43" t="e" cm="1">
        <f t="array" ref="O70">$Y$39*(1+$Y$47)^($Y$16-1)-SUMPRODUCT(D70:L70,(1+$Y$47)^_xlfn.SEQUENCE(1,$Y$16-1,$Y$16-2,-1))</f>
        <v>#VALUE!</v>
      </c>
      <c r="P70" s="955" t="e">
        <f t="shared" si="61"/>
        <v>#VALUE!</v>
      </c>
      <c r="Q70" t="e">
        <f t="shared" si="23"/>
        <v>#VALUE!</v>
      </c>
      <c r="R70" t="e">
        <f t="shared" si="24"/>
        <v>#VALUE!</v>
      </c>
      <c r="S70" s="955" t="e">
        <f t="shared" si="25"/>
        <v>#VALUE!</v>
      </c>
    </row>
    <row r="71" spans="2:19" hidden="1">
      <c r="B71" s="933" t="e">
        <f t="shared" si="50"/>
        <v>#VALUE!</v>
      </c>
      <c r="C71">
        <f t="shared" si="11"/>
        <v>0</v>
      </c>
      <c r="D71" s="43">
        <f t="shared" si="51"/>
        <v>0</v>
      </c>
      <c r="E71" s="43">
        <f t="shared" si="52"/>
        <v>0</v>
      </c>
      <c r="F71" s="43">
        <f t="shared" si="53"/>
        <v>0</v>
      </c>
      <c r="G71" s="43">
        <f t="shared" si="54"/>
        <v>0</v>
      </c>
      <c r="H71" s="43">
        <f t="shared" si="55"/>
        <v>0</v>
      </c>
      <c r="I71" s="43">
        <f t="shared" si="56"/>
        <v>0</v>
      </c>
      <c r="J71" s="43">
        <f t="shared" si="57"/>
        <v>0</v>
      </c>
      <c r="K71" s="43">
        <f t="shared" si="58"/>
        <v>0</v>
      </c>
      <c r="L71" s="43">
        <f t="shared" si="59"/>
        <v>0</v>
      </c>
      <c r="M71" s="43">
        <f t="shared" si="60"/>
        <v>0</v>
      </c>
      <c r="N71" t="e" cm="1">
        <f t="array" ref="N71">$Y$39*(1+$Y$46)^($Y$16-1)-SUMPRODUCT(D71:L71,(1+$Y$46)^_xlfn.SEQUENCE(1,$Y$16-1,$Y$16-2,-1))</f>
        <v>#VALUE!</v>
      </c>
      <c r="O71" t="e" cm="1">
        <f t="array" ref="O71">$Y$39*(1+$Y$47)^($Y$16-1)-SUMPRODUCT(D71:L71,(1+$Y$47)^_xlfn.SEQUENCE(1,$Y$16-1,$Y$16-2,-1))</f>
        <v>#VALUE!</v>
      </c>
      <c r="P71" t="e">
        <f t="shared" si="61"/>
        <v>#VALUE!</v>
      </c>
      <c r="Q71" t="e">
        <f t="shared" si="23"/>
        <v>#VALUE!</v>
      </c>
      <c r="R71" t="e">
        <f t="shared" si="24"/>
        <v>#VALUE!</v>
      </c>
      <c r="S71" t="e">
        <f t="shared" si="25"/>
        <v>#VALUE!</v>
      </c>
    </row>
    <row r="72" spans="2:19" hidden="1">
      <c r="B72" s="933" t="e">
        <f t="shared" si="50"/>
        <v>#VALUE!</v>
      </c>
      <c r="C72">
        <f t="shared" si="11"/>
        <v>0</v>
      </c>
      <c r="D72" s="43">
        <f t="shared" si="51"/>
        <v>0</v>
      </c>
      <c r="E72" s="43">
        <f t="shared" si="52"/>
        <v>0</v>
      </c>
      <c r="F72" s="43">
        <f t="shared" si="53"/>
        <v>0</v>
      </c>
      <c r="G72" s="43">
        <f t="shared" si="54"/>
        <v>0</v>
      </c>
      <c r="H72" s="43">
        <f t="shared" si="55"/>
        <v>0</v>
      </c>
      <c r="I72" s="43">
        <f t="shared" si="56"/>
        <v>0</v>
      </c>
      <c r="J72" s="43">
        <f t="shared" si="57"/>
        <v>0</v>
      </c>
      <c r="K72" s="43">
        <f t="shared" si="58"/>
        <v>0</v>
      </c>
      <c r="L72" s="43">
        <f t="shared" si="59"/>
        <v>0</v>
      </c>
      <c r="M72" s="43">
        <f t="shared" si="60"/>
        <v>0</v>
      </c>
      <c r="N72" t="e" cm="1">
        <f t="array" ref="N72">$Y$39*(1+$Y$46)^($Y$16-1)-SUMPRODUCT(D72:L72,(1+$Y$46)^_xlfn.SEQUENCE(1,$Y$16-1,$Y$16-2,-1))</f>
        <v>#VALUE!</v>
      </c>
      <c r="O72" t="e" cm="1">
        <f t="array" ref="O72">$Y$39*(1+$Y$47)^($Y$16-1)-SUMPRODUCT(D72:L72,(1+$Y$47)^_xlfn.SEQUENCE(1,$Y$16-1,$Y$16-2,-1))</f>
        <v>#VALUE!</v>
      </c>
      <c r="P72" t="e">
        <f t="shared" si="61"/>
        <v>#VALUE!</v>
      </c>
      <c r="Q72" t="e">
        <f t="shared" si="23"/>
        <v>#VALUE!</v>
      </c>
      <c r="R72" t="e">
        <f t="shared" si="24"/>
        <v>#VALUE!</v>
      </c>
      <c r="S72" t="e">
        <f t="shared" si="25"/>
        <v>#VALUE!</v>
      </c>
    </row>
    <row r="73" spans="2:19" hidden="1">
      <c r="B73" s="933" t="e">
        <f t="shared" si="50"/>
        <v>#VALUE!</v>
      </c>
      <c r="C73">
        <f t="shared" si="11"/>
        <v>0</v>
      </c>
      <c r="D73" s="43">
        <f t="shared" si="51"/>
        <v>0</v>
      </c>
      <c r="E73" s="43">
        <f t="shared" si="52"/>
        <v>0</v>
      </c>
      <c r="F73" s="43">
        <f t="shared" si="53"/>
        <v>0</v>
      </c>
      <c r="G73" s="43">
        <f t="shared" si="54"/>
        <v>0</v>
      </c>
      <c r="H73" s="43">
        <f t="shared" si="55"/>
        <v>0</v>
      </c>
      <c r="I73" s="43">
        <f t="shared" si="56"/>
        <v>0</v>
      </c>
      <c r="J73" s="43">
        <f t="shared" si="57"/>
        <v>0</v>
      </c>
      <c r="K73" s="43">
        <f t="shared" si="58"/>
        <v>0</v>
      </c>
      <c r="L73" s="43">
        <f t="shared" si="59"/>
        <v>0</v>
      </c>
      <c r="M73" s="43">
        <f t="shared" si="60"/>
        <v>0</v>
      </c>
      <c r="N73" t="e" cm="1">
        <f t="array" ref="N73">$Y$39*(1+$Y$46)^($Y$16-1)-SUMPRODUCT(D73:L73,(1+$Y$46)^_xlfn.SEQUENCE(1,$Y$16-1,$Y$16-2,-1))</f>
        <v>#VALUE!</v>
      </c>
      <c r="O73" t="e" cm="1">
        <f t="array" ref="O73">$Y$39*(1+$Y$47)^($Y$16-1)-SUMPRODUCT(D73:L73,(1+$Y$47)^_xlfn.SEQUENCE(1,$Y$16-1,$Y$16-2,-1))</f>
        <v>#VALUE!</v>
      </c>
      <c r="P73" t="e">
        <f t="shared" si="61"/>
        <v>#VALUE!</v>
      </c>
      <c r="Q73" t="e">
        <f t="shared" si="23"/>
        <v>#VALUE!</v>
      </c>
      <c r="R73" t="e">
        <f t="shared" si="24"/>
        <v>#VALUE!</v>
      </c>
      <c r="S73" t="e">
        <f t="shared" si="25"/>
        <v>#VALUE!</v>
      </c>
    </row>
    <row r="74" spans="2:19" hidden="1">
      <c r="B74" s="933" t="e">
        <f t="shared" ref="B74:B80" si="62">G$18&amp;" × $"&amp;TEXT($B19,"0")</f>
        <v>#VALUE!</v>
      </c>
      <c r="C74">
        <f t="shared" si="11"/>
        <v>0</v>
      </c>
      <c r="D74" s="43">
        <f t="shared" ref="D74:D80" si="63">IF(1&gt;$Y$16,0,IF(1&lt;$Y$16,$Y$40*_xlfn.LET(_xlpm.sRR,G$18*$B19*$Y$5*$Y$6*$Y$26,_xlpm.sOR,G$18*$Y$5*$Y$6,_xlpm.sOI,$AE$26*_xlpm.sOR,_xlpm.sOD,$Y$20*_xlpm.sRR,_xlpm.sGR,_xlpm.sRR+_xlpm.sOI+_xlpm.sOD,_xlpm.sExp,$Z$26+$AB$26*_xlpm.sRR+($AC$26+$Y$21)*_xlpm.sGR+$AD$26*_xlpm.sOR,_xlpm.sGR-_xlpm.sExp+$AA$26+$AF$26),_xlfn.LET(_xlpm.sRR,G$18*$B19*$Y$5*$Y$6*$Y$26,_xlpm.sOR,G$18*$Y$5*$Y$6,_xlpm.sOI,$AE$26*_xlpm.sOR,_xlpm.sOD,$Y$20*_xlpm.sRR,_xlpm.sGR,_xlpm.sRR+_xlpm.sOI+_xlpm.sOD,_xlpm.sExp,$Z$26+$AB$26*_xlpm.sRR+($AC$26+$Y$21)*_xlpm.sGR+$AD$26*_xlpm.sOR,_xlpm.opCF,_xlpm.sGR-_xlpm.sExp+$AA$26+$AF$26,_xlpm.totalCF,_xlpm.opCF+(G$18*$B19*$Y$5*$Y$6*$Y$15*(1-$Y$17)-$Y$22),_xlpm.t1cap,$Y$43*$Y$12,_xlpm.t2cap,$Y$44*$Y$12,IF(_xlpm.totalCF&lt;=0,$Y$38*_xlpm.totalCF,$Y$40*MIN(MAX(_xlpm.totalCF,0),_xlpm.t1cap)+$Y$41*MAX(MIN(MAX(_xlpm.totalCF,0),_xlpm.t2cap)-_xlpm.t1cap,0)+$Y$42*MAX(MAX(_xlpm.totalCF,0)-_xlpm.t2cap,0)))))</f>
        <v>0</v>
      </c>
      <c r="E74" s="43">
        <f t="shared" ref="E74:E80" si="64">IF(2&gt;$Y$16,0,IF(2&lt;$Y$16,$Y$40*_xlfn.LET(_xlpm.sRR,G$18*$B19*$Y$5*$Y$6*$Y$27,_xlpm.sOR,G$18*$Y$5*$Y$6,_xlpm.sOI,$AE$27*_xlpm.sOR,_xlpm.sOD,$Y$20*_xlpm.sRR,_xlpm.sGR,_xlpm.sRR+_xlpm.sOI+_xlpm.sOD,_xlpm.sExp,$Z$27+$AB$27*_xlpm.sRR+($AC$27+$Y$21)*_xlpm.sGR+$AD$27*_xlpm.sOR,_xlpm.sGR-_xlpm.sExp+$AA$27+$AF$27),_xlfn.LET(_xlpm.sRR,G$18*$B19*$Y$5*$Y$6*$Y$27,_xlpm.sOR,G$18*$Y$5*$Y$6,_xlpm.sOI,$AE$27*_xlpm.sOR,_xlpm.sOD,$Y$20*_xlpm.sRR,_xlpm.sGR,_xlpm.sRR+_xlpm.sOI+_xlpm.sOD,_xlpm.sExp,$Z$27+$AB$27*_xlpm.sRR+($AC$27+$Y$21)*_xlpm.sGR+$AD$27*_xlpm.sOR,_xlpm.opCF,_xlpm.sGR-_xlpm.sExp+$AA$27+$AF$27,_xlpm.totalCF,_xlpm.opCF+(G$18*$B19*$Y$5*$Y$6*$Y$15*(1-$Y$17)-$Y$22),_xlpm.t1cap,$Y$43*$Y$12,_xlpm.t2cap,$Y$44*$Y$12,IF(_xlpm.totalCF&lt;=0,$Y$38*_xlpm.totalCF,$Y$40*MIN(MAX(_xlpm.totalCF,0),_xlpm.t1cap)+$Y$41*MAX(MIN(MAX(_xlpm.totalCF,0),_xlpm.t2cap)-_xlpm.t1cap,0)+$Y$42*MAX(MAX(_xlpm.totalCF,0)-_xlpm.t2cap,0)))))</f>
        <v>0</v>
      </c>
      <c r="F74" s="43">
        <f t="shared" ref="F74:F80" si="65">IF(3&gt;$Y$16,0,IF(3&lt;$Y$16,$Y$40*_xlfn.LET(_xlpm.sRR,G$18*$B19*$Y$5*$Y$6*$Y$28,_xlpm.sOR,G$18*$Y$5*$Y$6,_xlpm.sOI,$AE$28*_xlpm.sOR,_xlpm.sOD,$Y$20*_xlpm.sRR,_xlpm.sGR,_xlpm.sRR+_xlpm.sOI+_xlpm.sOD,_xlpm.sExp,$Z$28+$AB$28*_xlpm.sRR+($AC$28+$Y$21)*_xlpm.sGR+$AD$28*_xlpm.sOR,_xlpm.sGR-_xlpm.sExp+$AA$28+$AF$28),_xlfn.LET(_xlpm.sRR,G$18*$B19*$Y$5*$Y$6*$Y$28,_xlpm.sOR,G$18*$Y$5*$Y$6,_xlpm.sOI,$AE$28*_xlpm.sOR,_xlpm.sOD,$Y$20*_xlpm.sRR,_xlpm.sGR,_xlpm.sRR+_xlpm.sOI+_xlpm.sOD,_xlpm.sExp,$Z$28+$AB$28*_xlpm.sRR+($AC$28+$Y$21)*_xlpm.sGR+$AD$28*_xlpm.sOR,_xlpm.opCF,_xlpm.sGR-_xlpm.sExp+$AA$28+$AF$28,_xlpm.totalCF,_xlpm.opCF+(G$18*$B19*$Y$5*$Y$6*$Y$15*(1-$Y$17)-$Y$22),_xlpm.t1cap,$Y$43*$Y$12,_xlpm.t2cap,$Y$44*$Y$12,IF(_xlpm.totalCF&lt;=0,$Y$38*_xlpm.totalCF,$Y$40*MIN(MAX(_xlpm.totalCF,0),_xlpm.t1cap)+$Y$41*MAX(MIN(MAX(_xlpm.totalCF,0),_xlpm.t2cap)-_xlpm.t1cap,0)+$Y$42*MAX(MAX(_xlpm.totalCF,0)-_xlpm.t2cap,0)))))</f>
        <v>0</v>
      </c>
      <c r="G74" s="43">
        <f t="shared" ref="G74:G80" si="66">IF(4&gt;$Y$16,0,IF(4&lt;$Y$16,$Y$40*_xlfn.LET(_xlpm.sRR,G$18*$B19*$Y$5*$Y$6*$Y$29,_xlpm.sOR,G$18*$Y$5*$Y$6,_xlpm.sOI,$AE$29*_xlpm.sOR,_xlpm.sOD,$Y$20*_xlpm.sRR,_xlpm.sGR,_xlpm.sRR+_xlpm.sOI+_xlpm.sOD,_xlpm.sExp,$Z$29+$AB$29*_xlpm.sRR+($AC$29+$Y$21)*_xlpm.sGR+$AD$29*_xlpm.sOR,_xlpm.sGR-_xlpm.sExp+$AA$29+$AF$29),_xlfn.LET(_xlpm.sRR,G$18*$B19*$Y$5*$Y$6*$Y$29,_xlpm.sOR,G$18*$Y$5*$Y$6,_xlpm.sOI,$AE$29*_xlpm.sOR,_xlpm.sOD,$Y$20*_xlpm.sRR,_xlpm.sGR,_xlpm.sRR+_xlpm.sOI+_xlpm.sOD,_xlpm.sExp,$Z$29+$AB$29*_xlpm.sRR+($AC$29+$Y$21)*_xlpm.sGR+$AD$29*_xlpm.sOR,_xlpm.opCF,_xlpm.sGR-_xlpm.sExp+$AA$29+$AF$29,_xlpm.totalCF,_xlpm.opCF+(G$18*$B19*$Y$5*$Y$6*$Y$15*(1-$Y$17)-$Y$22),_xlpm.t1cap,$Y$43*$Y$12,_xlpm.t2cap,$Y$44*$Y$12,IF(_xlpm.totalCF&lt;=0,$Y$38*_xlpm.totalCF,$Y$40*MIN(MAX(_xlpm.totalCF,0),_xlpm.t1cap)+$Y$41*MAX(MIN(MAX(_xlpm.totalCF,0),_xlpm.t2cap)-_xlpm.t1cap,0)+$Y$42*MAX(MAX(_xlpm.totalCF,0)-_xlpm.t2cap,0)))))</f>
        <v>0</v>
      </c>
      <c r="H74" s="43">
        <f t="shared" ref="H74:H80" si="67">IF(5&gt;$Y$16,0,IF(5&lt;$Y$16,$Y$40*_xlfn.LET(_xlpm.sRR,G$18*$B19*$Y$5*$Y$6*$Y$30,_xlpm.sOR,G$18*$Y$5*$Y$6,_xlpm.sOI,$AE$30*_xlpm.sOR,_xlpm.sOD,$Y$20*_xlpm.sRR,_xlpm.sGR,_xlpm.sRR+_xlpm.sOI+_xlpm.sOD,_xlpm.sExp,$Z$30+$AB$30*_xlpm.sRR+($AC$30+$Y$21)*_xlpm.sGR+$AD$30*_xlpm.sOR,_xlpm.sGR-_xlpm.sExp+$AA$30+$AF$30),_xlfn.LET(_xlpm.sRR,G$18*$B19*$Y$5*$Y$6*$Y$30,_xlpm.sOR,G$18*$Y$5*$Y$6,_xlpm.sOI,$AE$30*_xlpm.sOR,_xlpm.sOD,$Y$20*_xlpm.sRR,_xlpm.sGR,_xlpm.sRR+_xlpm.sOI+_xlpm.sOD,_xlpm.sExp,$Z$30+$AB$30*_xlpm.sRR+($AC$30+$Y$21)*_xlpm.sGR+$AD$30*_xlpm.sOR,_xlpm.opCF,_xlpm.sGR-_xlpm.sExp+$AA$30+$AF$30,_xlpm.totalCF,_xlpm.opCF+(G$18*$B19*$Y$5*$Y$6*$Y$15*(1-$Y$17)-$Y$22),_xlpm.t1cap,$Y$43*$Y$12,_xlpm.t2cap,$Y$44*$Y$12,IF(_xlpm.totalCF&lt;=0,$Y$38*_xlpm.totalCF,$Y$40*MIN(MAX(_xlpm.totalCF,0),_xlpm.t1cap)+$Y$41*MAX(MIN(MAX(_xlpm.totalCF,0),_xlpm.t2cap)-_xlpm.t1cap,0)+$Y$42*MAX(MAX(_xlpm.totalCF,0)-_xlpm.t2cap,0)))))</f>
        <v>0</v>
      </c>
      <c r="I74" s="43">
        <f t="shared" ref="I74:I80" si="68">IF(6&gt;$Y$16,0,IF(6&lt;$Y$16,$Y$40*_xlfn.LET(_xlpm.sRR,G$18*$B19*$Y$5*$Y$6*$Y$31,_xlpm.sOR,G$18*$Y$5*$Y$6,_xlpm.sOI,$AE$31*_xlpm.sOR,_xlpm.sOD,$Y$20*_xlpm.sRR,_xlpm.sGR,_xlpm.sRR+_xlpm.sOI+_xlpm.sOD,_xlpm.sExp,$Z$31+$AB$31*_xlpm.sRR+($AC$31+$Y$21)*_xlpm.sGR+$AD$31*_xlpm.sOR,_xlpm.sGR-_xlpm.sExp+$AA$31+$AF$31),_xlfn.LET(_xlpm.sRR,G$18*$B19*$Y$5*$Y$6*$Y$31,_xlpm.sOR,G$18*$Y$5*$Y$6,_xlpm.sOI,$AE$31*_xlpm.sOR,_xlpm.sOD,$Y$20*_xlpm.sRR,_xlpm.sGR,_xlpm.sRR+_xlpm.sOI+_xlpm.sOD,_xlpm.sExp,$Z$31+$AB$31*_xlpm.sRR+($AC$31+$Y$21)*_xlpm.sGR+$AD$31*_xlpm.sOR,_xlpm.opCF,_xlpm.sGR-_xlpm.sExp+$AA$31+$AF$31,_xlpm.totalCF,_xlpm.opCF+(G$18*$B19*$Y$5*$Y$6*$Y$15*(1-$Y$17)-$Y$22),_xlpm.t1cap,$Y$43*$Y$12,_xlpm.t2cap,$Y$44*$Y$12,IF(_xlpm.totalCF&lt;=0,$Y$38*_xlpm.totalCF,$Y$40*MIN(MAX(_xlpm.totalCF,0),_xlpm.t1cap)+$Y$41*MAX(MIN(MAX(_xlpm.totalCF,0),_xlpm.t2cap)-_xlpm.t1cap,0)+$Y$42*MAX(MAX(_xlpm.totalCF,0)-_xlpm.t2cap,0)))))</f>
        <v>0</v>
      </c>
      <c r="J74" s="43">
        <f t="shared" ref="J74:J80" si="69">IF(7&gt;$Y$16,0,IF(7&lt;$Y$16,$Y$40*_xlfn.LET(_xlpm.sRR,G$18*$B19*$Y$5*$Y$6*$Y$32,_xlpm.sOR,G$18*$Y$5*$Y$6,_xlpm.sOI,$AE$32*_xlpm.sOR,_xlpm.sOD,$Y$20*_xlpm.sRR,_xlpm.sGR,_xlpm.sRR+_xlpm.sOI+_xlpm.sOD,_xlpm.sExp,$Z$32+$AB$32*_xlpm.sRR+($AC$32+$Y$21)*_xlpm.sGR+$AD$32*_xlpm.sOR,_xlpm.sGR-_xlpm.sExp+$AA$32+$AF$32),_xlfn.LET(_xlpm.sRR,G$18*$B19*$Y$5*$Y$6*$Y$32,_xlpm.sOR,G$18*$Y$5*$Y$6,_xlpm.sOI,$AE$32*_xlpm.sOR,_xlpm.sOD,$Y$20*_xlpm.sRR,_xlpm.sGR,_xlpm.sRR+_xlpm.sOI+_xlpm.sOD,_xlpm.sExp,$Z$32+$AB$32*_xlpm.sRR+($AC$32+$Y$21)*_xlpm.sGR+$AD$32*_xlpm.sOR,_xlpm.opCF,_xlpm.sGR-_xlpm.sExp+$AA$32+$AF$32,_xlpm.totalCF,_xlpm.opCF+(G$18*$B19*$Y$5*$Y$6*$Y$15*(1-$Y$17)-$Y$22),_xlpm.t1cap,$Y$43*$Y$12,_xlpm.t2cap,$Y$44*$Y$12,IF(_xlpm.totalCF&lt;=0,$Y$38*_xlpm.totalCF,$Y$40*MIN(MAX(_xlpm.totalCF,0),_xlpm.t1cap)+$Y$41*MAX(MIN(MAX(_xlpm.totalCF,0),_xlpm.t2cap)-_xlpm.t1cap,0)+$Y$42*MAX(MAX(_xlpm.totalCF,0)-_xlpm.t2cap,0)))))</f>
        <v>0</v>
      </c>
      <c r="K74" s="43">
        <f t="shared" ref="K74:K80" si="70">IF(8&gt;$Y$16,0,IF(8&lt;$Y$16,$Y$40*_xlfn.LET(_xlpm.sRR,G$18*$B19*$Y$5*$Y$6*$Y$33,_xlpm.sOR,G$18*$Y$5*$Y$6,_xlpm.sOI,$AE$33*_xlpm.sOR,_xlpm.sOD,$Y$20*_xlpm.sRR,_xlpm.sGR,_xlpm.sRR+_xlpm.sOI+_xlpm.sOD,_xlpm.sExp,$Z$33+$AB$33*_xlpm.sRR+($AC$33+$Y$21)*_xlpm.sGR+$AD$33*_xlpm.sOR,_xlpm.sGR-_xlpm.sExp+$AA$33+$AF$33),_xlfn.LET(_xlpm.sRR,G$18*$B19*$Y$5*$Y$6*$Y$33,_xlpm.sOR,G$18*$Y$5*$Y$6,_xlpm.sOI,$AE$33*_xlpm.sOR,_xlpm.sOD,$Y$20*_xlpm.sRR,_xlpm.sGR,_xlpm.sRR+_xlpm.sOI+_xlpm.sOD,_xlpm.sExp,$Z$33+$AB$33*_xlpm.sRR+($AC$33+$Y$21)*_xlpm.sGR+$AD$33*_xlpm.sOR,_xlpm.opCF,_xlpm.sGR-_xlpm.sExp+$AA$33+$AF$33,_xlpm.totalCF,_xlpm.opCF+(G$18*$B19*$Y$5*$Y$6*$Y$15*(1-$Y$17)-$Y$22),_xlpm.t1cap,$Y$43*$Y$12,_xlpm.t2cap,$Y$44*$Y$12,IF(_xlpm.totalCF&lt;=0,$Y$38*_xlpm.totalCF,$Y$40*MIN(MAX(_xlpm.totalCF,0),_xlpm.t1cap)+$Y$41*MAX(MIN(MAX(_xlpm.totalCF,0),_xlpm.t2cap)-_xlpm.t1cap,0)+$Y$42*MAX(MAX(_xlpm.totalCF,0)-_xlpm.t2cap,0)))))</f>
        <v>0</v>
      </c>
      <c r="L74" s="43">
        <f t="shared" ref="L74:L80" si="71">IF(9&gt;$Y$16,0,IF(9&lt;$Y$16,$Y$40*_xlfn.LET(_xlpm.sRR,G$18*$B19*$Y$5*$Y$6*$Y$34,_xlpm.sOR,G$18*$Y$5*$Y$6,_xlpm.sOI,$AE$34*_xlpm.sOR,_xlpm.sOD,$Y$20*_xlpm.sRR,_xlpm.sGR,_xlpm.sRR+_xlpm.sOI+_xlpm.sOD,_xlpm.sExp,$Z$34+$AB$34*_xlpm.sRR+($AC$34+$Y$21)*_xlpm.sGR+$AD$34*_xlpm.sOR,_xlpm.sGR-_xlpm.sExp+$AA$34+$AF$34),_xlfn.LET(_xlpm.sRR,G$18*$B19*$Y$5*$Y$6*$Y$34,_xlpm.sOR,G$18*$Y$5*$Y$6,_xlpm.sOI,$AE$34*_xlpm.sOR,_xlpm.sOD,$Y$20*_xlpm.sRR,_xlpm.sGR,_xlpm.sRR+_xlpm.sOI+_xlpm.sOD,_xlpm.sExp,$Z$34+$AB$34*_xlpm.sRR+($AC$34+$Y$21)*_xlpm.sGR+$AD$34*_xlpm.sOR,_xlpm.opCF,_xlpm.sGR-_xlpm.sExp+$AA$34+$AF$34,_xlpm.totalCF,_xlpm.opCF+(G$18*$B19*$Y$5*$Y$6*$Y$15*(1-$Y$17)-$Y$22),_xlpm.t1cap,$Y$43*$Y$12,_xlpm.t2cap,$Y$44*$Y$12,IF(_xlpm.totalCF&lt;=0,$Y$38*_xlpm.totalCF,$Y$40*MIN(MAX(_xlpm.totalCF,0),_xlpm.t1cap)+$Y$41*MAX(MIN(MAX(_xlpm.totalCF,0),_xlpm.t2cap)-_xlpm.t1cap,0)+$Y$42*MAX(MAX(_xlpm.totalCF,0)-_xlpm.t2cap,0)))))</f>
        <v>0</v>
      </c>
      <c r="M74" s="43">
        <f t="shared" ref="M74:M80" si="72">IF(10&gt;$Y$16,0,IF(10&lt;$Y$16,$Y$40*_xlfn.LET(_xlpm.sRR,G$18*$B19*$Y$5*$Y$6*$Y$35,_xlpm.sOR,G$18*$Y$5*$Y$6,_xlpm.sOI,$AE$35*_xlpm.sOR,_xlpm.sOD,$Y$20*_xlpm.sRR,_xlpm.sGR,_xlpm.sRR+_xlpm.sOI+_xlpm.sOD,_xlpm.sExp,$Z$35+$AB$35*_xlpm.sRR+($AC$35+$Y$21)*_xlpm.sGR+$AD$35*_xlpm.sOR,_xlpm.sGR-_xlpm.sExp+$AA$35+$AF$35),IF(P74&lt;=0,$Y$38*P74,Q74+R74+S74)))</f>
        <v>0</v>
      </c>
      <c r="N74" t="e" cm="1">
        <f t="array" ref="N74">$Y$39*(1+$Y$46)^($Y$16-1)-SUMPRODUCT(D74:L74,(1+$Y$46)^_xlfn.SEQUENCE(1,$Y$16-1,$Y$16-2,-1))</f>
        <v>#VALUE!</v>
      </c>
      <c r="O74" t="e" cm="1">
        <f t="array" ref="O74">$Y$39*(1+$Y$47)^($Y$16-1)-SUMPRODUCT(D74:L74,(1+$Y$47)^_xlfn.SEQUENCE(1,$Y$16-1,$Y$16-2,-1))</f>
        <v>#VALUE!</v>
      </c>
      <c r="P74" t="e">
        <f t="shared" ref="P74:P80" si="73">_xlfn.LET(_xlpm.sRR,G$18*$B19*$Y$5*$Y$6*$Y$35,_xlpm.sOR,G$18*$Y$5*$Y$6,_xlpm.sOI,$AE$35*_xlpm.sOR,_xlpm.sOD,$Y$20*_xlpm.sRR,_xlpm.sGR,_xlpm.sRR+_xlpm.sOI+_xlpm.sOD,_xlpm.sExp,$Z$35+$AB$35*_xlpm.sRR+($AC$35+$Y$21)*_xlpm.sGR+$AD$35*_xlpm.sOR,_xlpm.opCF,_xlpm.sGR-_xlpm.sExp+$AA$35+$AF$35,_xlpm.opCF+(G$18*$B19*$Y$5*$Y$6*$Y$15*(1-$Y$17)-$Y$22))</f>
        <v>#VALUE!</v>
      </c>
      <c r="Q74" t="e">
        <f t="shared" si="23"/>
        <v>#VALUE!</v>
      </c>
      <c r="R74" t="e">
        <f t="shared" si="24"/>
        <v>#VALUE!</v>
      </c>
      <c r="S74" t="e">
        <f t="shared" si="25"/>
        <v>#VALUE!</v>
      </c>
    </row>
    <row r="75" spans="2:19" hidden="1">
      <c r="B75" s="933" t="e">
        <f t="shared" si="62"/>
        <v>#VALUE!</v>
      </c>
      <c r="C75">
        <f t="shared" si="11"/>
        <v>0</v>
      </c>
      <c r="D75" s="43">
        <f t="shared" si="63"/>
        <v>0</v>
      </c>
      <c r="E75" s="43">
        <f t="shared" si="64"/>
        <v>0</v>
      </c>
      <c r="F75" s="43">
        <f t="shared" si="65"/>
        <v>0</v>
      </c>
      <c r="G75" s="43">
        <f t="shared" si="66"/>
        <v>0</v>
      </c>
      <c r="H75" s="43">
        <f t="shared" si="67"/>
        <v>0</v>
      </c>
      <c r="I75" s="43">
        <f t="shared" si="68"/>
        <v>0</v>
      </c>
      <c r="J75" s="43">
        <f t="shared" si="69"/>
        <v>0</v>
      </c>
      <c r="K75" s="43">
        <f t="shared" si="70"/>
        <v>0</v>
      </c>
      <c r="L75" s="43">
        <f t="shared" si="71"/>
        <v>0</v>
      </c>
      <c r="M75" s="43">
        <f t="shared" si="72"/>
        <v>0</v>
      </c>
      <c r="N75" t="e" cm="1">
        <f t="array" ref="N75">$Y$39*(1+$Y$46)^($Y$16-1)-SUMPRODUCT(D75:L75,(1+$Y$46)^_xlfn.SEQUENCE(1,$Y$16-1,$Y$16-2,-1))</f>
        <v>#VALUE!</v>
      </c>
      <c r="O75" t="e" cm="1">
        <f t="array" ref="O75">$Y$39*(1+$Y$47)^($Y$16-1)-SUMPRODUCT(D75:L75,(1+$Y$47)^_xlfn.SEQUENCE(1,$Y$16-1,$Y$16-2,-1))</f>
        <v>#VALUE!</v>
      </c>
      <c r="P75" t="e">
        <f t="shared" si="73"/>
        <v>#VALUE!</v>
      </c>
      <c r="Q75" t="e">
        <f t="shared" si="23"/>
        <v>#VALUE!</v>
      </c>
      <c r="R75" t="e">
        <f t="shared" si="24"/>
        <v>#VALUE!</v>
      </c>
      <c r="S75" t="e">
        <f t="shared" si="25"/>
        <v>#VALUE!</v>
      </c>
    </row>
    <row r="76" spans="2:19" hidden="1">
      <c r="B76" s="933" t="e">
        <f t="shared" si="62"/>
        <v>#VALUE!</v>
      </c>
      <c r="C76">
        <f t="shared" si="11"/>
        <v>0</v>
      </c>
      <c r="D76" s="43">
        <f t="shared" si="63"/>
        <v>0</v>
      </c>
      <c r="E76" s="43">
        <f t="shared" si="64"/>
        <v>0</v>
      </c>
      <c r="F76" s="43">
        <f t="shared" si="65"/>
        <v>0</v>
      </c>
      <c r="G76" s="43">
        <f t="shared" si="66"/>
        <v>0</v>
      </c>
      <c r="H76" s="43">
        <f t="shared" si="67"/>
        <v>0</v>
      </c>
      <c r="I76" s="43">
        <f t="shared" si="68"/>
        <v>0</v>
      </c>
      <c r="J76" s="43">
        <f t="shared" si="69"/>
        <v>0</v>
      </c>
      <c r="K76" s="43">
        <f t="shared" si="70"/>
        <v>0</v>
      </c>
      <c r="L76" s="43">
        <f t="shared" si="71"/>
        <v>0</v>
      </c>
      <c r="M76" s="43">
        <f t="shared" si="72"/>
        <v>0</v>
      </c>
      <c r="N76" t="e" cm="1">
        <f t="array" ref="N76">$Y$39*(1+$Y$46)^($Y$16-1)-SUMPRODUCT(D76:L76,(1+$Y$46)^_xlfn.SEQUENCE(1,$Y$16-1,$Y$16-2,-1))</f>
        <v>#VALUE!</v>
      </c>
      <c r="O76" t="e" cm="1">
        <f t="array" ref="O76">$Y$39*(1+$Y$47)^($Y$16-1)-SUMPRODUCT(D76:L76,(1+$Y$47)^_xlfn.SEQUENCE(1,$Y$16-1,$Y$16-2,-1))</f>
        <v>#VALUE!</v>
      </c>
      <c r="P76" t="e">
        <f t="shared" si="73"/>
        <v>#VALUE!</v>
      </c>
      <c r="Q76" t="e">
        <f t="shared" si="23"/>
        <v>#VALUE!</v>
      </c>
      <c r="R76" t="e">
        <f t="shared" si="24"/>
        <v>#VALUE!</v>
      </c>
      <c r="S76" t="e">
        <f t="shared" si="25"/>
        <v>#VALUE!</v>
      </c>
    </row>
    <row r="77" spans="2:19" hidden="1">
      <c r="B77" s="933" t="e">
        <f t="shared" si="62"/>
        <v>#VALUE!</v>
      </c>
      <c r="C77">
        <f t="shared" si="11"/>
        <v>0</v>
      </c>
      <c r="D77" s="43">
        <f t="shared" si="63"/>
        <v>0</v>
      </c>
      <c r="E77" s="43">
        <f t="shared" si="64"/>
        <v>0</v>
      </c>
      <c r="F77" s="43">
        <f t="shared" si="65"/>
        <v>0</v>
      </c>
      <c r="G77" s="43">
        <f t="shared" si="66"/>
        <v>0</v>
      </c>
      <c r="H77" s="43">
        <f t="shared" si="67"/>
        <v>0</v>
      </c>
      <c r="I77" s="43">
        <f t="shared" si="68"/>
        <v>0</v>
      </c>
      <c r="J77" s="43">
        <f t="shared" si="69"/>
        <v>0</v>
      </c>
      <c r="K77" s="43">
        <f t="shared" si="70"/>
        <v>0</v>
      </c>
      <c r="L77" s="43">
        <f t="shared" si="71"/>
        <v>0</v>
      </c>
      <c r="M77" s="43">
        <f t="shared" si="72"/>
        <v>0</v>
      </c>
      <c r="N77" t="e" cm="1">
        <f t="array" ref="N77">$Y$39*(1+$Y$46)^($Y$16-1)-SUMPRODUCT(D77:L77,(1+$Y$46)^_xlfn.SEQUENCE(1,$Y$16-1,$Y$16-2,-1))</f>
        <v>#VALUE!</v>
      </c>
      <c r="O77" t="e" cm="1">
        <f t="array" ref="O77">$Y$39*(1+$Y$47)^($Y$16-1)-SUMPRODUCT(D77:L77,(1+$Y$47)^_xlfn.SEQUENCE(1,$Y$16-1,$Y$16-2,-1))</f>
        <v>#VALUE!</v>
      </c>
      <c r="P77" t="e">
        <f t="shared" si="73"/>
        <v>#VALUE!</v>
      </c>
      <c r="Q77" t="e">
        <f t="shared" si="23"/>
        <v>#VALUE!</v>
      </c>
      <c r="R77" t="e">
        <f t="shared" si="24"/>
        <v>#VALUE!</v>
      </c>
      <c r="S77" t="e">
        <f t="shared" si="25"/>
        <v>#VALUE!</v>
      </c>
    </row>
    <row r="78" spans="2:19" hidden="1">
      <c r="B78" s="933" t="e">
        <f t="shared" si="62"/>
        <v>#VALUE!</v>
      </c>
      <c r="C78">
        <f t="shared" ref="C78:C94" si="74">-$Y$39</f>
        <v>0</v>
      </c>
      <c r="D78" s="43">
        <f t="shared" si="63"/>
        <v>0</v>
      </c>
      <c r="E78" s="43">
        <f t="shared" si="64"/>
        <v>0</v>
      </c>
      <c r="F78" s="43">
        <f t="shared" si="65"/>
        <v>0</v>
      </c>
      <c r="G78" s="43">
        <f t="shared" si="66"/>
        <v>0</v>
      </c>
      <c r="H78" s="43">
        <f t="shared" si="67"/>
        <v>0</v>
      </c>
      <c r="I78" s="43">
        <f t="shared" si="68"/>
        <v>0</v>
      </c>
      <c r="J78" s="43">
        <f t="shared" si="69"/>
        <v>0</v>
      </c>
      <c r="K78" s="43">
        <f t="shared" si="70"/>
        <v>0</v>
      </c>
      <c r="L78" s="43">
        <f t="shared" si="71"/>
        <v>0</v>
      </c>
      <c r="M78" s="43">
        <f t="shared" si="72"/>
        <v>0</v>
      </c>
      <c r="N78" t="e" cm="1">
        <f t="array" ref="N78">$Y$39*(1+$Y$46)^($Y$16-1)-SUMPRODUCT(D78:L78,(1+$Y$46)^_xlfn.SEQUENCE(1,$Y$16-1,$Y$16-2,-1))</f>
        <v>#VALUE!</v>
      </c>
      <c r="O78" t="e" cm="1">
        <f t="array" ref="O78">$Y$39*(1+$Y$47)^($Y$16-1)-SUMPRODUCT(D78:L78,(1+$Y$47)^_xlfn.SEQUENCE(1,$Y$16-1,$Y$16-2,-1))</f>
        <v>#VALUE!</v>
      </c>
      <c r="P78" t="e">
        <f t="shared" si="73"/>
        <v>#VALUE!</v>
      </c>
      <c r="Q78" t="e">
        <f t="shared" ref="Q78:Q94" si="75">MIN(N78+N78*$Y$46,MAX((P78-$Y$48*MAX(P78,0)),0)*$Y$40/($Y$40+$Y$49))</f>
        <v>#VALUE!</v>
      </c>
      <c r="R78" t="e">
        <f t="shared" ref="R78:R94" si="76">MIN(O78+O78*$Y$47-Q78,MAX(P78-Q78-Q78/$Y$40*$Y$49-$Y$48*MAX(P78,0),0)*$Y$41)</f>
        <v>#VALUE!</v>
      </c>
      <c r="S78" t="e">
        <f t="shared" ref="S78:S94" si="77">MAX(P78-(Q78+Q78/$Y$40*$Y$49+$Y$48*MAX(P78,0))-(R78+R78/$Y$41*(1-$Y$41)),0)*$Y$42</f>
        <v>#VALUE!</v>
      </c>
    </row>
    <row r="79" spans="2:19" hidden="1">
      <c r="B79" s="933" t="e">
        <f t="shared" si="62"/>
        <v>#VALUE!</v>
      </c>
      <c r="C79">
        <f t="shared" si="74"/>
        <v>0</v>
      </c>
      <c r="D79" s="43">
        <f t="shared" si="63"/>
        <v>0</v>
      </c>
      <c r="E79" s="43">
        <f t="shared" si="64"/>
        <v>0</v>
      </c>
      <c r="F79" s="43">
        <f t="shared" si="65"/>
        <v>0</v>
      </c>
      <c r="G79" s="43">
        <f t="shared" si="66"/>
        <v>0</v>
      </c>
      <c r="H79" s="43">
        <f t="shared" si="67"/>
        <v>0</v>
      </c>
      <c r="I79" s="43">
        <f t="shared" si="68"/>
        <v>0</v>
      </c>
      <c r="J79" s="43">
        <f t="shared" si="69"/>
        <v>0</v>
      </c>
      <c r="K79" s="43">
        <f t="shared" si="70"/>
        <v>0</v>
      </c>
      <c r="L79" s="43">
        <f t="shared" si="71"/>
        <v>0</v>
      </c>
      <c r="M79" s="43">
        <f t="shared" si="72"/>
        <v>0</v>
      </c>
      <c r="N79" t="e" cm="1">
        <f t="array" ref="N79">$Y$39*(1+$Y$46)^($Y$16-1)-SUMPRODUCT(D79:L79,(1+$Y$46)^_xlfn.SEQUENCE(1,$Y$16-1,$Y$16-2,-1))</f>
        <v>#VALUE!</v>
      </c>
      <c r="O79" t="e" cm="1">
        <f t="array" ref="O79">$Y$39*(1+$Y$47)^($Y$16-1)-SUMPRODUCT(D79:L79,(1+$Y$47)^_xlfn.SEQUENCE(1,$Y$16-1,$Y$16-2,-1))</f>
        <v>#VALUE!</v>
      </c>
      <c r="P79" t="e">
        <f t="shared" si="73"/>
        <v>#VALUE!</v>
      </c>
      <c r="Q79" t="e">
        <f t="shared" si="75"/>
        <v>#VALUE!</v>
      </c>
      <c r="R79" t="e">
        <f t="shared" si="76"/>
        <v>#VALUE!</v>
      </c>
      <c r="S79" t="e">
        <f t="shared" si="77"/>
        <v>#VALUE!</v>
      </c>
    </row>
    <row r="80" spans="2:19" hidden="1">
      <c r="B80" s="933" t="e">
        <f t="shared" si="62"/>
        <v>#VALUE!</v>
      </c>
      <c r="C80">
        <f t="shared" si="74"/>
        <v>0</v>
      </c>
      <c r="D80" s="43">
        <f t="shared" si="63"/>
        <v>0</v>
      </c>
      <c r="E80" s="43">
        <f t="shared" si="64"/>
        <v>0</v>
      </c>
      <c r="F80" s="43">
        <f t="shared" si="65"/>
        <v>0</v>
      </c>
      <c r="G80" s="43">
        <f t="shared" si="66"/>
        <v>0</v>
      </c>
      <c r="H80" s="43">
        <f t="shared" si="67"/>
        <v>0</v>
      </c>
      <c r="I80" s="43">
        <f t="shared" si="68"/>
        <v>0</v>
      </c>
      <c r="J80" s="43">
        <f t="shared" si="69"/>
        <v>0</v>
      </c>
      <c r="K80" s="43">
        <f t="shared" si="70"/>
        <v>0</v>
      </c>
      <c r="L80" s="43">
        <f t="shared" si="71"/>
        <v>0</v>
      </c>
      <c r="M80" s="43">
        <f t="shared" si="72"/>
        <v>0</v>
      </c>
      <c r="N80" t="e" cm="1">
        <f t="array" ref="N80">$Y$39*(1+$Y$46)^($Y$16-1)-SUMPRODUCT(D80:L80,(1+$Y$46)^_xlfn.SEQUENCE(1,$Y$16-1,$Y$16-2,-1))</f>
        <v>#VALUE!</v>
      </c>
      <c r="O80" t="e" cm="1">
        <f t="array" ref="O80">$Y$39*(1+$Y$47)^($Y$16-1)-SUMPRODUCT(D80:L80,(1+$Y$47)^_xlfn.SEQUENCE(1,$Y$16-1,$Y$16-2,-1))</f>
        <v>#VALUE!</v>
      </c>
      <c r="P80" t="e">
        <f t="shared" si="73"/>
        <v>#VALUE!</v>
      </c>
      <c r="Q80" t="e">
        <f t="shared" si="75"/>
        <v>#VALUE!</v>
      </c>
      <c r="R80" t="e">
        <f t="shared" si="76"/>
        <v>#VALUE!</v>
      </c>
      <c r="S80" t="e">
        <f t="shared" si="77"/>
        <v>#VALUE!</v>
      </c>
    </row>
    <row r="81" spans="2:19" hidden="1">
      <c r="B81" s="933" t="e">
        <f t="shared" ref="B81:B87" si="78">H$18&amp;" × $"&amp;TEXT($B19,"0")</f>
        <v>#VALUE!</v>
      </c>
      <c r="C81">
        <f t="shared" si="74"/>
        <v>0</v>
      </c>
      <c r="D81" s="43">
        <f t="shared" ref="D81:D87" si="79">IF(1&gt;$Y$16,0,IF(1&lt;$Y$16,$Y$40*_xlfn.LET(_xlpm.sRR,H$18*$B19*$Y$5*$Y$6*$Y$26,_xlpm.sOR,H$18*$Y$5*$Y$6,_xlpm.sOI,$AE$26*_xlpm.sOR,_xlpm.sOD,$Y$20*_xlpm.sRR,_xlpm.sGR,_xlpm.sRR+_xlpm.sOI+_xlpm.sOD,_xlpm.sExp,$Z$26+$AB$26*_xlpm.sRR+($AC$26+$Y$21)*_xlpm.sGR+$AD$26*_xlpm.sOR,_xlpm.sGR-_xlpm.sExp+$AA$26+$AF$26),_xlfn.LET(_xlpm.sRR,H$18*$B19*$Y$5*$Y$6*$Y$26,_xlpm.sOR,H$18*$Y$5*$Y$6,_xlpm.sOI,$AE$26*_xlpm.sOR,_xlpm.sOD,$Y$20*_xlpm.sRR,_xlpm.sGR,_xlpm.sRR+_xlpm.sOI+_xlpm.sOD,_xlpm.sExp,$Z$26+$AB$26*_xlpm.sRR+($AC$26+$Y$21)*_xlpm.sGR+$AD$26*_xlpm.sOR,_xlpm.opCF,_xlpm.sGR-_xlpm.sExp+$AA$26+$AF$26,_xlpm.totalCF,_xlpm.opCF+(H$18*$B19*$Y$5*$Y$6*$Y$15*(1-$Y$17)-$Y$22),_xlpm.t1cap,$Y$43*$Y$12,_xlpm.t2cap,$Y$44*$Y$12,IF(_xlpm.totalCF&lt;=0,$Y$38*_xlpm.totalCF,$Y$40*MIN(MAX(_xlpm.totalCF,0),_xlpm.t1cap)+$Y$41*MAX(MIN(MAX(_xlpm.totalCF,0),_xlpm.t2cap)-_xlpm.t1cap,0)+$Y$42*MAX(MAX(_xlpm.totalCF,0)-_xlpm.t2cap,0)))))</f>
        <v>0</v>
      </c>
      <c r="E81" s="43">
        <f t="shared" ref="E81:E87" si="80">IF(2&gt;$Y$16,0,IF(2&lt;$Y$16,$Y$40*_xlfn.LET(_xlpm.sRR,H$18*$B19*$Y$5*$Y$6*$Y$27,_xlpm.sOR,H$18*$Y$5*$Y$6,_xlpm.sOI,$AE$27*_xlpm.sOR,_xlpm.sOD,$Y$20*_xlpm.sRR,_xlpm.sGR,_xlpm.sRR+_xlpm.sOI+_xlpm.sOD,_xlpm.sExp,$Z$27+$AB$27*_xlpm.sRR+($AC$27+$Y$21)*_xlpm.sGR+$AD$27*_xlpm.sOR,_xlpm.sGR-_xlpm.sExp+$AA$27+$AF$27),_xlfn.LET(_xlpm.sRR,H$18*$B19*$Y$5*$Y$6*$Y$27,_xlpm.sOR,H$18*$Y$5*$Y$6,_xlpm.sOI,$AE$27*_xlpm.sOR,_xlpm.sOD,$Y$20*_xlpm.sRR,_xlpm.sGR,_xlpm.sRR+_xlpm.sOI+_xlpm.sOD,_xlpm.sExp,$Z$27+$AB$27*_xlpm.sRR+($AC$27+$Y$21)*_xlpm.sGR+$AD$27*_xlpm.sOR,_xlpm.opCF,_xlpm.sGR-_xlpm.sExp+$AA$27+$AF$27,_xlpm.totalCF,_xlpm.opCF+(H$18*$B19*$Y$5*$Y$6*$Y$15*(1-$Y$17)-$Y$22),_xlpm.t1cap,$Y$43*$Y$12,_xlpm.t2cap,$Y$44*$Y$12,IF(_xlpm.totalCF&lt;=0,$Y$38*_xlpm.totalCF,$Y$40*MIN(MAX(_xlpm.totalCF,0),_xlpm.t1cap)+$Y$41*MAX(MIN(MAX(_xlpm.totalCF,0),_xlpm.t2cap)-_xlpm.t1cap,0)+$Y$42*MAX(MAX(_xlpm.totalCF,0)-_xlpm.t2cap,0)))))</f>
        <v>0</v>
      </c>
      <c r="F81" s="43">
        <f t="shared" ref="F81:F87" si="81">IF(3&gt;$Y$16,0,IF(3&lt;$Y$16,$Y$40*_xlfn.LET(_xlpm.sRR,H$18*$B19*$Y$5*$Y$6*$Y$28,_xlpm.sOR,H$18*$Y$5*$Y$6,_xlpm.sOI,$AE$28*_xlpm.sOR,_xlpm.sOD,$Y$20*_xlpm.sRR,_xlpm.sGR,_xlpm.sRR+_xlpm.sOI+_xlpm.sOD,_xlpm.sExp,$Z$28+$AB$28*_xlpm.sRR+($AC$28+$Y$21)*_xlpm.sGR+$AD$28*_xlpm.sOR,_xlpm.sGR-_xlpm.sExp+$AA$28+$AF$28),_xlfn.LET(_xlpm.sRR,H$18*$B19*$Y$5*$Y$6*$Y$28,_xlpm.sOR,H$18*$Y$5*$Y$6,_xlpm.sOI,$AE$28*_xlpm.sOR,_xlpm.sOD,$Y$20*_xlpm.sRR,_xlpm.sGR,_xlpm.sRR+_xlpm.sOI+_xlpm.sOD,_xlpm.sExp,$Z$28+$AB$28*_xlpm.sRR+($AC$28+$Y$21)*_xlpm.sGR+$AD$28*_xlpm.sOR,_xlpm.opCF,_xlpm.sGR-_xlpm.sExp+$AA$28+$AF$28,_xlpm.totalCF,_xlpm.opCF+(H$18*$B19*$Y$5*$Y$6*$Y$15*(1-$Y$17)-$Y$22),_xlpm.t1cap,$Y$43*$Y$12,_xlpm.t2cap,$Y$44*$Y$12,IF(_xlpm.totalCF&lt;=0,$Y$38*_xlpm.totalCF,$Y$40*MIN(MAX(_xlpm.totalCF,0),_xlpm.t1cap)+$Y$41*MAX(MIN(MAX(_xlpm.totalCF,0),_xlpm.t2cap)-_xlpm.t1cap,0)+$Y$42*MAX(MAX(_xlpm.totalCF,0)-_xlpm.t2cap,0)))))</f>
        <v>0</v>
      </c>
      <c r="G81" s="43">
        <f t="shared" ref="G81:G87" si="82">IF(4&gt;$Y$16,0,IF(4&lt;$Y$16,$Y$40*_xlfn.LET(_xlpm.sRR,H$18*$B19*$Y$5*$Y$6*$Y$29,_xlpm.sOR,H$18*$Y$5*$Y$6,_xlpm.sOI,$AE$29*_xlpm.sOR,_xlpm.sOD,$Y$20*_xlpm.sRR,_xlpm.sGR,_xlpm.sRR+_xlpm.sOI+_xlpm.sOD,_xlpm.sExp,$Z$29+$AB$29*_xlpm.sRR+($AC$29+$Y$21)*_xlpm.sGR+$AD$29*_xlpm.sOR,_xlpm.sGR-_xlpm.sExp+$AA$29+$AF$29),_xlfn.LET(_xlpm.sRR,H$18*$B19*$Y$5*$Y$6*$Y$29,_xlpm.sOR,H$18*$Y$5*$Y$6,_xlpm.sOI,$AE$29*_xlpm.sOR,_xlpm.sOD,$Y$20*_xlpm.sRR,_xlpm.sGR,_xlpm.sRR+_xlpm.sOI+_xlpm.sOD,_xlpm.sExp,$Z$29+$AB$29*_xlpm.sRR+($AC$29+$Y$21)*_xlpm.sGR+$AD$29*_xlpm.sOR,_xlpm.opCF,_xlpm.sGR-_xlpm.sExp+$AA$29+$AF$29,_xlpm.totalCF,_xlpm.opCF+(H$18*$B19*$Y$5*$Y$6*$Y$15*(1-$Y$17)-$Y$22),_xlpm.t1cap,$Y$43*$Y$12,_xlpm.t2cap,$Y$44*$Y$12,IF(_xlpm.totalCF&lt;=0,$Y$38*_xlpm.totalCF,$Y$40*MIN(MAX(_xlpm.totalCF,0),_xlpm.t1cap)+$Y$41*MAX(MIN(MAX(_xlpm.totalCF,0),_xlpm.t2cap)-_xlpm.t1cap,0)+$Y$42*MAX(MAX(_xlpm.totalCF,0)-_xlpm.t2cap,0)))))</f>
        <v>0</v>
      </c>
      <c r="H81" s="43">
        <f t="shared" ref="H81:H87" si="83">IF(5&gt;$Y$16,0,IF(5&lt;$Y$16,$Y$40*_xlfn.LET(_xlpm.sRR,H$18*$B19*$Y$5*$Y$6*$Y$30,_xlpm.sOR,H$18*$Y$5*$Y$6,_xlpm.sOI,$AE$30*_xlpm.sOR,_xlpm.sOD,$Y$20*_xlpm.sRR,_xlpm.sGR,_xlpm.sRR+_xlpm.sOI+_xlpm.sOD,_xlpm.sExp,$Z$30+$AB$30*_xlpm.sRR+($AC$30+$Y$21)*_xlpm.sGR+$AD$30*_xlpm.sOR,_xlpm.sGR-_xlpm.sExp+$AA$30+$AF$30),_xlfn.LET(_xlpm.sRR,H$18*$B19*$Y$5*$Y$6*$Y$30,_xlpm.sOR,H$18*$Y$5*$Y$6,_xlpm.sOI,$AE$30*_xlpm.sOR,_xlpm.sOD,$Y$20*_xlpm.sRR,_xlpm.sGR,_xlpm.sRR+_xlpm.sOI+_xlpm.sOD,_xlpm.sExp,$Z$30+$AB$30*_xlpm.sRR+($AC$30+$Y$21)*_xlpm.sGR+$AD$30*_xlpm.sOR,_xlpm.opCF,_xlpm.sGR-_xlpm.sExp+$AA$30+$AF$30,_xlpm.totalCF,_xlpm.opCF+(H$18*$B19*$Y$5*$Y$6*$Y$15*(1-$Y$17)-$Y$22),_xlpm.t1cap,$Y$43*$Y$12,_xlpm.t2cap,$Y$44*$Y$12,IF(_xlpm.totalCF&lt;=0,$Y$38*_xlpm.totalCF,$Y$40*MIN(MAX(_xlpm.totalCF,0),_xlpm.t1cap)+$Y$41*MAX(MIN(MAX(_xlpm.totalCF,0),_xlpm.t2cap)-_xlpm.t1cap,0)+$Y$42*MAX(MAX(_xlpm.totalCF,0)-_xlpm.t2cap,0)))))</f>
        <v>0</v>
      </c>
      <c r="I81" s="43">
        <f t="shared" ref="I81:I87" si="84">IF(6&gt;$Y$16,0,IF(6&lt;$Y$16,$Y$40*_xlfn.LET(_xlpm.sRR,H$18*$B19*$Y$5*$Y$6*$Y$31,_xlpm.sOR,H$18*$Y$5*$Y$6,_xlpm.sOI,$AE$31*_xlpm.sOR,_xlpm.sOD,$Y$20*_xlpm.sRR,_xlpm.sGR,_xlpm.sRR+_xlpm.sOI+_xlpm.sOD,_xlpm.sExp,$Z$31+$AB$31*_xlpm.sRR+($AC$31+$Y$21)*_xlpm.sGR+$AD$31*_xlpm.sOR,_xlpm.sGR-_xlpm.sExp+$AA$31+$AF$31),_xlfn.LET(_xlpm.sRR,H$18*$B19*$Y$5*$Y$6*$Y$31,_xlpm.sOR,H$18*$Y$5*$Y$6,_xlpm.sOI,$AE$31*_xlpm.sOR,_xlpm.sOD,$Y$20*_xlpm.sRR,_xlpm.sGR,_xlpm.sRR+_xlpm.sOI+_xlpm.sOD,_xlpm.sExp,$Z$31+$AB$31*_xlpm.sRR+($AC$31+$Y$21)*_xlpm.sGR+$AD$31*_xlpm.sOR,_xlpm.opCF,_xlpm.sGR-_xlpm.sExp+$AA$31+$AF$31,_xlpm.totalCF,_xlpm.opCF+(H$18*$B19*$Y$5*$Y$6*$Y$15*(1-$Y$17)-$Y$22),_xlpm.t1cap,$Y$43*$Y$12,_xlpm.t2cap,$Y$44*$Y$12,IF(_xlpm.totalCF&lt;=0,$Y$38*_xlpm.totalCF,$Y$40*MIN(MAX(_xlpm.totalCF,0),_xlpm.t1cap)+$Y$41*MAX(MIN(MAX(_xlpm.totalCF,0),_xlpm.t2cap)-_xlpm.t1cap,0)+$Y$42*MAX(MAX(_xlpm.totalCF,0)-_xlpm.t2cap,0)))))</f>
        <v>0</v>
      </c>
      <c r="J81" s="43">
        <f t="shared" ref="J81:J87" si="85">IF(7&gt;$Y$16,0,IF(7&lt;$Y$16,$Y$40*_xlfn.LET(_xlpm.sRR,H$18*$B19*$Y$5*$Y$6*$Y$32,_xlpm.sOR,H$18*$Y$5*$Y$6,_xlpm.sOI,$AE$32*_xlpm.sOR,_xlpm.sOD,$Y$20*_xlpm.sRR,_xlpm.sGR,_xlpm.sRR+_xlpm.sOI+_xlpm.sOD,_xlpm.sExp,$Z$32+$AB$32*_xlpm.sRR+($AC$32+$Y$21)*_xlpm.sGR+$AD$32*_xlpm.sOR,_xlpm.sGR-_xlpm.sExp+$AA$32+$AF$32),_xlfn.LET(_xlpm.sRR,H$18*$B19*$Y$5*$Y$6*$Y$32,_xlpm.sOR,H$18*$Y$5*$Y$6,_xlpm.sOI,$AE$32*_xlpm.sOR,_xlpm.sOD,$Y$20*_xlpm.sRR,_xlpm.sGR,_xlpm.sRR+_xlpm.sOI+_xlpm.sOD,_xlpm.sExp,$Z$32+$AB$32*_xlpm.sRR+($AC$32+$Y$21)*_xlpm.sGR+$AD$32*_xlpm.sOR,_xlpm.opCF,_xlpm.sGR-_xlpm.sExp+$AA$32+$AF$32,_xlpm.totalCF,_xlpm.opCF+(H$18*$B19*$Y$5*$Y$6*$Y$15*(1-$Y$17)-$Y$22),_xlpm.t1cap,$Y$43*$Y$12,_xlpm.t2cap,$Y$44*$Y$12,IF(_xlpm.totalCF&lt;=0,$Y$38*_xlpm.totalCF,$Y$40*MIN(MAX(_xlpm.totalCF,0),_xlpm.t1cap)+$Y$41*MAX(MIN(MAX(_xlpm.totalCF,0),_xlpm.t2cap)-_xlpm.t1cap,0)+$Y$42*MAX(MAX(_xlpm.totalCF,0)-_xlpm.t2cap,0)))))</f>
        <v>0</v>
      </c>
      <c r="K81" s="43">
        <f t="shared" ref="K81:K87" si="86">IF(8&gt;$Y$16,0,IF(8&lt;$Y$16,$Y$40*_xlfn.LET(_xlpm.sRR,H$18*$B19*$Y$5*$Y$6*$Y$33,_xlpm.sOR,H$18*$Y$5*$Y$6,_xlpm.sOI,$AE$33*_xlpm.sOR,_xlpm.sOD,$Y$20*_xlpm.sRR,_xlpm.sGR,_xlpm.sRR+_xlpm.sOI+_xlpm.sOD,_xlpm.sExp,$Z$33+$AB$33*_xlpm.sRR+($AC$33+$Y$21)*_xlpm.sGR+$AD$33*_xlpm.sOR,_xlpm.sGR-_xlpm.sExp+$AA$33+$AF$33),_xlfn.LET(_xlpm.sRR,H$18*$B19*$Y$5*$Y$6*$Y$33,_xlpm.sOR,H$18*$Y$5*$Y$6,_xlpm.sOI,$AE$33*_xlpm.sOR,_xlpm.sOD,$Y$20*_xlpm.sRR,_xlpm.sGR,_xlpm.sRR+_xlpm.sOI+_xlpm.sOD,_xlpm.sExp,$Z$33+$AB$33*_xlpm.sRR+($AC$33+$Y$21)*_xlpm.sGR+$AD$33*_xlpm.sOR,_xlpm.opCF,_xlpm.sGR-_xlpm.sExp+$AA$33+$AF$33,_xlpm.totalCF,_xlpm.opCF+(H$18*$B19*$Y$5*$Y$6*$Y$15*(1-$Y$17)-$Y$22),_xlpm.t1cap,$Y$43*$Y$12,_xlpm.t2cap,$Y$44*$Y$12,IF(_xlpm.totalCF&lt;=0,$Y$38*_xlpm.totalCF,$Y$40*MIN(MAX(_xlpm.totalCF,0),_xlpm.t1cap)+$Y$41*MAX(MIN(MAX(_xlpm.totalCF,0),_xlpm.t2cap)-_xlpm.t1cap,0)+$Y$42*MAX(MAX(_xlpm.totalCF,0)-_xlpm.t2cap,0)))))</f>
        <v>0</v>
      </c>
      <c r="L81" s="43">
        <f t="shared" ref="L81:L87" si="87">IF(9&gt;$Y$16,0,IF(9&lt;$Y$16,$Y$40*_xlfn.LET(_xlpm.sRR,H$18*$B19*$Y$5*$Y$6*$Y$34,_xlpm.sOR,H$18*$Y$5*$Y$6,_xlpm.sOI,$AE$34*_xlpm.sOR,_xlpm.sOD,$Y$20*_xlpm.sRR,_xlpm.sGR,_xlpm.sRR+_xlpm.sOI+_xlpm.sOD,_xlpm.sExp,$Z$34+$AB$34*_xlpm.sRR+($AC$34+$Y$21)*_xlpm.sGR+$AD$34*_xlpm.sOR,_xlpm.sGR-_xlpm.sExp+$AA$34+$AF$34),_xlfn.LET(_xlpm.sRR,H$18*$B19*$Y$5*$Y$6*$Y$34,_xlpm.sOR,H$18*$Y$5*$Y$6,_xlpm.sOI,$AE$34*_xlpm.sOR,_xlpm.sOD,$Y$20*_xlpm.sRR,_xlpm.sGR,_xlpm.sRR+_xlpm.sOI+_xlpm.sOD,_xlpm.sExp,$Z$34+$AB$34*_xlpm.sRR+($AC$34+$Y$21)*_xlpm.sGR+$AD$34*_xlpm.sOR,_xlpm.opCF,_xlpm.sGR-_xlpm.sExp+$AA$34+$AF$34,_xlpm.totalCF,_xlpm.opCF+(H$18*$B19*$Y$5*$Y$6*$Y$15*(1-$Y$17)-$Y$22),_xlpm.t1cap,$Y$43*$Y$12,_xlpm.t2cap,$Y$44*$Y$12,IF(_xlpm.totalCF&lt;=0,$Y$38*_xlpm.totalCF,$Y$40*MIN(MAX(_xlpm.totalCF,0),_xlpm.t1cap)+$Y$41*MAX(MIN(MAX(_xlpm.totalCF,0),_xlpm.t2cap)-_xlpm.t1cap,0)+$Y$42*MAX(MAX(_xlpm.totalCF,0)-_xlpm.t2cap,0)))))</f>
        <v>0</v>
      </c>
      <c r="M81" s="43">
        <f t="shared" ref="M81:M87" si="88">IF(10&gt;$Y$16,0,IF(10&lt;$Y$16,$Y$40*_xlfn.LET(_xlpm.sRR,H$18*$B19*$Y$5*$Y$6*$Y$35,_xlpm.sOR,H$18*$Y$5*$Y$6,_xlpm.sOI,$AE$35*_xlpm.sOR,_xlpm.sOD,$Y$20*_xlpm.sRR,_xlpm.sGR,_xlpm.sRR+_xlpm.sOI+_xlpm.sOD,_xlpm.sExp,$Z$35+$AB$35*_xlpm.sRR+($AC$35+$Y$21)*_xlpm.sGR+$AD$35*_xlpm.sOR,_xlpm.sGR-_xlpm.sExp+$AA$35+$AF$35),IF(P81&lt;=0,$Y$38*P81,Q81+R81+S81)))</f>
        <v>0</v>
      </c>
      <c r="N81" t="e" cm="1">
        <f t="array" ref="N81">$Y$39*(1+$Y$46)^($Y$16-1)-SUMPRODUCT(D81:L81,(1+$Y$46)^_xlfn.SEQUENCE(1,$Y$16-1,$Y$16-2,-1))</f>
        <v>#VALUE!</v>
      </c>
      <c r="O81" t="e" cm="1">
        <f t="array" ref="O81">$Y$39*(1+$Y$47)^($Y$16-1)-SUMPRODUCT(D81:L81,(1+$Y$47)^_xlfn.SEQUENCE(1,$Y$16-1,$Y$16-2,-1))</f>
        <v>#VALUE!</v>
      </c>
      <c r="P81" t="e">
        <f t="shared" ref="P81:P87" si="89">_xlfn.LET(_xlpm.sRR,H$18*$B19*$Y$5*$Y$6*$Y$35,_xlpm.sOR,H$18*$Y$5*$Y$6,_xlpm.sOI,$AE$35*_xlpm.sOR,_xlpm.sOD,$Y$20*_xlpm.sRR,_xlpm.sGR,_xlpm.sRR+_xlpm.sOI+_xlpm.sOD,_xlpm.sExp,$Z$35+$AB$35*_xlpm.sRR+($AC$35+$Y$21)*_xlpm.sGR+$AD$35*_xlpm.sOR,_xlpm.opCF,_xlpm.sGR-_xlpm.sExp+$AA$35+$AF$35,_xlpm.opCF+(H$18*$B19*$Y$5*$Y$6*$Y$15*(1-$Y$17)-$Y$22))</f>
        <v>#VALUE!</v>
      </c>
      <c r="Q81" t="e">
        <f t="shared" si="75"/>
        <v>#VALUE!</v>
      </c>
      <c r="R81" t="e">
        <f t="shared" si="76"/>
        <v>#VALUE!</v>
      </c>
      <c r="S81" t="e">
        <f t="shared" si="77"/>
        <v>#VALUE!</v>
      </c>
    </row>
    <row r="82" spans="2:19" hidden="1">
      <c r="B82" s="933" t="e">
        <f t="shared" si="78"/>
        <v>#VALUE!</v>
      </c>
      <c r="C82">
        <f t="shared" si="74"/>
        <v>0</v>
      </c>
      <c r="D82" s="43">
        <f t="shared" si="79"/>
        <v>0</v>
      </c>
      <c r="E82" s="43">
        <f t="shared" si="80"/>
        <v>0</v>
      </c>
      <c r="F82" s="43">
        <f t="shared" si="81"/>
        <v>0</v>
      </c>
      <c r="G82" s="43">
        <f t="shared" si="82"/>
        <v>0</v>
      </c>
      <c r="H82" s="43">
        <f t="shared" si="83"/>
        <v>0</v>
      </c>
      <c r="I82" s="43">
        <f t="shared" si="84"/>
        <v>0</v>
      </c>
      <c r="J82" s="43">
        <f t="shared" si="85"/>
        <v>0</v>
      </c>
      <c r="K82" s="43">
        <f t="shared" si="86"/>
        <v>0</v>
      </c>
      <c r="L82" s="43">
        <f t="shared" si="87"/>
        <v>0</v>
      </c>
      <c r="M82" s="43">
        <f t="shared" si="88"/>
        <v>0</v>
      </c>
      <c r="N82" t="e" cm="1">
        <f t="array" ref="N82">$Y$39*(1+$Y$46)^($Y$16-1)-SUMPRODUCT(D82:L82,(1+$Y$46)^_xlfn.SEQUENCE(1,$Y$16-1,$Y$16-2,-1))</f>
        <v>#VALUE!</v>
      </c>
      <c r="O82" t="e" cm="1">
        <f t="array" ref="O82">$Y$39*(1+$Y$47)^($Y$16-1)-SUMPRODUCT(D82:L82,(1+$Y$47)^_xlfn.SEQUENCE(1,$Y$16-1,$Y$16-2,-1))</f>
        <v>#VALUE!</v>
      </c>
      <c r="P82" t="e">
        <f t="shared" si="89"/>
        <v>#VALUE!</v>
      </c>
      <c r="Q82" t="e">
        <f t="shared" si="75"/>
        <v>#VALUE!</v>
      </c>
      <c r="R82" t="e">
        <f t="shared" si="76"/>
        <v>#VALUE!</v>
      </c>
      <c r="S82" t="e">
        <f t="shared" si="77"/>
        <v>#VALUE!</v>
      </c>
    </row>
    <row r="83" spans="2:19" hidden="1">
      <c r="B83" s="933" t="e">
        <f t="shared" si="78"/>
        <v>#VALUE!</v>
      </c>
      <c r="C83">
        <f t="shared" si="74"/>
        <v>0</v>
      </c>
      <c r="D83" s="43">
        <f t="shared" si="79"/>
        <v>0</v>
      </c>
      <c r="E83" s="43">
        <f t="shared" si="80"/>
        <v>0</v>
      </c>
      <c r="F83" s="43">
        <f t="shared" si="81"/>
        <v>0</v>
      </c>
      <c r="G83" s="43">
        <f t="shared" si="82"/>
        <v>0</v>
      </c>
      <c r="H83" s="43">
        <f t="shared" si="83"/>
        <v>0</v>
      </c>
      <c r="I83" s="43">
        <f t="shared" si="84"/>
        <v>0</v>
      </c>
      <c r="J83" s="43">
        <f t="shared" si="85"/>
        <v>0</v>
      </c>
      <c r="K83" s="43">
        <f t="shared" si="86"/>
        <v>0</v>
      </c>
      <c r="L83" s="43">
        <f t="shared" si="87"/>
        <v>0</v>
      </c>
      <c r="M83" s="43">
        <f t="shared" si="88"/>
        <v>0</v>
      </c>
      <c r="N83" t="e" cm="1">
        <f t="array" ref="N83">$Y$39*(1+$Y$46)^($Y$16-1)-SUMPRODUCT(D83:L83,(1+$Y$46)^_xlfn.SEQUENCE(1,$Y$16-1,$Y$16-2,-1))</f>
        <v>#VALUE!</v>
      </c>
      <c r="O83" t="e" cm="1">
        <f t="array" ref="O83">$Y$39*(1+$Y$47)^($Y$16-1)-SUMPRODUCT(D83:L83,(1+$Y$47)^_xlfn.SEQUENCE(1,$Y$16-1,$Y$16-2,-1))</f>
        <v>#VALUE!</v>
      </c>
      <c r="P83" t="e">
        <f t="shared" si="89"/>
        <v>#VALUE!</v>
      </c>
      <c r="Q83" t="e">
        <f t="shared" si="75"/>
        <v>#VALUE!</v>
      </c>
      <c r="R83" t="e">
        <f t="shared" si="76"/>
        <v>#VALUE!</v>
      </c>
      <c r="S83" t="e">
        <f t="shared" si="77"/>
        <v>#VALUE!</v>
      </c>
    </row>
    <row r="84" spans="2:19" hidden="1">
      <c r="B84" s="933" t="e">
        <f t="shared" si="78"/>
        <v>#VALUE!</v>
      </c>
      <c r="C84">
        <f t="shared" si="74"/>
        <v>0</v>
      </c>
      <c r="D84" s="43">
        <f t="shared" si="79"/>
        <v>0</v>
      </c>
      <c r="E84" s="43">
        <f t="shared" si="80"/>
        <v>0</v>
      </c>
      <c r="F84" s="43">
        <f t="shared" si="81"/>
        <v>0</v>
      </c>
      <c r="G84" s="43">
        <f t="shared" si="82"/>
        <v>0</v>
      </c>
      <c r="H84" s="43">
        <f t="shared" si="83"/>
        <v>0</v>
      </c>
      <c r="I84" s="43">
        <f t="shared" si="84"/>
        <v>0</v>
      </c>
      <c r="J84" s="43">
        <f t="shared" si="85"/>
        <v>0</v>
      </c>
      <c r="K84" s="43">
        <f t="shared" si="86"/>
        <v>0</v>
      </c>
      <c r="L84" s="43">
        <f t="shared" si="87"/>
        <v>0</v>
      </c>
      <c r="M84" s="43">
        <f t="shared" si="88"/>
        <v>0</v>
      </c>
      <c r="N84" t="e" cm="1">
        <f t="array" ref="N84">$Y$39*(1+$Y$46)^($Y$16-1)-SUMPRODUCT(D84:L84,(1+$Y$46)^_xlfn.SEQUENCE(1,$Y$16-1,$Y$16-2,-1))</f>
        <v>#VALUE!</v>
      </c>
      <c r="O84" t="e" cm="1">
        <f t="array" ref="O84">$Y$39*(1+$Y$47)^($Y$16-1)-SUMPRODUCT(D84:L84,(1+$Y$47)^_xlfn.SEQUENCE(1,$Y$16-1,$Y$16-2,-1))</f>
        <v>#VALUE!</v>
      </c>
      <c r="P84" t="e">
        <f t="shared" si="89"/>
        <v>#VALUE!</v>
      </c>
      <c r="Q84" t="e">
        <f t="shared" si="75"/>
        <v>#VALUE!</v>
      </c>
      <c r="R84" t="e">
        <f t="shared" si="76"/>
        <v>#VALUE!</v>
      </c>
      <c r="S84" t="e">
        <f t="shared" si="77"/>
        <v>#VALUE!</v>
      </c>
    </row>
    <row r="85" spans="2:19" hidden="1">
      <c r="B85" s="933" t="e">
        <f t="shared" si="78"/>
        <v>#VALUE!</v>
      </c>
      <c r="C85">
        <f t="shared" si="74"/>
        <v>0</v>
      </c>
      <c r="D85" s="43">
        <f t="shared" si="79"/>
        <v>0</v>
      </c>
      <c r="E85" s="43">
        <f t="shared" si="80"/>
        <v>0</v>
      </c>
      <c r="F85" s="43">
        <f t="shared" si="81"/>
        <v>0</v>
      </c>
      <c r="G85" s="43">
        <f t="shared" si="82"/>
        <v>0</v>
      </c>
      <c r="H85" s="43">
        <f t="shared" si="83"/>
        <v>0</v>
      </c>
      <c r="I85" s="43">
        <f t="shared" si="84"/>
        <v>0</v>
      </c>
      <c r="J85" s="43">
        <f t="shared" si="85"/>
        <v>0</v>
      </c>
      <c r="K85" s="43">
        <f t="shared" si="86"/>
        <v>0</v>
      </c>
      <c r="L85" s="43">
        <f t="shared" si="87"/>
        <v>0</v>
      </c>
      <c r="M85" s="43">
        <f t="shared" si="88"/>
        <v>0</v>
      </c>
      <c r="N85" t="e" cm="1">
        <f t="array" ref="N85">$Y$39*(1+$Y$46)^($Y$16-1)-SUMPRODUCT(D85:L85,(1+$Y$46)^_xlfn.SEQUENCE(1,$Y$16-1,$Y$16-2,-1))</f>
        <v>#VALUE!</v>
      </c>
      <c r="O85" t="e" cm="1">
        <f t="array" ref="O85">$Y$39*(1+$Y$47)^($Y$16-1)-SUMPRODUCT(D85:L85,(1+$Y$47)^_xlfn.SEQUENCE(1,$Y$16-1,$Y$16-2,-1))</f>
        <v>#VALUE!</v>
      </c>
      <c r="P85" t="e">
        <f t="shared" si="89"/>
        <v>#VALUE!</v>
      </c>
      <c r="Q85" t="e">
        <f t="shared" si="75"/>
        <v>#VALUE!</v>
      </c>
      <c r="R85" t="e">
        <f t="shared" si="76"/>
        <v>#VALUE!</v>
      </c>
      <c r="S85" t="e">
        <f t="shared" si="77"/>
        <v>#VALUE!</v>
      </c>
    </row>
    <row r="86" spans="2:19" hidden="1">
      <c r="B86" s="933" t="e">
        <f t="shared" si="78"/>
        <v>#VALUE!</v>
      </c>
      <c r="C86">
        <f t="shared" si="74"/>
        <v>0</v>
      </c>
      <c r="D86" s="43">
        <f t="shared" si="79"/>
        <v>0</v>
      </c>
      <c r="E86" s="43">
        <f t="shared" si="80"/>
        <v>0</v>
      </c>
      <c r="F86" s="43">
        <f t="shared" si="81"/>
        <v>0</v>
      </c>
      <c r="G86" s="43">
        <f t="shared" si="82"/>
        <v>0</v>
      </c>
      <c r="H86" s="43">
        <f t="shared" si="83"/>
        <v>0</v>
      </c>
      <c r="I86" s="43">
        <f t="shared" si="84"/>
        <v>0</v>
      </c>
      <c r="J86" s="43">
        <f t="shared" si="85"/>
        <v>0</v>
      </c>
      <c r="K86" s="43">
        <f t="shared" si="86"/>
        <v>0</v>
      </c>
      <c r="L86" s="43">
        <f t="shared" si="87"/>
        <v>0</v>
      </c>
      <c r="M86" s="43">
        <f t="shared" si="88"/>
        <v>0</v>
      </c>
      <c r="N86" t="e" cm="1">
        <f t="array" ref="N86">$Y$39*(1+$Y$46)^($Y$16-1)-SUMPRODUCT(D86:L86,(1+$Y$46)^_xlfn.SEQUENCE(1,$Y$16-1,$Y$16-2,-1))</f>
        <v>#VALUE!</v>
      </c>
      <c r="O86" t="e" cm="1">
        <f t="array" ref="O86">$Y$39*(1+$Y$47)^($Y$16-1)-SUMPRODUCT(D86:L86,(1+$Y$47)^_xlfn.SEQUENCE(1,$Y$16-1,$Y$16-2,-1))</f>
        <v>#VALUE!</v>
      </c>
      <c r="P86" t="e">
        <f t="shared" si="89"/>
        <v>#VALUE!</v>
      </c>
      <c r="Q86" t="e">
        <f t="shared" si="75"/>
        <v>#VALUE!</v>
      </c>
      <c r="R86" t="e">
        <f t="shared" si="76"/>
        <v>#VALUE!</v>
      </c>
      <c r="S86" t="e">
        <f t="shared" si="77"/>
        <v>#VALUE!</v>
      </c>
    </row>
    <row r="87" spans="2:19" hidden="1">
      <c r="B87" s="933" t="e">
        <f t="shared" si="78"/>
        <v>#VALUE!</v>
      </c>
      <c r="C87">
        <f t="shared" si="74"/>
        <v>0</v>
      </c>
      <c r="D87" s="43">
        <f t="shared" si="79"/>
        <v>0</v>
      </c>
      <c r="E87" s="43">
        <f t="shared" si="80"/>
        <v>0</v>
      </c>
      <c r="F87" s="43">
        <f t="shared" si="81"/>
        <v>0</v>
      </c>
      <c r="G87" s="43">
        <f t="shared" si="82"/>
        <v>0</v>
      </c>
      <c r="H87" s="43">
        <f t="shared" si="83"/>
        <v>0</v>
      </c>
      <c r="I87" s="43">
        <f t="shared" si="84"/>
        <v>0</v>
      </c>
      <c r="J87" s="43">
        <f t="shared" si="85"/>
        <v>0</v>
      </c>
      <c r="K87" s="43">
        <f t="shared" si="86"/>
        <v>0</v>
      </c>
      <c r="L87" s="43">
        <f t="shared" si="87"/>
        <v>0</v>
      </c>
      <c r="M87" s="43">
        <f t="shared" si="88"/>
        <v>0</v>
      </c>
      <c r="N87" t="e" cm="1">
        <f t="array" ref="N87">$Y$39*(1+$Y$46)^($Y$16-1)-SUMPRODUCT(D87:L87,(1+$Y$46)^_xlfn.SEQUENCE(1,$Y$16-1,$Y$16-2,-1))</f>
        <v>#VALUE!</v>
      </c>
      <c r="O87" t="e" cm="1">
        <f t="array" ref="O87">$Y$39*(1+$Y$47)^($Y$16-1)-SUMPRODUCT(D87:L87,(1+$Y$47)^_xlfn.SEQUENCE(1,$Y$16-1,$Y$16-2,-1))</f>
        <v>#VALUE!</v>
      </c>
      <c r="P87" t="e">
        <f t="shared" si="89"/>
        <v>#VALUE!</v>
      </c>
      <c r="Q87" t="e">
        <f t="shared" si="75"/>
        <v>#VALUE!</v>
      </c>
      <c r="R87" t="e">
        <f t="shared" si="76"/>
        <v>#VALUE!</v>
      </c>
      <c r="S87" t="e">
        <f t="shared" si="77"/>
        <v>#VALUE!</v>
      </c>
    </row>
    <row r="88" spans="2:19" hidden="1">
      <c r="B88" s="933" t="e">
        <f t="shared" ref="B88:B94" si="90">I$18&amp;" × $"&amp;TEXT($B19,"0")</f>
        <v>#VALUE!</v>
      </c>
      <c r="C88">
        <f t="shared" si="74"/>
        <v>0</v>
      </c>
      <c r="D88" s="43">
        <f t="shared" ref="D88:D94" si="91">IF(1&gt;$Y$16,0,IF(1&lt;$Y$16,$Y$40*_xlfn.LET(_xlpm.sRR,I$18*$B19*$Y$5*$Y$6*$Y$26,_xlpm.sOR,I$18*$Y$5*$Y$6,_xlpm.sOI,$AE$26*_xlpm.sOR,_xlpm.sOD,$Y$20*_xlpm.sRR,_xlpm.sGR,_xlpm.sRR+_xlpm.sOI+_xlpm.sOD,_xlpm.sExp,$Z$26+$AB$26*_xlpm.sRR+($AC$26+$Y$21)*_xlpm.sGR+$AD$26*_xlpm.sOR,_xlpm.sGR-_xlpm.sExp+$AA$26+$AF$26),_xlfn.LET(_xlpm.sRR,I$18*$B19*$Y$5*$Y$6*$Y$26,_xlpm.sOR,I$18*$Y$5*$Y$6,_xlpm.sOI,$AE$26*_xlpm.sOR,_xlpm.sOD,$Y$20*_xlpm.sRR,_xlpm.sGR,_xlpm.sRR+_xlpm.sOI+_xlpm.sOD,_xlpm.sExp,$Z$26+$AB$26*_xlpm.sRR+($AC$26+$Y$21)*_xlpm.sGR+$AD$26*_xlpm.sOR,_xlpm.opCF,_xlpm.sGR-_xlpm.sExp+$AA$26+$AF$26,_xlpm.totalCF,_xlpm.opCF+(I$18*$B19*$Y$5*$Y$6*$Y$15*(1-$Y$17)-$Y$22),_xlpm.t1cap,$Y$43*$Y$12,_xlpm.t2cap,$Y$44*$Y$12,IF(_xlpm.totalCF&lt;=0,$Y$38*_xlpm.totalCF,$Y$40*MIN(MAX(_xlpm.totalCF,0),_xlpm.t1cap)+$Y$41*MAX(MIN(MAX(_xlpm.totalCF,0),_xlpm.t2cap)-_xlpm.t1cap,0)+$Y$42*MAX(MAX(_xlpm.totalCF,0)-_xlpm.t2cap,0)))))</f>
        <v>0</v>
      </c>
      <c r="E88" s="43">
        <f t="shared" ref="E88:E94" si="92">IF(2&gt;$Y$16,0,IF(2&lt;$Y$16,$Y$40*_xlfn.LET(_xlpm.sRR,I$18*$B19*$Y$5*$Y$6*$Y$27,_xlpm.sOR,I$18*$Y$5*$Y$6,_xlpm.sOI,$AE$27*_xlpm.sOR,_xlpm.sOD,$Y$20*_xlpm.sRR,_xlpm.sGR,_xlpm.sRR+_xlpm.sOI+_xlpm.sOD,_xlpm.sExp,$Z$27+$AB$27*_xlpm.sRR+($AC$27+$Y$21)*_xlpm.sGR+$AD$27*_xlpm.sOR,_xlpm.sGR-_xlpm.sExp+$AA$27+$AF$27),_xlfn.LET(_xlpm.sRR,I$18*$B19*$Y$5*$Y$6*$Y$27,_xlpm.sOR,I$18*$Y$5*$Y$6,_xlpm.sOI,$AE$27*_xlpm.sOR,_xlpm.sOD,$Y$20*_xlpm.sRR,_xlpm.sGR,_xlpm.sRR+_xlpm.sOI+_xlpm.sOD,_xlpm.sExp,$Z$27+$AB$27*_xlpm.sRR+($AC$27+$Y$21)*_xlpm.sGR+$AD$27*_xlpm.sOR,_xlpm.opCF,_xlpm.sGR-_xlpm.sExp+$AA$27+$AF$27,_xlpm.totalCF,_xlpm.opCF+(I$18*$B19*$Y$5*$Y$6*$Y$15*(1-$Y$17)-$Y$22),_xlpm.t1cap,$Y$43*$Y$12,_xlpm.t2cap,$Y$44*$Y$12,IF(_xlpm.totalCF&lt;=0,$Y$38*_xlpm.totalCF,$Y$40*MIN(MAX(_xlpm.totalCF,0),_xlpm.t1cap)+$Y$41*MAX(MIN(MAX(_xlpm.totalCF,0),_xlpm.t2cap)-_xlpm.t1cap,0)+$Y$42*MAX(MAX(_xlpm.totalCF,0)-_xlpm.t2cap,0)))))</f>
        <v>0</v>
      </c>
      <c r="F88" s="43">
        <f t="shared" ref="F88:F94" si="93">IF(3&gt;$Y$16,0,IF(3&lt;$Y$16,$Y$40*_xlfn.LET(_xlpm.sRR,I$18*$B19*$Y$5*$Y$6*$Y$28,_xlpm.sOR,I$18*$Y$5*$Y$6,_xlpm.sOI,$AE$28*_xlpm.sOR,_xlpm.sOD,$Y$20*_xlpm.sRR,_xlpm.sGR,_xlpm.sRR+_xlpm.sOI+_xlpm.sOD,_xlpm.sExp,$Z$28+$AB$28*_xlpm.sRR+($AC$28+$Y$21)*_xlpm.sGR+$AD$28*_xlpm.sOR,_xlpm.sGR-_xlpm.sExp+$AA$28+$AF$28),_xlfn.LET(_xlpm.sRR,I$18*$B19*$Y$5*$Y$6*$Y$28,_xlpm.sOR,I$18*$Y$5*$Y$6,_xlpm.sOI,$AE$28*_xlpm.sOR,_xlpm.sOD,$Y$20*_xlpm.sRR,_xlpm.sGR,_xlpm.sRR+_xlpm.sOI+_xlpm.sOD,_xlpm.sExp,$Z$28+$AB$28*_xlpm.sRR+($AC$28+$Y$21)*_xlpm.sGR+$AD$28*_xlpm.sOR,_xlpm.opCF,_xlpm.sGR-_xlpm.sExp+$AA$28+$AF$28,_xlpm.totalCF,_xlpm.opCF+(I$18*$B19*$Y$5*$Y$6*$Y$15*(1-$Y$17)-$Y$22),_xlpm.t1cap,$Y$43*$Y$12,_xlpm.t2cap,$Y$44*$Y$12,IF(_xlpm.totalCF&lt;=0,$Y$38*_xlpm.totalCF,$Y$40*MIN(MAX(_xlpm.totalCF,0),_xlpm.t1cap)+$Y$41*MAX(MIN(MAX(_xlpm.totalCF,0),_xlpm.t2cap)-_xlpm.t1cap,0)+$Y$42*MAX(MAX(_xlpm.totalCF,0)-_xlpm.t2cap,0)))))</f>
        <v>0</v>
      </c>
      <c r="G88" s="43">
        <f t="shared" ref="G88:G94" si="94">IF(4&gt;$Y$16,0,IF(4&lt;$Y$16,$Y$40*_xlfn.LET(_xlpm.sRR,I$18*$B19*$Y$5*$Y$6*$Y$29,_xlpm.sOR,I$18*$Y$5*$Y$6,_xlpm.sOI,$AE$29*_xlpm.sOR,_xlpm.sOD,$Y$20*_xlpm.sRR,_xlpm.sGR,_xlpm.sRR+_xlpm.sOI+_xlpm.sOD,_xlpm.sExp,$Z$29+$AB$29*_xlpm.sRR+($AC$29+$Y$21)*_xlpm.sGR+$AD$29*_xlpm.sOR,_xlpm.sGR-_xlpm.sExp+$AA$29+$AF$29),_xlfn.LET(_xlpm.sRR,I$18*$B19*$Y$5*$Y$6*$Y$29,_xlpm.sOR,I$18*$Y$5*$Y$6,_xlpm.sOI,$AE$29*_xlpm.sOR,_xlpm.sOD,$Y$20*_xlpm.sRR,_xlpm.sGR,_xlpm.sRR+_xlpm.sOI+_xlpm.sOD,_xlpm.sExp,$Z$29+$AB$29*_xlpm.sRR+($AC$29+$Y$21)*_xlpm.sGR+$AD$29*_xlpm.sOR,_xlpm.opCF,_xlpm.sGR-_xlpm.sExp+$AA$29+$AF$29,_xlpm.totalCF,_xlpm.opCF+(I$18*$B19*$Y$5*$Y$6*$Y$15*(1-$Y$17)-$Y$22),_xlpm.t1cap,$Y$43*$Y$12,_xlpm.t2cap,$Y$44*$Y$12,IF(_xlpm.totalCF&lt;=0,$Y$38*_xlpm.totalCF,$Y$40*MIN(MAX(_xlpm.totalCF,0),_xlpm.t1cap)+$Y$41*MAX(MIN(MAX(_xlpm.totalCF,0),_xlpm.t2cap)-_xlpm.t1cap,0)+$Y$42*MAX(MAX(_xlpm.totalCF,0)-_xlpm.t2cap,0)))))</f>
        <v>0</v>
      </c>
      <c r="H88" s="43">
        <f t="shared" ref="H88:H94" si="95">IF(5&gt;$Y$16,0,IF(5&lt;$Y$16,$Y$40*_xlfn.LET(_xlpm.sRR,I$18*$B19*$Y$5*$Y$6*$Y$30,_xlpm.sOR,I$18*$Y$5*$Y$6,_xlpm.sOI,$AE$30*_xlpm.sOR,_xlpm.sOD,$Y$20*_xlpm.sRR,_xlpm.sGR,_xlpm.sRR+_xlpm.sOI+_xlpm.sOD,_xlpm.sExp,$Z$30+$AB$30*_xlpm.sRR+($AC$30+$Y$21)*_xlpm.sGR+$AD$30*_xlpm.sOR,_xlpm.sGR-_xlpm.sExp+$AA$30+$AF$30),_xlfn.LET(_xlpm.sRR,I$18*$B19*$Y$5*$Y$6*$Y$30,_xlpm.sOR,I$18*$Y$5*$Y$6,_xlpm.sOI,$AE$30*_xlpm.sOR,_xlpm.sOD,$Y$20*_xlpm.sRR,_xlpm.sGR,_xlpm.sRR+_xlpm.sOI+_xlpm.sOD,_xlpm.sExp,$Z$30+$AB$30*_xlpm.sRR+($AC$30+$Y$21)*_xlpm.sGR+$AD$30*_xlpm.sOR,_xlpm.opCF,_xlpm.sGR-_xlpm.sExp+$AA$30+$AF$30,_xlpm.totalCF,_xlpm.opCF+(I$18*$B19*$Y$5*$Y$6*$Y$15*(1-$Y$17)-$Y$22),_xlpm.t1cap,$Y$43*$Y$12,_xlpm.t2cap,$Y$44*$Y$12,IF(_xlpm.totalCF&lt;=0,$Y$38*_xlpm.totalCF,$Y$40*MIN(MAX(_xlpm.totalCF,0),_xlpm.t1cap)+$Y$41*MAX(MIN(MAX(_xlpm.totalCF,0),_xlpm.t2cap)-_xlpm.t1cap,0)+$Y$42*MAX(MAX(_xlpm.totalCF,0)-_xlpm.t2cap,0)))))</f>
        <v>0</v>
      </c>
      <c r="I88" s="43">
        <f t="shared" ref="I88:I94" si="96">IF(6&gt;$Y$16,0,IF(6&lt;$Y$16,$Y$40*_xlfn.LET(_xlpm.sRR,I$18*$B19*$Y$5*$Y$6*$Y$31,_xlpm.sOR,I$18*$Y$5*$Y$6,_xlpm.sOI,$AE$31*_xlpm.sOR,_xlpm.sOD,$Y$20*_xlpm.sRR,_xlpm.sGR,_xlpm.sRR+_xlpm.sOI+_xlpm.sOD,_xlpm.sExp,$Z$31+$AB$31*_xlpm.sRR+($AC$31+$Y$21)*_xlpm.sGR+$AD$31*_xlpm.sOR,_xlpm.sGR-_xlpm.sExp+$AA$31+$AF$31),_xlfn.LET(_xlpm.sRR,I$18*$B19*$Y$5*$Y$6*$Y$31,_xlpm.sOR,I$18*$Y$5*$Y$6,_xlpm.sOI,$AE$31*_xlpm.sOR,_xlpm.sOD,$Y$20*_xlpm.sRR,_xlpm.sGR,_xlpm.sRR+_xlpm.sOI+_xlpm.sOD,_xlpm.sExp,$Z$31+$AB$31*_xlpm.sRR+($AC$31+$Y$21)*_xlpm.sGR+$AD$31*_xlpm.sOR,_xlpm.opCF,_xlpm.sGR-_xlpm.sExp+$AA$31+$AF$31,_xlpm.totalCF,_xlpm.opCF+(I$18*$B19*$Y$5*$Y$6*$Y$15*(1-$Y$17)-$Y$22),_xlpm.t1cap,$Y$43*$Y$12,_xlpm.t2cap,$Y$44*$Y$12,IF(_xlpm.totalCF&lt;=0,$Y$38*_xlpm.totalCF,$Y$40*MIN(MAX(_xlpm.totalCF,0),_xlpm.t1cap)+$Y$41*MAX(MIN(MAX(_xlpm.totalCF,0),_xlpm.t2cap)-_xlpm.t1cap,0)+$Y$42*MAX(MAX(_xlpm.totalCF,0)-_xlpm.t2cap,0)))))</f>
        <v>0</v>
      </c>
      <c r="J88" s="43">
        <f t="shared" ref="J88:J94" si="97">IF(7&gt;$Y$16,0,IF(7&lt;$Y$16,$Y$40*_xlfn.LET(_xlpm.sRR,I$18*$B19*$Y$5*$Y$6*$Y$32,_xlpm.sOR,I$18*$Y$5*$Y$6,_xlpm.sOI,$AE$32*_xlpm.sOR,_xlpm.sOD,$Y$20*_xlpm.sRR,_xlpm.sGR,_xlpm.sRR+_xlpm.sOI+_xlpm.sOD,_xlpm.sExp,$Z$32+$AB$32*_xlpm.sRR+($AC$32+$Y$21)*_xlpm.sGR+$AD$32*_xlpm.sOR,_xlpm.sGR-_xlpm.sExp+$AA$32+$AF$32),_xlfn.LET(_xlpm.sRR,I$18*$B19*$Y$5*$Y$6*$Y$32,_xlpm.sOR,I$18*$Y$5*$Y$6,_xlpm.sOI,$AE$32*_xlpm.sOR,_xlpm.sOD,$Y$20*_xlpm.sRR,_xlpm.sGR,_xlpm.sRR+_xlpm.sOI+_xlpm.sOD,_xlpm.sExp,$Z$32+$AB$32*_xlpm.sRR+($AC$32+$Y$21)*_xlpm.sGR+$AD$32*_xlpm.sOR,_xlpm.opCF,_xlpm.sGR-_xlpm.sExp+$AA$32+$AF$32,_xlpm.totalCF,_xlpm.opCF+(I$18*$B19*$Y$5*$Y$6*$Y$15*(1-$Y$17)-$Y$22),_xlpm.t1cap,$Y$43*$Y$12,_xlpm.t2cap,$Y$44*$Y$12,IF(_xlpm.totalCF&lt;=0,$Y$38*_xlpm.totalCF,$Y$40*MIN(MAX(_xlpm.totalCF,0),_xlpm.t1cap)+$Y$41*MAX(MIN(MAX(_xlpm.totalCF,0),_xlpm.t2cap)-_xlpm.t1cap,0)+$Y$42*MAX(MAX(_xlpm.totalCF,0)-_xlpm.t2cap,0)))))</f>
        <v>0</v>
      </c>
      <c r="K88" s="43">
        <f t="shared" ref="K88:K94" si="98">IF(8&gt;$Y$16,0,IF(8&lt;$Y$16,$Y$40*_xlfn.LET(_xlpm.sRR,I$18*$B19*$Y$5*$Y$6*$Y$33,_xlpm.sOR,I$18*$Y$5*$Y$6,_xlpm.sOI,$AE$33*_xlpm.sOR,_xlpm.sOD,$Y$20*_xlpm.sRR,_xlpm.sGR,_xlpm.sRR+_xlpm.sOI+_xlpm.sOD,_xlpm.sExp,$Z$33+$AB$33*_xlpm.sRR+($AC$33+$Y$21)*_xlpm.sGR+$AD$33*_xlpm.sOR,_xlpm.sGR-_xlpm.sExp+$AA$33+$AF$33),_xlfn.LET(_xlpm.sRR,I$18*$B19*$Y$5*$Y$6*$Y$33,_xlpm.sOR,I$18*$Y$5*$Y$6,_xlpm.sOI,$AE$33*_xlpm.sOR,_xlpm.sOD,$Y$20*_xlpm.sRR,_xlpm.sGR,_xlpm.sRR+_xlpm.sOI+_xlpm.sOD,_xlpm.sExp,$Z$33+$AB$33*_xlpm.sRR+($AC$33+$Y$21)*_xlpm.sGR+$AD$33*_xlpm.sOR,_xlpm.opCF,_xlpm.sGR-_xlpm.sExp+$AA$33+$AF$33,_xlpm.totalCF,_xlpm.opCF+(I$18*$B19*$Y$5*$Y$6*$Y$15*(1-$Y$17)-$Y$22),_xlpm.t1cap,$Y$43*$Y$12,_xlpm.t2cap,$Y$44*$Y$12,IF(_xlpm.totalCF&lt;=0,$Y$38*_xlpm.totalCF,$Y$40*MIN(MAX(_xlpm.totalCF,0),_xlpm.t1cap)+$Y$41*MAX(MIN(MAX(_xlpm.totalCF,0),_xlpm.t2cap)-_xlpm.t1cap,0)+$Y$42*MAX(MAX(_xlpm.totalCF,0)-_xlpm.t2cap,0)))))</f>
        <v>0</v>
      </c>
      <c r="L88" s="43">
        <f t="shared" ref="L88:L94" si="99">IF(9&gt;$Y$16,0,IF(9&lt;$Y$16,$Y$40*_xlfn.LET(_xlpm.sRR,I$18*$B19*$Y$5*$Y$6*$Y$34,_xlpm.sOR,I$18*$Y$5*$Y$6,_xlpm.sOI,$AE$34*_xlpm.sOR,_xlpm.sOD,$Y$20*_xlpm.sRR,_xlpm.sGR,_xlpm.sRR+_xlpm.sOI+_xlpm.sOD,_xlpm.sExp,$Z$34+$AB$34*_xlpm.sRR+($AC$34+$Y$21)*_xlpm.sGR+$AD$34*_xlpm.sOR,_xlpm.sGR-_xlpm.sExp+$AA$34+$AF$34),_xlfn.LET(_xlpm.sRR,I$18*$B19*$Y$5*$Y$6*$Y$34,_xlpm.sOR,I$18*$Y$5*$Y$6,_xlpm.sOI,$AE$34*_xlpm.sOR,_xlpm.sOD,$Y$20*_xlpm.sRR,_xlpm.sGR,_xlpm.sRR+_xlpm.sOI+_xlpm.sOD,_xlpm.sExp,$Z$34+$AB$34*_xlpm.sRR+($AC$34+$Y$21)*_xlpm.sGR+$AD$34*_xlpm.sOR,_xlpm.opCF,_xlpm.sGR-_xlpm.sExp+$AA$34+$AF$34,_xlpm.totalCF,_xlpm.opCF+(I$18*$B19*$Y$5*$Y$6*$Y$15*(1-$Y$17)-$Y$22),_xlpm.t1cap,$Y$43*$Y$12,_xlpm.t2cap,$Y$44*$Y$12,IF(_xlpm.totalCF&lt;=0,$Y$38*_xlpm.totalCF,$Y$40*MIN(MAX(_xlpm.totalCF,0),_xlpm.t1cap)+$Y$41*MAX(MIN(MAX(_xlpm.totalCF,0),_xlpm.t2cap)-_xlpm.t1cap,0)+$Y$42*MAX(MAX(_xlpm.totalCF,0)-_xlpm.t2cap,0)))))</f>
        <v>0</v>
      </c>
      <c r="M88" s="43">
        <f t="shared" ref="M88:M94" si="100">IF(10&gt;$Y$16,0,IF(10&lt;$Y$16,$Y$40*_xlfn.LET(_xlpm.sRR,I$18*$B19*$Y$5*$Y$6*$Y$35,_xlpm.sOR,I$18*$Y$5*$Y$6,_xlpm.sOI,$AE$35*_xlpm.sOR,_xlpm.sOD,$Y$20*_xlpm.sRR,_xlpm.sGR,_xlpm.sRR+_xlpm.sOI+_xlpm.sOD,_xlpm.sExp,$Z$35+$AB$35*_xlpm.sRR+($AC$35+$Y$21)*_xlpm.sGR+$AD$35*_xlpm.sOR,_xlpm.sGR-_xlpm.sExp+$AA$35+$AF$35),IF(P88&lt;=0,$Y$38*P88,Q88+R88+S88)))</f>
        <v>0</v>
      </c>
      <c r="N88" t="e" cm="1">
        <f t="array" ref="N88">$Y$39*(1+$Y$46)^($Y$16-1)-SUMPRODUCT(D88:L88,(1+$Y$46)^_xlfn.SEQUENCE(1,$Y$16-1,$Y$16-2,-1))</f>
        <v>#VALUE!</v>
      </c>
      <c r="O88" t="e" cm="1">
        <f t="array" ref="O88">$Y$39*(1+$Y$47)^($Y$16-1)-SUMPRODUCT(D88:L88,(1+$Y$47)^_xlfn.SEQUENCE(1,$Y$16-1,$Y$16-2,-1))</f>
        <v>#VALUE!</v>
      </c>
      <c r="P88" t="e">
        <f t="shared" ref="P88:P94" si="101">_xlfn.LET(_xlpm.sRR,I$18*$B19*$Y$5*$Y$6*$Y$35,_xlpm.sOR,I$18*$Y$5*$Y$6,_xlpm.sOI,$AE$35*_xlpm.sOR,_xlpm.sOD,$Y$20*_xlpm.sRR,_xlpm.sGR,_xlpm.sRR+_xlpm.sOI+_xlpm.sOD,_xlpm.sExp,$Z$35+$AB$35*_xlpm.sRR+($AC$35+$Y$21)*_xlpm.sGR+$AD$35*_xlpm.sOR,_xlpm.opCF,_xlpm.sGR-_xlpm.sExp+$AA$35+$AF$35,_xlpm.opCF+(I$18*$B19*$Y$5*$Y$6*$Y$15*(1-$Y$17)-$Y$22))</f>
        <v>#VALUE!</v>
      </c>
      <c r="Q88" t="e">
        <f t="shared" si="75"/>
        <v>#VALUE!</v>
      </c>
      <c r="R88" t="e">
        <f t="shared" si="76"/>
        <v>#VALUE!</v>
      </c>
      <c r="S88" t="e">
        <f t="shared" si="77"/>
        <v>#VALUE!</v>
      </c>
    </row>
    <row r="89" spans="2:19" hidden="1">
      <c r="B89" s="933" t="e">
        <f t="shared" si="90"/>
        <v>#VALUE!</v>
      </c>
      <c r="C89">
        <f t="shared" si="74"/>
        <v>0</v>
      </c>
      <c r="D89" s="43">
        <f t="shared" si="91"/>
        <v>0</v>
      </c>
      <c r="E89" s="43">
        <f t="shared" si="92"/>
        <v>0</v>
      </c>
      <c r="F89" s="43">
        <f t="shared" si="93"/>
        <v>0</v>
      </c>
      <c r="G89" s="43">
        <f t="shared" si="94"/>
        <v>0</v>
      </c>
      <c r="H89" s="43">
        <f t="shared" si="95"/>
        <v>0</v>
      </c>
      <c r="I89" s="43">
        <f t="shared" si="96"/>
        <v>0</v>
      </c>
      <c r="J89" s="43">
        <f t="shared" si="97"/>
        <v>0</v>
      </c>
      <c r="K89" s="43">
        <f t="shared" si="98"/>
        <v>0</v>
      </c>
      <c r="L89" s="43">
        <f t="shared" si="99"/>
        <v>0</v>
      </c>
      <c r="M89" s="43">
        <f t="shared" si="100"/>
        <v>0</v>
      </c>
      <c r="N89" t="e" cm="1">
        <f t="array" ref="N89">$Y$39*(1+$Y$46)^($Y$16-1)-SUMPRODUCT(D89:L89,(1+$Y$46)^_xlfn.SEQUENCE(1,$Y$16-1,$Y$16-2,-1))</f>
        <v>#VALUE!</v>
      </c>
      <c r="O89" t="e" cm="1">
        <f t="array" ref="O89">$Y$39*(1+$Y$47)^($Y$16-1)-SUMPRODUCT(D89:L89,(1+$Y$47)^_xlfn.SEQUENCE(1,$Y$16-1,$Y$16-2,-1))</f>
        <v>#VALUE!</v>
      </c>
      <c r="P89" t="e">
        <f t="shared" si="101"/>
        <v>#VALUE!</v>
      </c>
      <c r="Q89" t="e">
        <f t="shared" si="75"/>
        <v>#VALUE!</v>
      </c>
      <c r="R89" t="e">
        <f t="shared" si="76"/>
        <v>#VALUE!</v>
      </c>
      <c r="S89" t="e">
        <f t="shared" si="77"/>
        <v>#VALUE!</v>
      </c>
    </row>
    <row r="90" spans="2:19" hidden="1">
      <c r="B90" s="933" t="e">
        <f t="shared" si="90"/>
        <v>#VALUE!</v>
      </c>
      <c r="C90">
        <f t="shared" si="74"/>
        <v>0</v>
      </c>
      <c r="D90" s="43">
        <f t="shared" si="91"/>
        <v>0</v>
      </c>
      <c r="E90" s="43">
        <f t="shared" si="92"/>
        <v>0</v>
      </c>
      <c r="F90" s="43">
        <f t="shared" si="93"/>
        <v>0</v>
      </c>
      <c r="G90" s="43">
        <f t="shared" si="94"/>
        <v>0</v>
      </c>
      <c r="H90" s="43">
        <f t="shared" si="95"/>
        <v>0</v>
      </c>
      <c r="I90" s="43">
        <f t="shared" si="96"/>
        <v>0</v>
      </c>
      <c r="J90" s="43">
        <f t="shared" si="97"/>
        <v>0</v>
      </c>
      <c r="K90" s="43">
        <f t="shared" si="98"/>
        <v>0</v>
      </c>
      <c r="L90" s="43">
        <f t="shared" si="99"/>
        <v>0</v>
      </c>
      <c r="M90" s="43">
        <f t="shared" si="100"/>
        <v>0</v>
      </c>
      <c r="N90" t="e" cm="1">
        <f t="array" ref="N90">$Y$39*(1+$Y$46)^($Y$16-1)-SUMPRODUCT(D90:L90,(1+$Y$46)^_xlfn.SEQUENCE(1,$Y$16-1,$Y$16-2,-1))</f>
        <v>#VALUE!</v>
      </c>
      <c r="O90" t="e" cm="1">
        <f t="array" ref="O90">$Y$39*(1+$Y$47)^($Y$16-1)-SUMPRODUCT(D90:L90,(1+$Y$47)^_xlfn.SEQUENCE(1,$Y$16-1,$Y$16-2,-1))</f>
        <v>#VALUE!</v>
      </c>
      <c r="P90" t="e">
        <f t="shared" si="101"/>
        <v>#VALUE!</v>
      </c>
      <c r="Q90" t="e">
        <f t="shared" si="75"/>
        <v>#VALUE!</v>
      </c>
      <c r="R90" t="e">
        <f t="shared" si="76"/>
        <v>#VALUE!</v>
      </c>
      <c r="S90" t="e">
        <f t="shared" si="77"/>
        <v>#VALUE!</v>
      </c>
    </row>
    <row r="91" spans="2:19" hidden="1">
      <c r="B91" s="933" t="e">
        <f t="shared" si="90"/>
        <v>#VALUE!</v>
      </c>
      <c r="C91">
        <f t="shared" si="74"/>
        <v>0</v>
      </c>
      <c r="D91" s="43">
        <f t="shared" si="91"/>
        <v>0</v>
      </c>
      <c r="E91" s="43">
        <f t="shared" si="92"/>
        <v>0</v>
      </c>
      <c r="F91" s="43">
        <f t="shared" si="93"/>
        <v>0</v>
      </c>
      <c r="G91" s="43">
        <f t="shared" si="94"/>
        <v>0</v>
      </c>
      <c r="H91" s="43">
        <f t="shared" si="95"/>
        <v>0</v>
      </c>
      <c r="I91" s="43">
        <f t="shared" si="96"/>
        <v>0</v>
      </c>
      <c r="J91" s="43">
        <f t="shared" si="97"/>
        <v>0</v>
      </c>
      <c r="K91" s="43">
        <f t="shared" si="98"/>
        <v>0</v>
      </c>
      <c r="L91" s="43">
        <f t="shared" si="99"/>
        <v>0</v>
      </c>
      <c r="M91" s="43">
        <f t="shared" si="100"/>
        <v>0</v>
      </c>
      <c r="N91" t="e" cm="1">
        <f t="array" ref="N91">$Y$39*(1+$Y$46)^($Y$16-1)-SUMPRODUCT(D91:L91,(1+$Y$46)^_xlfn.SEQUENCE(1,$Y$16-1,$Y$16-2,-1))</f>
        <v>#VALUE!</v>
      </c>
      <c r="O91" t="e" cm="1">
        <f t="array" ref="O91">$Y$39*(1+$Y$47)^($Y$16-1)-SUMPRODUCT(D91:L91,(1+$Y$47)^_xlfn.SEQUENCE(1,$Y$16-1,$Y$16-2,-1))</f>
        <v>#VALUE!</v>
      </c>
      <c r="P91" t="e">
        <f t="shared" si="101"/>
        <v>#VALUE!</v>
      </c>
      <c r="Q91" t="e">
        <f t="shared" si="75"/>
        <v>#VALUE!</v>
      </c>
      <c r="R91" t="e">
        <f t="shared" si="76"/>
        <v>#VALUE!</v>
      </c>
      <c r="S91" t="e">
        <f t="shared" si="77"/>
        <v>#VALUE!</v>
      </c>
    </row>
    <row r="92" spans="2:19" hidden="1">
      <c r="B92" s="933" t="e">
        <f t="shared" si="90"/>
        <v>#VALUE!</v>
      </c>
      <c r="C92">
        <f t="shared" si="74"/>
        <v>0</v>
      </c>
      <c r="D92" s="43">
        <f t="shared" si="91"/>
        <v>0</v>
      </c>
      <c r="E92" s="43">
        <f t="shared" si="92"/>
        <v>0</v>
      </c>
      <c r="F92" s="43">
        <f t="shared" si="93"/>
        <v>0</v>
      </c>
      <c r="G92" s="43">
        <f t="shared" si="94"/>
        <v>0</v>
      </c>
      <c r="H92" s="43">
        <f t="shared" si="95"/>
        <v>0</v>
      </c>
      <c r="I92" s="43">
        <f t="shared" si="96"/>
        <v>0</v>
      </c>
      <c r="J92" s="43">
        <f t="shared" si="97"/>
        <v>0</v>
      </c>
      <c r="K92" s="43">
        <f t="shared" si="98"/>
        <v>0</v>
      </c>
      <c r="L92" s="43">
        <f t="shared" si="99"/>
        <v>0</v>
      </c>
      <c r="M92" s="43">
        <f t="shared" si="100"/>
        <v>0</v>
      </c>
      <c r="N92" t="e" cm="1">
        <f t="array" ref="N92">$Y$39*(1+$Y$46)^($Y$16-1)-SUMPRODUCT(D92:L92,(1+$Y$46)^_xlfn.SEQUENCE(1,$Y$16-1,$Y$16-2,-1))</f>
        <v>#VALUE!</v>
      </c>
      <c r="O92" t="e" cm="1">
        <f t="array" ref="O92">$Y$39*(1+$Y$47)^($Y$16-1)-SUMPRODUCT(D92:L92,(1+$Y$47)^_xlfn.SEQUENCE(1,$Y$16-1,$Y$16-2,-1))</f>
        <v>#VALUE!</v>
      </c>
      <c r="P92" t="e">
        <f t="shared" si="101"/>
        <v>#VALUE!</v>
      </c>
      <c r="Q92" t="e">
        <f t="shared" si="75"/>
        <v>#VALUE!</v>
      </c>
      <c r="R92" t="e">
        <f t="shared" si="76"/>
        <v>#VALUE!</v>
      </c>
      <c r="S92" t="e">
        <f t="shared" si="77"/>
        <v>#VALUE!</v>
      </c>
    </row>
    <row r="93" spans="2:19" hidden="1">
      <c r="B93" s="933" t="e">
        <f t="shared" si="90"/>
        <v>#VALUE!</v>
      </c>
      <c r="C93">
        <f t="shared" si="74"/>
        <v>0</v>
      </c>
      <c r="D93" s="43">
        <f t="shared" si="91"/>
        <v>0</v>
      </c>
      <c r="E93" s="43">
        <f t="shared" si="92"/>
        <v>0</v>
      </c>
      <c r="F93" s="43">
        <f t="shared" si="93"/>
        <v>0</v>
      </c>
      <c r="G93" s="43">
        <f t="shared" si="94"/>
        <v>0</v>
      </c>
      <c r="H93" s="43">
        <f t="shared" si="95"/>
        <v>0</v>
      </c>
      <c r="I93" s="43">
        <f t="shared" si="96"/>
        <v>0</v>
      </c>
      <c r="J93" s="43">
        <f t="shared" si="97"/>
        <v>0</v>
      </c>
      <c r="K93" s="43">
        <f t="shared" si="98"/>
        <v>0</v>
      </c>
      <c r="L93" s="43">
        <f t="shared" si="99"/>
        <v>0</v>
      </c>
      <c r="M93" s="43">
        <f t="shared" si="100"/>
        <v>0</v>
      </c>
      <c r="N93" t="e" cm="1">
        <f t="array" ref="N93">$Y$39*(1+$Y$46)^($Y$16-1)-SUMPRODUCT(D93:L93,(1+$Y$46)^_xlfn.SEQUENCE(1,$Y$16-1,$Y$16-2,-1))</f>
        <v>#VALUE!</v>
      </c>
      <c r="O93" t="e" cm="1">
        <f t="array" ref="O93">$Y$39*(1+$Y$47)^($Y$16-1)-SUMPRODUCT(D93:L93,(1+$Y$47)^_xlfn.SEQUENCE(1,$Y$16-1,$Y$16-2,-1))</f>
        <v>#VALUE!</v>
      </c>
      <c r="P93" t="e">
        <f t="shared" si="101"/>
        <v>#VALUE!</v>
      </c>
      <c r="Q93" t="e">
        <f t="shared" si="75"/>
        <v>#VALUE!</v>
      </c>
      <c r="R93" t="e">
        <f t="shared" si="76"/>
        <v>#VALUE!</v>
      </c>
      <c r="S93" t="e">
        <f t="shared" si="77"/>
        <v>#VALUE!</v>
      </c>
    </row>
    <row r="94" spans="2:19" hidden="1">
      <c r="B94" s="933" t="e">
        <f t="shared" si="90"/>
        <v>#VALUE!</v>
      </c>
      <c r="C94">
        <f t="shared" si="74"/>
        <v>0</v>
      </c>
      <c r="D94" s="43">
        <f t="shared" si="91"/>
        <v>0</v>
      </c>
      <c r="E94" s="43">
        <f t="shared" si="92"/>
        <v>0</v>
      </c>
      <c r="F94" s="43">
        <f t="shared" si="93"/>
        <v>0</v>
      </c>
      <c r="G94" s="43">
        <f t="shared" si="94"/>
        <v>0</v>
      </c>
      <c r="H94" s="43">
        <f t="shared" si="95"/>
        <v>0</v>
      </c>
      <c r="I94" s="43">
        <f t="shared" si="96"/>
        <v>0</v>
      </c>
      <c r="J94" s="43">
        <f t="shared" si="97"/>
        <v>0</v>
      </c>
      <c r="K94" s="43">
        <f t="shared" si="98"/>
        <v>0</v>
      </c>
      <c r="L94" s="43">
        <f t="shared" si="99"/>
        <v>0</v>
      </c>
      <c r="M94" s="43">
        <f t="shared" si="100"/>
        <v>0</v>
      </c>
      <c r="N94" t="e" cm="1">
        <f t="array" ref="N94">$Y$39*(1+$Y$46)^($Y$16-1)-SUMPRODUCT(D94:L94,(1+$Y$46)^_xlfn.SEQUENCE(1,$Y$16-1,$Y$16-2,-1))</f>
        <v>#VALUE!</v>
      </c>
      <c r="O94" t="e" cm="1">
        <f t="array" ref="O94">$Y$39*(1+$Y$47)^($Y$16-1)-SUMPRODUCT(D94:L94,(1+$Y$47)^_xlfn.SEQUENCE(1,$Y$16-1,$Y$16-2,-1))</f>
        <v>#VALUE!</v>
      </c>
      <c r="P94" t="e">
        <f t="shared" si="101"/>
        <v>#VALUE!</v>
      </c>
      <c r="Q94" t="e">
        <f t="shared" si="75"/>
        <v>#VALUE!</v>
      </c>
      <c r="R94" t="e">
        <f t="shared" si="76"/>
        <v>#VALUE!</v>
      </c>
      <c r="S94" t="e">
        <f t="shared" si="77"/>
        <v>#VALUE!</v>
      </c>
    </row>
    <row r="95" spans="2:19" hidden="1">
      <c r="B95" s="935" t="s">
        <v>638</v>
      </c>
      <c r="C95" s="936"/>
      <c r="D95" s="936"/>
      <c r="E95" s="936"/>
      <c r="F95" s="936"/>
      <c r="G95" s="936"/>
      <c r="H95" s="936"/>
      <c r="I95" s="936"/>
      <c r="J95" s="936"/>
      <c r="K95" s="936"/>
      <c r="L95" s="936"/>
      <c r="M95" s="936"/>
    </row>
    <row r="96" spans="2:19" hidden="1">
      <c r="B96" s="936" t="s">
        <v>639</v>
      </c>
      <c r="C96" s="936">
        <f t="shared" ref="C96:C127" si="102">-$Y$39</f>
        <v>0</v>
      </c>
      <c r="D96" s="937" t="e">
        <f t="shared" ref="D96:D102" si="103">IF(P96&lt;=0,$Y$38*P96,Q96+R96+S96)</f>
        <v>#VALUE!</v>
      </c>
      <c r="E96" s="937">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$8*(1-$Y$17)-$Y$22),_xlpm.t1cap,$Y$43*$Y$12,_xlpm.t2cap,$Y$44*$Y$12,IF(_xlpm.totalCF&lt;=0,$Y$38*_xlpm.totalCF,$Y$40*MIN(MAX(_xlpm.totalCF,0),_xlpm.t1cap)+$Y$41*MAX(MIN(MAX(_xlpm.totalCF,0),_xlpm.t2cap)-_xlpm.t1cap,0)+$Y$42*MAX(MAX(_xlpm.totalCF,0)-_xlpm.t2cap,0)))))</f>
        <v>0</v>
      </c>
      <c r="F96" s="937">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$8*(1-$Y$17)-$Y$22),_xlpm.t1cap,$Y$43*$Y$12,_xlpm.t2cap,$Y$44*$Y$12,IF(_xlpm.totalCF&lt;=0,$Y$38*_xlpm.totalCF,$Y$40*MIN(MAX(_xlpm.totalCF,0),_xlpm.t1cap)+$Y$41*MAX(MIN(MAX(_xlpm.totalCF,0),_xlpm.t2cap)-_xlpm.t1cap,0)+$Y$42*MAX(MAX(_xlpm.totalCF,0)-_xlpm.t2cap,0)))))</f>
        <v>0</v>
      </c>
      <c r="G96" s="937">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$8*(1-$Y$17)-$Y$22),_xlpm.t1cap,$Y$43*$Y$12,_xlpm.t2cap,$Y$44*$Y$12,IF(_xlpm.totalCF&lt;=0,$Y$38*_xlpm.totalCF,$Y$40*MIN(MAX(_xlpm.totalCF,0),_xlpm.t1cap)+$Y$41*MAX(MIN(MAX(_xlpm.totalCF,0),_xlpm.t2cap)-_xlpm.t1cap,0)+$Y$42*MAX(MAX(_xlpm.totalCF,0)-_xlpm.t2cap,0)))))</f>
        <v>0</v>
      </c>
      <c r="H96" s="937">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$8*(1-$Y$17)-$Y$22),_xlpm.t1cap,$Y$43*$Y$12,_xlpm.t2cap,$Y$44*$Y$12,IF(_xlpm.totalCF&lt;=0,$Y$38*_xlpm.totalCF,$Y$40*MIN(MAX(_xlpm.totalCF,0),_xlpm.t1cap)+$Y$41*MAX(MIN(MAX(_xlpm.totalCF,0),_xlpm.t2cap)-_xlpm.t1cap,0)+$Y$42*MAX(MAX(_xlpm.totalCF,0)-_xlpm.t2cap,0)))))</f>
        <v>0</v>
      </c>
      <c r="I96" s="937">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$8*(1-$Y$17)-$Y$22),_xlpm.t1cap,$Y$43*$Y$12,_xlpm.t2cap,$Y$44*$Y$12,IF(_xlpm.totalCF&lt;=0,$Y$38*_xlpm.totalCF,$Y$40*MIN(MAX(_xlpm.totalCF,0),_xlpm.t1cap)+$Y$41*MAX(MIN(MAX(_xlpm.totalCF,0),_xlpm.t2cap)-_xlpm.t1cap,0)+$Y$42*MAX(MAX(_xlpm.totalCF,0)-_xlpm.t2cap,0)))))</f>
        <v>0</v>
      </c>
      <c r="J96" s="937">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$8*(1-$Y$17)-$Y$22),_xlpm.t1cap,$Y$43*$Y$12,_xlpm.t2cap,$Y$44*$Y$12,IF(_xlpm.totalCF&lt;=0,$Y$38*_xlpm.totalCF,$Y$40*MIN(MAX(_xlpm.totalCF,0),_xlpm.t1cap)+$Y$41*MAX(MIN(MAX(_xlpm.totalCF,0),_xlpm.t2cap)-_xlpm.t1cap,0)+$Y$42*MAX(MAX(_xlpm.totalCF,0)-_xlpm.t2cap,0)))))</f>
        <v>0</v>
      </c>
      <c r="K96" s="937">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$8*(1-$Y$17)-$Y$22),_xlpm.t1cap,$Y$43*$Y$12,_xlpm.t2cap,$Y$44*$Y$12,IF(_xlpm.totalCF&lt;=0,$Y$38*_xlpm.totalCF,$Y$40*MIN(MAX(_xlpm.totalCF,0),_xlpm.t1cap)+$Y$41*MAX(MIN(MAX(_xlpm.totalCF,0),_xlpm.t2cap)-_xlpm.t1cap,0)+$Y$42*MAX(MAX(_xlpm.totalCF,0)-_xlpm.t2cap,0)))))</f>
        <v>0</v>
      </c>
      <c r="L96" s="937">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$8*(1-$Y$17)-$Y$22),_xlpm.t1cap,$Y$43*$Y$12,_xlpm.t2cap,$Y$44*$Y$12,IF(_xlpm.totalCF&lt;=0,$Y$38*_xlpm.totalCF,$Y$40*MIN(MAX(_xlpm.totalCF,0),_xlpm.t1cap)+$Y$41*MAX(MIN(MAX(_xlpm.totalCF,0),_xlpm.t2cap)-_xlpm.t1cap,0)+$Y$42*MAX(MAX(_xlpm.totalCF,0)-_xlpm.t2cap,0)))))</f>
        <v>0</v>
      </c>
      <c r="M96" s="937">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$8*(1-$Y$17)-$Y$22),_xlpm.t1cap,$Y$43*$Y$12,_xlpm.t2cap,$Y$44*$Y$12,IF(_xlpm.totalCF&lt;=0,$Y$38*_xlpm.totalCF,$Y$40*MIN(MAX(_xlpm.totalCF,0),_xlpm.t1cap)+$Y$41*MAX(MIN(MAX(_xlpm.totalCF,0),_xlpm.t2cap)-_xlpm.t1cap,0)+$Y$42*MAX(MAX(_xlpm.totalCF,0)-_xlpm.t2cap,0)))))</f>
        <v>0</v>
      </c>
      <c r="N96" s="43">
        <f t="shared" ref="N96:O102" si="104">$Y$39</f>
        <v>0</v>
      </c>
      <c r="O96" s="43">
        <f t="shared" si="104"/>
        <v>0</v>
      </c>
      <c r="P96" t="e">
        <f>_xlfn.LET(_xlpm.sRR,$Y$3*$Y$26,_xlpm.sOR,$Y$13*$Y$5*$Y$6,_xlpm.sOI,$AE$26*_xlpm.sOR,_xlpm.sOD,$Y$20*_xlpm.sRR,_xlpm.sGR,_xlpm.sRR+_xlpm.sOI+_xlpm.sOD,_xlpm.sExp,$Z$26+$AB$26*_xlpm.sRR+($AC$26+$Y$21)*_xlpm.sGR+$AD$26*_xlpm.sOR,_xlpm.opCF,_xlpm.sGR-_xlpm.sExp+$AA$26+$AF$26,_xlpm.opCF)+($Y$3*$Y$26*$K$8*(1-$Y$17)-$AG$26)</f>
        <v>#VALUE!</v>
      </c>
      <c r="Q96" t="e">
        <f t="shared" ref="Q96:Q102" si="105">MIN(N96+N96*$Y$46,MAX((P96-$Y$48*MAX(P96,0)),0)*$Y$40/($Y$40+$Y$49))</f>
        <v>#VALUE!</v>
      </c>
      <c r="R96" t="e">
        <f t="shared" ref="R96:R102" si="106">MIN(O96+O96*$Y$47-Q96,MAX(P96-Q96-Q96/$Y$40*$Y$49-$Y$48*MAX(P96,0),0)*$Y$41)</f>
        <v>#VALUE!</v>
      </c>
      <c r="S96" t="e">
        <f t="shared" ref="S96:S102" si="107">MAX(P96-(Q96+Q96/$Y$40*$Y$49+$Y$48*MAX(P96,0))-(R96+R96/$Y$41*(1-$Y$41)),0)*$Y$42</f>
        <v>#VALUE!</v>
      </c>
    </row>
    <row r="97" spans="2:19" hidden="1">
      <c r="B97" s="936" t="s">
        <v>640</v>
      </c>
      <c r="C97" s="936">
        <f t="shared" si="102"/>
        <v>0</v>
      </c>
      <c r="D97" s="936" t="e">
        <f t="shared" si="103"/>
        <v>#VALUE!</v>
      </c>
      <c r="E97"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$9*(1-$Y$17)-$Y$22),_xlpm.t1cap,$Y$43*$Y$12,_xlpm.t2cap,$Y$44*$Y$12,IF(_xlpm.totalCF&lt;=0,$Y$38*_xlpm.totalCF,$Y$40*MIN(MAX(_xlpm.totalCF,0),_xlpm.t1cap)+$Y$41*MAX(MIN(MAX(_xlpm.totalCF,0),_xlpm.t2cap)-_xlpm.t1cap,0)+$Y$42*MAX(MAX(_xlpm.totalCF,0)-_xlpm.t2cap,0)))))</f>
        <v>0</v>
      </c>
      <c r="F97"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$9*(1-$Y$17)-$Y$22),_xlpm.t1cap,$Y$43*$Y$12,_xlpm.t2cap,$Y$44*$Y$12,IF(_xlpm.totalCF&lt;=0,$Y$38*_xlpm.totalCF,$Y$40*MIN(MAX(_xlpm.totalCF,0),_xlpm.t1cap)+$Y$41*MAX(MIN(MAX(_xlpm.totalCF,0),_xlpm.t2cap)-_xlpm.t1cap,0)+$Y$42*MAX(MAX(_xlpm.totalCF,0)-_xlpm.t2cap,0)))))</f>
        <v>0</v>
      </c>
      <c r="G97"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$9*(1-$Y$17)-$Y$22),_xlpm.t1cap,$Y$43*$Y$12,_xlpm.t2cap,$Y$44*$Y$12,IF(_xlpm.totalCF&lt;=0,$Y$38*_xlpm.totalCF,$Y$40*MIN(MAX(_xlpm.totalCF,0),_xlpm.t1cap)+$Y$41*MAX(MIN(MAX(_xlpm.totalCF,0),_xlpm.t2cap)-_xlpm.t1cap,0)+$Y$42*MAX(MAX(_xlpm.totalCF,0)-_xlpm.t2cap,0)))))</f>
        <v>0</v>
      </c>
      <c r="H97"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$9*(1-$Y$17)-$Y$22),_xlpm.t1cap,$Y$43*$Y$12,_xlpm.t2cap,$Y$44*$Y$12,IF(_xlpm.totalCF&lt;=0,$Y$38*_xlpm.totalCF,$Y$40*MIN(MAX(_xlpm.totalCF,0),_xlpm.t1cap)+$Y$41*MAX(MIN(MAX(_xlpm.totalCF,0),_xlpm.t2cap)-_xlpm.t1cap,0)+$Y$42*MAX(MAX(_xlpm.totalCF,0)-_xlpm.t2cap,0)))))</f>
        <v>0</v>
      </c>
      <c r="I97"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$9*(1-$Y$17)-$Y$22),_xlpm.t1cap,$Y$43*$Y$12,_xlpm.t2cap,$Y$44*$Y$12,IF(_xlpm.totalCF&lt;=0,$Y$38*_xlpm.totalCF,$Y$40*MIN(MAX(_xlpm.totalCF,0),_xlpm.t1cap)+$Y$41*MAX(MIN(MAX(_xlpm.totalCF,0),_xlpm.t2cap)-_xlpm.t1cap,0)+$Y$42*MAX(MAX(_xlpm.totalCF,0)-_xlpm.t2cap,0)))))</f>
        <v>0</v>
      </c>
      <c r="J97"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$9*(1-$Y$17)-$Y$22),_xlpm.t1cap,$Y$43*$Y$12,_xlpm.t2cap,$Y$44*$Y$12,IF(_xlpm.totalCF&lt;=0,$Y$38*_xlpm.totalCF,$Y$40*MIN(MAX(_xlpm.totalCF,0),_xlpm.t1cap)+$Y$41*MAX(MIN(MAX(_xlpm.totalCF,0),_xlpm.t2cap)-_xlpm.t1cap,0)+$Y$42*MAX(MAX(_xlpm.totalCF,0)-_xlpm.t2cap,0)))))</f>
        <v>0</v>
      </c>
      <c r="K97"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$9*(1-$Y$17)-$Y$22),_xlpm.t1cap,$Y$43*$Y$12,_xlpm.t2cap,$Y$44*$Y$12,IF(_xlpm.totalCF&lt;=0,$Y$38*_xlpm.totalCF,$Y$40*MIN(MAX(_xlpm.totalCF,0),_xlpm.t1cap)+$Y$41*MAX(MIN(MAX(_xlpm.totalCF,0),_xlpm.t2cap)-_xlpm.t1cap,0)+$Y$42*MAX(MAX(_xlpm.totalCF,0)-_xlpm.t2cap,0)))))</f>
        <v>0</v>
      </c>
      <c r="L97"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$9*(1-$Y$17)-$Y$22),_xlpm.t1cap,$Y$43*$Y$12,_xlpm.t2cap,$Y$44*$Y$12,IF(_xlpm.totalCF&lt;=0,$Y$38*_xlpm.totalCF,$Y$40*MIN(MAX(_xlpm.totalCF,0),_xlpm.t1cap)+$Y$41*MAX(MIN(MAX(_xlpm.totalCF,0),_xlpm.t2cap)-_xlpm.t1cap,0)+$Y$42*MAX(MAX(_xlpm.totalCF,0)-_xlpm.t2cap,0)))))</f>
        <v>0</v>
      </c>
      <c r="M97"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$9*(1-$Y$17)-$Y$22),_xlpm.t1cap,$Y$43*$Y$12,_xlpm.t2cap,$Y$44*$Y$12,IF(_xlpm.totalCF&lt;=0,$Y$38*_xlpm.totalCF,$Y$40*MIN(MAX(_xlpm.totalCF,0),_xlpm.t1cap)+$Y$41*MAX(MIN(MAX(_xlpm.totalCF,0),_xlpm.t2cap)-_xlpm.t1cap,0)+$Y$42*MAX(MAX(_xlpm.totalCF,0)-_xlpm.t2cap,0)))))</f>
        <v>0</v>
      </c>
      <c r="N97" s="43">
        <f t="shared" si="104"/>
        <v>0</v>
      </c>
      <c r="O97" s="43">
        <f t="shared" si="104"/>
        <v>0</v>
      </c>
      <c r="P97" t="e">
        <f>_xlfn.LET(_xlpm.sRR,$Y$3*$Y$26,_xlpm.sOR,$Y$13*$Y$5*$Y$6,_xlpm.sOI,$AE$26*_xlpm.sOR,_xlpm.sOD,$Y$20*_xlpm.sRR,_xlpm.sGR,_xlpm.sRR+_xlpm.sOI+_xlpm.sOD,_xlpm.sExp,$Z$26+$AB$26*_xlpm.sRR+($AC$26+$Y$21)*_xlpm.sGR+$AD$26*_xlpm.sOR,_xlpm.opCF,_xlpm.sGR-_xlpm.sExp+$AA$26+$AF$26,_xlpm.opCF)+($Y$3*$Y$26*$K$9*(1-$Y$17)-$AG$26)</f>
        <v>#VALUE!</v>
      </c>
      <c r="Q97" t="e">
        <f t="shared" si="105"/>
        <v>#VALUE!</v>
      </c>
      <c r="R97" t="e">
        <f t="shared" si="106"/>
        <v>#VALUE!</v>
      </c>
      <c r="S97" t="e">
        <f t="shared" si="107"/>
        <v>#VALUE!</v>
      </c>
    </row>
    <row r="98" spans="2:19" hidden="1">
      <c r="B98" s="936" t="s">
        <v>641</v>
      </c>
      <c r="C98" s="936">
        <f t="shared" si="102"/>
        <v>0</v>
      </c>
      <c r="D98" s="936" t="e">
        <f t="shared" si="103"/>
        <v>#VALUE!</v>
      </c>
      <c r="E98"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$10*(1-$Y$17)-$Y$22),_xlpm.t1cap,$Y$43*$Y$12,_xlpm.t2cap,$Y$44*$Y$12,IF(_xlpm.totalCF&lt;=0,$Y$38*_xlpm.totalCF,$Y$40*MIN(MAX(_xlpm.totalCF,0),_xlpm.t1cap)+$Y$41*MAX(MIN(MAX(_xlpm.totalCF,0),_xlpm.t2cap)-_xlpm.t1cap,0)+$Y$42*MAX(MAX(_xlpm.totalCF,0)-_xlpm.t2cap,0)))))</f>
        <v>0</v>
      </c>
      <c r="F98"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$10*(1-$Y$17)-$Y$22),_xlpm.t1cap,$Y$43*$Y$12,_xlpm.t2cap,$Y$44*$Y$12,IF(_xlpm.totalCF&lt;=0,$Y$38*_xlpm.totalCF,$Y$40*MIN(MAX(_xlpm.totalCF,0),_xlpm.t1cap)+$Y$41*MAX(MIN(MAX(_xlpm.totalCF,0),_xlpm.t2cap)-_xlpm.t1cap,0)+$Y$42*MAX(MAX(_xlpm.totalCF,0)-_xlpm.t2cap,0)))))</f>
        <v>0</v>
      </c>
      <c r="G98"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$10*(1-$Y$17)-$Y$22),_xlpm.t1cap,$Y$43*$Y$12,_xlpm.t2cap,$Y$44*$Y$12,IF(_xlpm.totalCF&lt;=0,$Y$38*_xlpm.totalCF,$Y$40*MIN(MAX(_xlpm.totalCF,0),_xlpm.t1cap)+$Y$41*MAX(MIN(MAX(_xlpm.totalCF,0),_xlpm.t2cap)-_xlpm.t1cap,0)+$Y$42*MAX(MAX(_xlpm.totalCF,0)-_xlpm.t2cap,0)))))</f>
        <v>0</v>
      </c>
      <c r="H98"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$10*(1-$Y$17)-$Y$22),_xlpm.t1cap,$Y$43*$Y$12,_xlpm.t2cap,$Y$44*$Y$12,IF(_xlpm.totalCF&lt;=0,$Y$38*_xlpm.totalCF,$Y$40*MIN(MAX(_xlpm.totalCF,0),_xlpm.t1cap)+$Y$41*MAX(MIN(MAX(_xlpm.totalCF,0),_xlpm.t2cap)-_xlpm.t1cap,0)+$Y$42*MAX(MAX(_xlpm.totalCF,0)-_xlpm.t2cap,0)))))</f>
        <v>0</v>
      </c>
      <c r="I98"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$10*(1-$Y$17)-$Y$22),_xlpm.t1cap,$Y$43*$Y$12,_xlpm.t2cap,$Y$44*$Y$12,IF(_xlpm.totalCF&lt;=0,$Y$38*_xlpm.totalCF,$Y$40*MIN(MAX(_xlpm.totalCF,0),_xlpm.t1cap)+$Y$41*MAX(MIN(MAX(_xlpm.totalCF,0),_xlpm.t2cap)-_xlpm.t1cap,0)+$Y$42*MAX(MAX(_xlpm.totalCF,0)-_xlpm.t2cap,0)))))</f>
        <v>0</v>
      </c>
      <c r="J98"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$10*(1-$Y$17)-$Y$22),_xlpm.t1cap,$Y$43*$Y$12,_xlpm.t2cap,$Y$44*$Y$12,IF(_xlpm.totalCF&lt;=0,$Y$38*_xlpm.totalCF,$Y$40*MIN(MAX(_xlpm.totalCF,0),_xlpm.t1cap)+$Y$41*MAX(MIN(MAX(_xlpm.totalCF,0),_xlpm.t2cap)-_xlpm.t1cap,0)+$Y$42*MAX(MAX(_xlpm.totalCF,0)-_xlpm.t2cap,0)))))</f>
        <v>0</v>
      </c>
      <c r="K98"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$10*(1-$Y$17)-$Y$22),_xlpm.t1cap,$Y$43*$Y$12,_xlpm.t2cap,$Y$44*$Y$12,IF(_xlpm.totalCF&lt;=0,$Y$38*_xlpm.totalCF,$Y$40*MIN(MAX(_xlpm.totalCF,0),_xlpm.t1cap)+$Y$41*MAX(MIN(MAX(_xlpm.totalCF,0),_xlpm.t2cap)-_xlpm.t1cap,0)+$Y$42*MAX(MAX(_xlpm.totalCF,0)-_xlpm.t2cap,0)))))</f>
        <v>0</v>
      </c>
      <c r="L98"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$10*(1-$Y$17)-$Y$22),_xlpm.t1cap,$Y$43*$Y$12,_xlpm.t2cap,$Y$44*$Y$12,IF(_xlpm.totalCF&lt;=0,$Y$38*_xlpm.totalCF,$Y$40*MIN(MAX(_xlpm.totalCF,0),_xlpm.t1cap)+$Y$41*MAX(MIN(MAX(_xlpm.totalCF,0),_xlpm.t2cap)-_xlpm.t1cap,0)+$Y$42*MAX(MAX(_xlpm.totalCF,0)-_xlpm.t2cap,0)))))</f>
        <v>0</v>
      </c>
      <c r="M98"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$10*(1-$Y$17)-$Y$22),_xlpm.t1cap,$Y$43*$Y$12,_xlpm.t2cap,$Y$44*$Y$12,IF(_xlpm.totalCF&lt;=0,$Y$38*_xlpm.totalCF,$Y$40*MIN(MAX(_xlpm.totalCF,0),_xlpm.t1cap)+$Y$41*MAX(MIN(MAX(_xlpm.totalCF,0),_xlpm.t2cap)-_xlpm.t1cap,0)+$Y$42*MAX(MAX(_xlpm.totalCF,0)-_xlpm.t2cap,0)))))</f>
        <v>0</v>
      </c>
      <c r="N98" s="43">
        <f t="shared" si="104"/>
        <v>0</v>
      </c>
      <c r="O98" s="43">
        <f t="shared" si="104"/>
        <v>0</v>
      </c>
      <c r="P98" t="e">
        <f>_xlfn.LET(_xlpm.sRR,$Y$3*$Y$26,_xlpm.sOR,$Y$13*$Y$5*$Y$6,_xlpm.sOI,$AE$26*_xlpm.sOR,_xlpm.sOD,$Y$20*_xlpm.sRR,_xlpm.sGR,_xlpm.sRR+_xlpm.sOI+_xlpm.sOD,_xlpm.sExp,$Z$26+$AB$26*_xlpm.sRR+($AC$26+$Y$21)*_xlpm.sGR+$AD$26*_xlpm.sOR,_xlpm.opCF,_xlpm.sGR-_xlpm.sExp+$AA$26+$AF$26,_xlpm.opCF)+($Y$3*$Y$26*$K$10*(1-$Y$17)-$AG$26)</f>
        <v>#VALUE!</v>
      </c>
      <c r="Q98" t="e">
        <f t="shared" si="105"/>
        <v>#VALUE!</v>
      </c>
      <c r="R98" t="e">
        <f t="shared" si="106"/>
        <v>#VALUE!</v>
      </c>
      <c r="S98" t="e">
        <f t="shared" si="107"/>
        <v>#VALUE!</v>
      </c>
    </row>
    <row r="99" spans="2:19" hidden="1">
      <c r="B99" s="936" t="s">
        <v>642</v>
      </c>
      <c r="C99" s="936">
        <f t="shared" si="102"/>
        <v>0</v>
      </c>
      <c r="D99" s="936" t="e">
        <f t="shared" si="103"/>
        <v>#VALUE!</v>
      </c>
      <c r="E99"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$11*(1-$Y$17)-$Y$22),_xlpm.t1cap,$Y$43*$Y$12,_xlpm.t2cap,$Y$44*$Y$12,IF(_xlpm.totalCF&lt;=0,$Y$38*_xlpm.totalCF,$Y$40*MIN(MAX(_xlpm.totalCF,0),_xlpm.t1cap)+$Y$41*MAX(MIN(MAX(_xlpm.totalCF,0),_xlpm.t2cap)-_xlpm.t1cap,0)+$Y$42*MAX(MAX(_xlpm.totalCF,0)-_xlpm.t2cap,0)))))</f>
        <v>0</v>
      </c>
      <c r="F99"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$11*(1-$Y$17)-$Y$22),_xlpm.t1cap,$Y$43*$Y$12,_xlpm.t2cap,$Y$44*$Y$12,IF(_xlpm.totalCF&lt;=0,$Y$38*_xlpm.totalCF,$Y$40*MIN(MAX(_xlpm.totalCF,0),_xlpm.t1cap)+$Y$41*MAX(MIN(MAX(_xlpm.totalCF,0),_xlpm.t2cap)-_xlpm.t1cap,0)+$Y$42*MAX(MAX(_xlpm.totalCF,0)-_xlpm.t2cap,0)))))</f>
        <v>0</v>
      </c>
      <c r="G99"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$11*(1-$Y$17)-$Y$22),_xlpm.t1cap,$Y$43*$Y$12,_xlpm.t2cap,$Y$44*$Y$12,IF(_xlpm.totalCF&lt;=0,$Y$38*_xlpm.totalCF,$Y$40*MIN(MAX(_xlpm.totalCF,0),_xlpm.t1cap)+$Y$41*MAX(MIN(MAX(_xlpm.totalCF,0),_xlpm.t2cap)-_xlpm.t1cap,0)+$Y$42*MAX(MAX(_xlpm.totalCF,0)-_xlpm.t2cap,0)))))</f>
        <v>0</v>
      </c>
      <c r="H99"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$11*(1-$Y$17)-$Y$22),_xlpm.t1cap,$Y$43*$Y$12,_xlpm.t2cap,$Y$44*$Y$12,IF(_xlpm.totalCF&lt;=0,$Y$38*_xlpm.totalCF,$Y$40*MIN(MAX(_xlpm.totalCF,0),_xlpm.t1cap)+$Y$41*MAX(MIN(MAX(_xlpm.totalCF,0),_xlpm.t2cap)-_xlpm.t1cap,0)+$Y$42*MAX(MAX(_xlpm.totalCF,0)-_xlpm.t2cap,0)))))</f>
        <v>0</v>
      </c>
      <c r="I99"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$11*(1-$Y$17)-$Y$22),_xlpm.t1cap,$Y$43*$Y$12,_xlpm.t2cap,$Y$44*$Y$12,IF(_xlpm.totalCF&lt;=0,$Y$38*_xlpm.totalCF,$Y$40*MIN(MAX(_xlpm.totalCF,0),_xlpm.t1cap)+$Y$41*MAX(MIN(MAX(_xlpm.totalCF,0),_xlpm.t2cap)-_xlpm.t1cap,0)+$Y$42*MAX(MAX(_xlpm.totalCF,0)-_xlpm.t2cap,0)))))</f>
        <v>0</v>
      </c>
      <c r="J99"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$11*(1-$Y$17)-$Y$22),_xlpm.t1cap,$Y$43*$Y$12,_xlpm.t2cap,$Y$44*$Y$12,IF(_xlpm.totalCF&lt;=0,$Y$38*_xlpm.totalCF,$Y$40*MIN(MAX(_xlpm.totalCF,0),_xlpm.t1cap)+$Y$41*MAX(MIN(MAX(_xlpm.totalCF,0),_xlpm.t2cap)-_xlpm.t1cap,0)+$Y$42*MAX(MAX(_xlpm.totalCF,0)-_xlpm.t2cap,0)))))</f>
        <v>0</v>
      </c>
      <c r="K99"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$11*(1-$Y$17)-$Y$22),_xlpm.t1cap,$Y$43*$Y$12,_xlpm.t2cap,$Y$44*$Y$12,IF(_xlpm.totalCF&lt;=0,$Y$38*_xlpm.totalCF,$Y$40*MIN(MAX(_xlpm.totalCF,0),_xlpm.t1cap)+$Y$41*MAX(MIN(MAX(_xlpm.totalCF,0),_xlpm.t2cap)-_xlpm.t1cap,0)+$Y$42*MAX(MAX(_xlpm.totalCF,0)-_xlpm.t2cap,0)))))</f>
        <v>0</v>
      </c>
      <c r="L99"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$11*(1-$Y$17)-$Y$22),_xlpm.t1cap,$Y$43*$Y$12,_xlpm.t2cap,$Y$44*$Y$12,IF(_xlpm.totalCF&lt;=0,$Y$38*_xlpm.totalCF,$Y$40*MIN(MAX(_xlpm.totalCF,0),_xlpm.t1cap)+$Y$41*MAX(MIN(MAX(_xlpm.totalCF,0),_xlpm.t2cap)-_xlpm.t1cap,0)+$Y$42*MAX(MAX(_xlpm.totalCF,0)-_xlpm.t2cap,0)))))</f>
        <v>0</v>
      </c>
      <c r="M99"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$11*(1-$Y$17)-$Y$22),_xlpm.t1cap,$Y$43*$Y$12,_xlpm.t2cap,$Y$44*$Y$12,IF(_xlpm.totalCF&lt;=0,$Y$38*_xlpm.totalCF,$Y$40*MIN(MAX(_xlpm.totalCF,0),_xlpm.t1cap)+$Y$41*MAX(MIN(MAX(_xlpm.totalCF,0),_xlpm.t2cap)-_xlpm.t1cap,0)+$Y$42*MAX(MAX(_xlpm.totalCF,0)-_xlpm.t2cap,0)))))</f>
        <v>0</v>
      </c>
      <c r="N99" s="43">
        <f t="shared" si="104"/>
        <v>0</v>
      </c>
      <c r="O99" s="43">
        <f t="shared" si="104"/>
        <v>0</v>
      </c>
      <c r="P99" t="e">
        <f>_xlfn.LET(_xlpm.sRR,$Y$3*$Y$26,_xlpm.sOR,$Y$13*$Y$5*$Y$6,_xlpm.sOI,$AE$26*_xlpm.sOR,_xlpm.sOD,$Y$20*_xlpm.sRR,_xlpm.sGR,_xlpm.sRR+_xlpm.sOI+_xlpm.sOD,_xlpm.sExp,$Z$26+$AB$26*_xlpm.sRR+($AC$26+$Y$21)*_xlpm.sGR+$AD$26*_xlpm.sOR,_xlpm.opCF,_xlpm.sGR-_xlpm.sExp+$AA$26+$AF$26,_xlpm.opCF)+($Y$3*$Y$26*$K$11*(1-$Y$17)-$AG$26)</f>
        <v>#VALUE!</v>
      </c>
      <c r="Q99" t="e">
        <f t="shared" si="105"/>
        <v>#VALUE!</v>
      </c>
      <c r="R99" t="e">
        <f t="shared" si="106"/>
        <v>#VALUE!</v>
      </c>
      <c r="S99" t="e">
        <f t="shared" si="107"/>
        <v>#VALUE!</v>
      </c>
    </row>
    <row r="100" spans="2:19" hidden="1">
      <c r="B100" s="936" t="s">
        <v>643</v>
      </c>
      <c r="C100" s="936">
        <f t="shared" si="102"/>
        <v>0</v>
      </c>
      <c r="D100" s="936" t="e">
        <f t="shared" si="103"/>
        <v>#VALUE!</v>
      </c>
      <c r="E100"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$12*(1-$Y$17)-$Y$22),_xlpm.t1cap,$Y$43*$Y$12,_xlpm.t2cap,$Y$44*$Y$12,IF(_xlpm.totalCF&lt;=0,$Y$38*_xlpm.totalCF,$Y$40*MIN(MAX(_xlpm.totalCF,0),_xlpm.t1cap)+$Y$41*MAX(MIN(MAX(_xlpm.totalCF,0),_xlpm.t2cap)-_xlpm.t1cap,0)+$Y$42*MAX(MAX(_xlpm.totalCF,0)-_xlpm.t2cap,0)))))</f>
        <v>0</v>
      </c>
      <c r="F100"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$12*(1-$Y$17)-$Y$22),_xlpm.t1cap,$Y$43*$Y$12,_xlpm.t2cap,$Y$44*$Y$12,IF(_xlpm.totalCF&lt;=0,$Y$38*_xlpm.totalCF,$Y$40*MIN(MAX(_xlpm.totalCF,0),_xlpm.t1cap)+$Y$41*MAX(MIN(MAX(_xlpm.totalCF,0),_xlpm.t2cap)-_xlpm.t1cap,0)+$Y$42*MAX(MAX(_xlpm.totalCF,0)-_xlpm.t2cap,0)))))</f>
        <v>0</v>
      </c>
      <c r="G100"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$12*(1-$Y$17)-$Y$22),_xlpm.t1cap,$Y$43*$Y$12,_xlpm.t2cap,$Y$44*$Y$12,IF(_xlpm.totalCF&lt;=0,$Y$38*_xlpm.totalCF,$Y$40*MIN(MAX(_xlpm.totalCF,0),_xlpm.t1cap)+$Y$41*MAX(MIN(MAX(_xlpm.totalCF,0),_xlpm.t2cap)-_xlpm.t1cap,0)+$Y$42*MAX(MAX(_xlpm.totalCF,0)-_xlpm.t2cap,0)))))</f>
        <v>0</v>
      </c>
      <c r="H100"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$12*(1-$Y$17)-$Y$22),_xlpm.t1cap,$Y$43*$Y$12,_xlpm.t2cap,$Y$44*$Y$12,IF(_xlpm.totalCF&lt;=0,$Y$38*_xlpm.totalCF,$Y$40*MIN(MAX(_xlpm.totalCF,0),_xlpm.t1cap)+$Y$41*MAX(MIN(MAX(_xlpm.totalCF,0),_xlpm.t2cap)-_xlpm.t1cap,0)+$Y$42*MAX(MAX(_xlpm.totalCF,0)-_xlpm.t2cap,0)))))</f>
        <v>0</v>
      </c>
      <c r="I100"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$12*(1-$Y$17)-$Y$22),_xlpm.t1cap,$Y$43*$Y$12,_xlpm.t2cap,$Y$44*$Y$12,IF(_xlpm.totalCF&lt;=0,$Y$38*_xlpm.totalCF,$Y$40*MIN(MAX(_xlpm.totalCF,0),_xlpm.t1cap)+$Y$41*MAX(MIN(MAX(_xlpm.totalCF,0),_xlpm.t2cap)-_xlpm.t1cap,0)+$Y$42*MAX(MAX(_xlpm.totalCF,0)-_xlpm.t2cap,0)))))</f>
        <v>0</v>
      </c>
      <c r="J100"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$12*(1-$Y$17)-$Y$22),_xlpm.t1cap,$Y$43*$Y$12,_xlpm.t2cap,$Y$44*$Y$12,IF(_xlpm.totalCF&lt;=0,$Y$38*_xlpm.totalCF,$Y$40*MIN(MAX(_xlpm.totalCF,0),_xlpm.t1cap)+$Y$41*MAX(MIN(MAX(_xlpm.totalCF,0),_xlpm.t2cap)-_xlpm.t1cap,0)+$Y$42*MAX(MAX(_xlpm.totalCF,0)-_xlpm.t2cap,0)))))</f>
        <v>0</v>
      </c>
      <c r="K100"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$12*(1-$Y$17)-$Y$22),_xlpm.t1cap,$Y$43*$Y$12,_xlpm.t2cap,$Y$44*$Y$12,IF(_xlpm.totalCF&lt;=0,$Y$38*_xlpm.totalCF,$Y$40*MIN(MAX(_xlpm.totalCF,0),_xlpm.t1cap)+$Y$41*MAX(MIN(MAX(_xlpm.totalCF,0),_xlpm.t2cap)-_xlpm.t1cap,0)+$Y$42*MAX(MAX(_xlpm.totalCF,0)-_xlpm.t2cap,0)))))</f>
        <v>0</v>
      </c>
      <c r="L100"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$12*(1-$Y$17)-$Y$22),_xlpm.t1cap,$Y$43*$Y$12,_xlpm.t2cap,$Y$44*$Y$12,IF(_xlpm.totalCF&lt;=0,$Y$38*_xlpm.totalCF,$Y$40*MIN(MAX(_xlpm.totalCF,0),_xlpm.t1cap)+$Y$41*MAX(MIN(MAX(_xlpm.totalCF,0),_xlpm.t2cap)-_xlpm.t1cap,0)+$Y$42*MAX(MAX(_xlpm.totalCF,0)-_xlpm.t2cap,0)))))</f>
        <v>0</v>
      </c>
      <c r="M100"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$12*(1-$Y$17)-$Y$22),_xlpm.t1cap,$Y$43*$Y$12,_xlpm.t2cap,$Y$44*$Y$12,IF(_xlpm.totalCF&lt;=0,$Y$38*_xlpm.totalCF,$Y$40*MIN(MAX(_xlpm.totalCF,0),_xlpm.t1cap)+$Y$41*MAX(MIN(MAX(_xlpm.totalCF,0),_xlpm.t2cap)-_xlpm.t1cap,0)+$Y$42*MAX(MAX(_xlpm.totalCF,0)-_xlpm.t2cap,0)))))</f>
        <v>0</v>
      </c>
      <c r="N100" s="43">
        <f t="shared" si="104"/>
        <v>0</v>
      </c>
      <c r="O100" s="43">
        <f t="shared" si="104"/>
        <v>0</v>
      </c>
      <c r="P100" t="e">
        <f>_xlfn.LET(_xlpm.sRR,$Y$3*$Y$26,_xlpm.sOR,$Y$13*$Y$5*$Y$6,_xlpm.sOI,$AE$26*_xlpm.sOR,_xlpm.sOD,$Y$20*_xlpm.sRR,_xlpm.sGR,_xlpm.sRR+_xlpm.sOI+_xlpm.sOD,_xlpm.sExp,$Z$26+$AB$26*_xlpm.sRR+($AC$26+$Y$21)*_xlpm.sGR+$AD$26*_xlpm.sOR,_xlpm.opCF,_xlpm.sGR-_xlpm.sExp+$AA$26+$AF$26,_xlpm.opCF)+($Y$3*$Y$26*$K$12*(1-$Y$17)-$AG$26)</f>
        <v>#VALUE!</v>
      </c>
      <c r="Q100" t="e">
        <f t="shared" si="105"/>
        <v>#VALUE!</v>
      </c>
      <c r="R100" t="e">
        <f t="shared" si="106"/>
        <v>#VALUE!</v>
      </c>
      <c r="S100" t="e">
        <f t="shared" si="107"/>
        <v>#VALUE!</v>
      </c>
    </row>
    <row r="101" spans="2:19" hidden="1">
      <c r="B101" s="936" t="s">
        <v>644</v>
      </c>
      <c r="C101" s="936">
        <f t="shared" si="102"/>
        <v>0</v>
      </c>
      <c r="D101" s="936" t="e">
        <f t="shared" si="103"/>
        <v>#VALUE!</v>
      </c>
      <c r="E101"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$13*(1-$Y$17)-$Y$22),_xlpm.t1cap,$Y$43*$Y$12,_xlpm.t2cap,$Y$44*$Y$12,IF(_xlpm.totalCF&lt;=0,$Y$38*_xlpm.totalCF,$Y$40*MIN(MAX(_xlpm.totalCF,0),_xlpm.t1cap)+$Y$41*MAX(MIN(MAX(_xlpm.totalCF,0),_xlpm.t2cap)-_xlpm.t1cap,0)+$Y$42*MAX(MAX(_xlpm.totalCF,0)-_xlpm.t2cap,0)))))</f>
        <v>0</v>
      </c>
      <c r="F101"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$13*(1-$Y$17)-$Y$22),_xlpm.t1cap,$Y$43*$Y$12,_xlpm.t2cap,$Y$44*$Y$12,IF(_xlpm.totalCF&lt;=0,$Y$38*_xlpm.totalCF,$Y$40*MIN(MAX(_xlpm.totalCF,0),_xlpm.t1cap)+$Y$41*MAX(MIN(MAX(_xlpm.totalCF,0),_xlpm.t2cap)-_xlpm.t1cap,0)+$Y$42*MAX(MAX(_xlpm.totalCF,0)-_xlpm.t2cap,0)))))</f>
        <v>0</v>
      </c>
      <c r="G101"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$13*(1-$Y$17)-$Y$22),_xlpm.t1cap,$Y$43*$Y$12,_xlpm.t2cap,$Y$44*$Y$12,IF(_xlpm.totalCF&lt;=0,$Y$38*_xlpm.totalCF,$Y$40*MIN(MAX(_xlpm.totalCF,0),_xlpm.t1cap)+$Y$41*MAX(MIN(MAX(_xlpm.totalCF,0),_xlpm.t2cap)-_xlpm.t1cap,0)+$Y$42*MAX(MAX(_xlpm.totalCF,0)-_xlpm.t2cap,0)))))</f>
        <v>0</v>
      </c>
      <c r="H101"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$13*(1-$Y$17)-$Y$22),_xlpm.t1cap,$Y$43*$Y$12,_xlpm.t2cap,$Y$44*$Y$12,IF(_xlpm.totalCF&lt;=0,$Y$38*_xlpm.totalCF,$Y$40*MIN(MAX(_xlpm.totalCF,0),_xlpm.t1cap)+$Y$41*MAX(MIN(MAX(_xlpm.totalCF,0),_xlpm.t2cap)-_xlpm.t1cap,0)+$Y$42*MAX(MAX(_xlpm.totalCF,0)-_xlpm.t2cap,0)))))</f>
        <v>0</v>
      </c>
      <c r="I101"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$13*(1-$Y$17)-$Y$22),_xlpm.t1cap,$Y$43*$Y$12,_xlpm.t2cap,$Y$44*$Y$12,IF(_xlpm.totalCF&lt;=0,$Y$38*_xlpm.totalCF,$Y$40*MIN(MAX(_xlpm.totalCF,0),_xlpm.t1cap)+$Y$41*MAX(MIN(MAX(_xlpm.totalCF,0),_xlpm.t2cap)-_xlpm.t1cap,0)+$Y$42*MAX(MAX(_xlpm.totalCF,0)-_xlpm.t2cap,0)))))</f>
        <v>0</v>
      </c>
      <c r="J101"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$13*(1-$Y$17)-$Y$22),_xlpm.t1cap,$Y$43*$Y$12,_xlpm.t2cap,$Y$44*$Y$12,IF(_xlpm.totalCF&lt;=0,$Y$38*_xlpm.totalCF,$Y$40*MIN(MAX(_xlpm.totalCF,0),_xlpm.t1cap)+$Y$41*MAX(MIN(MAX(_xlpm.totalCF,0),_xlpm.t2cap)-_xlpm.t1cap,0)+$Y$42*MAX(MAX(_xlpm.totalCF,0)-_xlpm.t2cap,0)))))</f>
        <v>0</v>
      </c>
      <c r="K101"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$13*(1-$Y$17)-$Y$22),_xlpm.t1cap,$Y$43*$Y$12,_xlpm.t2cap,$Y$44*$Y$12,IF(_xlpm.totalCF&lt;=0,$Y$38*_xlpm.totalCF,$Y$40*MIN(MAX(_xlpm.totalCF,0),_xlpm.t1cap)+$Y$41*MAX(MIN(MAX(_xlpm.totalCF,0),_xlpm.t2cap)-_xlpm.t1cap,0)+$Y$42*MAX(MAX(_xlpm.totalCF,0)-_xlpm.t2cap,0)))))</f>
        <v>0</v>
      </c>
      <c r="L101"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$13*(1-$Y$17)-$Y$22),_xlpm.t1cap,$Y$43*$Y$12,_xlpm.t2cap,$Y$44*$Y$12,IF(_xlpm.totalCF&lt;=0,$Y$38*_xlpm.totalCF,$Y$40*MIN(MAX(_xlpm.totalCF,0),_xlpm.t1cap)+$Y$41*MAX(MIN(MAX(_xlpm.totalCF,0),_xlpm.t2cap)-_xlpm.t1cap,0)+$Y$42*MAX(MAX(_xlpm.totalCF,0)-_xlpm.t2cap,0)))))</f>
        <v>0</v>
      </c>
      <c r="M101"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$13*(1-$Y$17)-$Y$22),_xlpm.t1cap,$Y$43*$Y$12,_xlpm.t2cap,$Y$44*$Y$12,IF(_xlpm.totalCF&lt;=0,$Y$38*_xlpm.totalCF,$Y$40*MIN(MAX(_xlpm.totalCF,0),_xlpm.t1cap)+$Y$41*MAX(MIN(MAX(_xlpm.totalCF,0),_xlpm.t2cap)-_xlpm.t1cap,0)+$Y$42*MAX(MAX(_xlpm.totalCF,0)-_xlpm.t2cap,0)))))</f>
        <v>0</v>
      </c>
      <c r="N101" s="43">
        <f t="shared" si="104"/>
        <v>0</v>
      </c>
      <c r="O101" s="43">
        <f t="shared" si="104"/>
        <v>0</v>
      </c>
      <c r="P101" t="e">
        <f>_xlfn.LET(_xlpm.sRR,$Y$3*$Y$26,_xlpm.sOR,$Y$13*$Y$5*$Y$6,_xlpm.sOI,$AE$26*_xlpm.sOR,_xlpm.sOD,$Y$20*_xlpm.sRR,_xlpm.sGR,_xlpm.sRR+_xlpm.sOI+_xlpm.sOD,_xlpm.sExp,$Z$26+$AB$26*_xlpm.sRR+($AC$26+$Y$21)*_xlpm.sGR+$AD$26*_xlpm.sOR,_xlpm.opCF,_xlpm.sGR-_xlpm.sExp+$AA$26+$AF$26,_xlpm.opCF)+($Y$3*$Y$26*$K$13*(1-$Y$17)-$AG$26)</f>
        <v>#VALUE!</v>
      </c>
      <c r="Q101" t="e">
        <f t="shared" si="105"/>
        <v>#VALUE!</v>
      </c>
      <c r="R101" t="e">
        <f t="shared" si="106"/>
        <v>#VALUE!</v>
      </c>
      <c r="S101" t="e">
        <f t="shared" si="107"/>
        <v>#VALUE!</v>
      </c>
    </row>
    <row r="102" spans="2:19" hidden="1">
      <c r="B102" s="936" t="s">
        <v>645</v>
      </c>
      <c r="C102" s="936">
        <f t="shared" si="102"/>
        <v>0</v>
      </c>
      <c r="D102" s="936" t="e">
        <f t="shared" si="103"/>
        <v>#VALUE!</v>
      </c>
      <c r="E102" s="936">
        <f>IF(2&gt;L$18,0,IF(2&lt;L$18,$Y$40*_xlfn.LET(_xlpm.sRR,$Y$3*$Y$27,_xlpm.sOR,$Y$13*$Y$5*$Y$6,_xlpm.sOI,$AE$27*_xlpm.sOR,_xlpm.sOD,$Y$20*_xlpm.sRR,_xlpm.sGR,_xlpm.sRR+_xlpm.sOI+_xlpm.sOD,_xlpm.sExp,$Z$27+$AB$27*_xlpm.sRR+($AC$27+$Y$21)*_xlpm.sGR+$AD$27*_xlpm.sOR,_xlpm.sGR-_xlpm.sExp+$AA$27+$AF$27),_xlfn.LET(_xlpm.sRR,$Y$3*$Y$27,_xlpm.sOR,$Y$13*$Y$5*$Y$6,_xlpm.sOI,$AE$27*_xlpm.sOR,_xlpm.sOD,$Y$20*_xlpm.sRR,_xlpm.sGR,_xlpm.sRR+_xlpm.sOI+_xlpm.sOD,_xlpm.sExp,$Z$27+$AB$27*_xlpm.sRR+($AC$27+$Y$21)*_xlpm.sGR+$AD$27*_xlpm.sOR,_xlpm.opCF,_xlpm.sGR-_xlpm.sExp+$AA$27+$AF$27,_xlpm.totalCF,_xlpm.opCF+($Y$3*$K$14*(1-$Y$17)-$Y$22),_xlpm.t1cap,$Y$43*$Y$12,_xlpm.t2cap,$Y$44*$Y$12,IF(_xlpm.totalCF&lt;=0,$Y$38*_xlpm.totalCF,$Y$40*MIN(MAX(_xlpm.totalCF,0),_xlpm.t1cap)+$Y$41*MAX(MIN(MAX(_xlpm.totalCF,0),_xlpm.t2cap)-_xlpm.t1cap,0)+$Y$42*MAX(MAX(_xlpm.totalCF,0)-_xlpm.t2cap,0)))))</f>
        <v>0</v>
      </c>
      <c r="F102" s="936">
        <f>IF(3&gt;L$18,0,IF(3&lt;L$18,$Y$40*_xlfn.LET(_xlpm.sRR,$Y$3*$Y$28,_xlpm.sOR,$Y$13*$Y$5*$Y$6,_xlpm.sOI,$AE$28*_xlpm.sOR,_xlpm.sOD,$Y$20*_xlpm.sRR,_xlpm.sGR,_xlpm.sRR+_xlpm.sOI+_xlpm.sOD,_xlpm.sExp,$Z$28+$AB$28*_xlpm.sRR+($AC$28+$Y$21)*_xlpm.sGR+$AD$28*_xlpm.sOR,_xlpm.sGR-_xlpm.sExp+$AA$28+$AF$28),_xlfn.LET(_xlpm.sRR,$Y$3*$Y$28,_xlpm.sOR,$Y$13*$Y$5*$Y$6,_xlpm.sOI,$AE$28*_xlpm.sOR,_xlpm.sOD,$Y$20*_xlpm.sRR,_xlpm.sGR,_xlpm.sRR+_xlpm.sOI+_xlpm.sOD,_xlpm.sExp,$Z$28+$AB$28*_xlpm.sRR+($AC$28+$Y$21)*_xlpm.sGR+$AD$28*_xlpm.sOR,_xlpm.opCF,_xlpm.sGR-_xlpm.sExp+$AA$28+$AF$28,_xlpm.totalCF,_xlpm.opCF+($Y$3*$K$14*(1-$Y$17)-$Y$22),_xlpm.t1cap,$Y$43*$Y$12,_xlpm.t2cap,$Y$44*$Y$12,IF(_xlpm.totalCF&lt;=0,$Y$38*_xlpm.totalCF,$Y$40*MIN(MAX(_xlpm.totalCF,0),_xlpm.t1cap)+$Y$41*MAX(MIN(MAX(_xlpm.totalCF,0),_xlpm.t2cap)-_xlpm.t1cap,0)+$Y$42*MAX(MAX(_xlpm.totalCF,0)-_xlpm.t2cap,0)))))</f>
        <v>0</v>
      </c>
      <c r="G102" s="936">
        <f>IF(4&gt;L$18,0,IF(4&lt;L$18,$Y$40*_xlfn.LET(_xlpm.sRR,$Y$3*$Y$29,_xlpm.sOR,$Y$13*$Y$5*$Y$6,_xlpm.sOI,$AE$29*_xlpm.sOR,_xlpm.sOD,$Y$20*_xlpm.sRR,_xlpm.sGR,_xlpm.sRR+_xlpm.sOI+_xlpm.sOD,_xlpm.sExp,$Z$29+$AB$29*_xlpm.sRR+($AC$29+$Y$21)*_xlpm.sGR+$AD$29*_xlpm.sOR,_xlpm.sGR-_xlpm.sExp+$AA$29+$AF$29),_xlfn.LET(_xlpm.sRR,$Y$3*$Y$29,_xlpm.sOR,$Y$13*$Y$5*$Y$6,_xlpm.sOI,$AE$29*_xlpm.sOR,_xlpm.sOD,$Y$20*_xlpm.sRR,_xlpm.sGR,_xlpm.sRR+_xlpm.sOI+_xlpm.sOD,_xlpm.sExp,$Z$29+$AB$29*_xlpm.sRR+($AC$29+$Y$21)*_xlpm.sGR+$AD$29*_xlpm.sOR,_xlpm.opCF,_xlpm.sGR-_xlpm.sExp+$AA$29+$AF$29,_xlpm.totalCF,_xlpm.opCF+($Y$3*$K$14*(1-$Y$17)-$Y$22),_xlpm.t1cap,$Y$43*$Y$12,_xlpm.t2cap,$Y$44*$Y$12,IF(_xlpm.totalCF&lt;=0,$Y$38*_xlpm.totalCF,$Y$40*MIN(MAX(_xlpm.totalCF,0),_xlpm.t1cap)+$Y$41*MAX(MIN(MAX(_xlpm.totalCF,0),_xlpm.t2cap)-_xlpm.t1cap,0)+$Y$42*MAX(MAX(_xlpm.totalCF,0)-_xlpm.t2cap,0)))))</f>
        <v>0</v>
      </c>
      <c r="H102" s="936">
        <f>IF(5&gt;L$18,0,IF(5&lt;L$18,$Y$40*_xlfn.LET(_xlpm.sRR,$Y$3*$Y$30,_xlpm.sOR,$Y$13*$Y$5*$Y$6,_xlpm.sOI,$AE$30*_xlpm.sOR,_xlpm.sOD,$Y$20*_xlpm.sRR,_xlpm.sGR,_xlpm.sRR+_xlpm.sOI+_xlpm.sOD,_xlpm.sExp,$Z$30+$AB$30*_xlpm.sRR+($AC$30+$Y$21)*_xlpm.sGR+$AD$30*_xlpm.sOR,_xlpm.sGR-_xlpm.sExp+$AA$30+$AF$30),_xlfn.LET(_xlpm.sRR,$Y$3*$Y$30,_xlpm.sOR,$Y$13*$Y$5*$Y$6,_xlpm.sOI,$AE$30*_xlpm.sOR,_xlpm.sOD,$Y$20*_xlpm.sRR,_xlpm.sGR,_xlpm.sRR+_xlpm.sOI+_xlpm.sOD,_xlpm.sExp,$Z$30+$AB$30*_xlpm.sRR+($AC$30+$Y$21)*_xlpm.sGR+$AD$30*_xlpm.sOR,_xlpm.opCF,_xlpm.sGR-_xlpm.sExp+$AA$30+$AF$30,_xlpm.totalCF,_xlpm.opCF+($Y$3*$K$14*(1-$Y$17)-$Y$22),_xlpm.t1cap,$Y$43*$Y$12,_xlpm.t2cap,$Y$44*$Y$12,IF(_xlpm.totalCF&lt;=0,$Y$38*_xlpm.totalCF,$Y$40*MIN(MAX(_xlpm.totalCF,0),_xlpm.t1cap)+$Y$41*MAX(MIN(MAX(_xlpm.totalCF,0),_xlpm.t2cap)-_xlpm.t1cap,0)+$Y$42*MAX(MAX(_xlpm.totalCF,0)-_xlpm.t2cap,0)))))</f>
        <v>0</v>
      </c>
      <c r="I102" s="936">
        <f>IF(6&gt;L$18,0,IF(6&lt;L$18,$Y$40*_xlfn.LET(_xlpm.sRR,$Y$3*$Y$31,_xlpm.sOR,$Y$13*$Y$5*$Y$6,_xlpm.sOI,$AE$31*_xlpm.sOR,_xlpm.sOD,$Y$20*_xlpm.sRR,_xlpm.sGR,_xlpm.sRR+_xlpm.sOI+_xlpm.sOD,_xlpm.sExp,$Z$31+$AB$31*_xlpm.sRR+($AC$31+$Y$21)*_xlpm.sGR+$AD$31*_xlpm.sOR,_xlpm.sGR-_xlpm.sExp+$AA$31+$AF$31),_xlfn.LET(_xlpm.sRR,$Y$3*$Y$31,_xlpm.sOR,$Y$13*$Y$5*$Y$6,_xlpm.sOI,$AE$31*_xlpm.sOR,_xlpm.sOD,$Y$20*_xlpm.sRR,_xlpm.sGR,_xlpm.sRR+_xlpm.sOI+_xlpm.sOD,_xlpm.sExp,$Z$31+$AB$31*_xlpm.sRR+($AC$31+$Y$21)*_xlpm.sGR+$AD$31*_xlpm.sOR,_xlpm.opCF,_xlpm.sGR-_xlpm.sExp+$AA$31+$AF$31,_xlpm.totalCF,_xlpm.opCF+($Y$3*$K$14*(1-$Y$17)-$Y$22),_xlpm.t1cap,$Y$43*$Y$12,_xlpm.t2cap,$Y$44*$Y$12,IF(_xlpm.totalCF&lt;=0,$Y$38*_xlpm.totalCF,$Y$40*MIN(MAX(_xlpm.totalCF,0),_xlpm.t1cap)+$Y$41*MAX(MIN(MAX(_xlpm.totalCF,0),_xlpm.t2cap)-_xlpm.t1cap,0)+$Y$42*MAX(MAX(_xlpm.totalCF,0)-_xlpm.t2cap,0)))))</f>
        <v>0</v>
      </c>
      <c r="J102" s="936">
        <f>IF(7&gt;L$18,0,IF(7&lt;L$18,$Y$40*_xlfn.LET(_xlpm.sRR,$Y$3*$Y$32,_xlpm.sOR,$Y$13*$Y$5*$Y$6,_xlpm.sOI,$AE$32*_xlpm.sOR,_xlpm.sOD,$Y$20*_xlpm.sRR,_xlpm.sGR,_xlpm.sRR+_xlpm.sOI+_xlpm.sOD,_xlpm.sExp,$Z$32+$AB$32*_xlpm.sRR+($AC$32+$Y$21)*_xlpm.sGR+$AD$32*_xlpm.sOR,_xlpm.sGR-_xlpm.sExp+$AA$32+$AF$32),_xlfn.LET(_xlpm.sRR,$Y$3*$Y$32,_xlpm.sOR,$Y$13*$Y$5*$Y$6,_xlpm.sOI,$AE$32*_xlpm.sOR,_xlpm.sOD,$Y$20*_xlpm.sRR,_xlpm.sGR,_xlpm.sRR+_xlpm.sOI+_xlpm.sOD,_xlpm.sExp,$Z$32+$AB$32*_xlpm.sRR+($AC$32+$Y$21)*_xlpm.sGR+$AD$32*_xlpm.sOR,_xlpm.opCF,_xlpm.sGR-_xlpm.sExp+$AA$32+$AF$32,_xlpm.totalCF,_xlpm.opCF+($Y$3*$K$14*(1-$Y$17)-$Y$22),_xlpm.t1cap,$Y$43*$Y$12,_xlpm.t2cap,$Y$44*$Y$12,IF(_xlpm.totalCF&lt;=0,$Y$38*_xlpm.totalCF,$Y$40*MIN(MAX(_xlpm.totalCF,0),_xlpm.t1cap)+$Y$41*MAX(MIN(MAX(_xlpm.totalCF,0),_xlpm.t2cap)-_xlpm.t1cap,0)+$Y$42*MAX(MAX(_xlpm.totalCF,0)-_xlpm.t2cap,0)))))</f>
        <v>0</v>
      </c>
      <c r="K102" s="936">
        <f>IF(8&gt;L$18,0,IF(8&lt;L$18,$Y$40*_xlfn.LET(_xlpm.sRR,$Y$3*$Y$33,_xlpm.sOR,$Y$13*$Y$5*$Y$6,_xlpm.sOI,$AE$33*_xlpm.sOR,_xlpm.sOD,$Y$20*_xlpm.sRR,_xlpm.sGR,_xlpm.sRR+_xlpm.sOI+_xlpm.sOD,_xlpm.sExp,$Z$33+$AB$33*_xlpm.sRR+($AC$33+$Y$21)*_xlpm.sGR+$AD$33*_xlpm.sOR,_xlpm.sGR-_xlpm.sExp+$AA$33+$AF$33),_xlfn.LET(_xlpm.sRR,$Y$3*$Y$33,_xlpm.sOR,$Y$13*$Y$5*$Y$6,_xlpm.sOI,$AE$33*_xlpm.sOR,_xlpm.sOD,$Y$20*_xlpm.sRR,_xlpm.sGR,_xlpm.sRR+_xlpm.sOI+_xlpm.sOD,_xlpm.sExp,$Z$33+$AB$33*_xlpm.sRR+($AC$33+$Y$21)*_xlpm.sGR+$AD$33*_xlpm.sOR,_xlpm.opCF,_xlpm.sGR-_xlpm.sExp+$AA$33+$AF$33,_xlpm.totalCF,_xlpm.opCF+($Y$3*$K$14*(1-$Y$17)-$Y$22),_xlpm.t1cap,$Y$43*$Y$12,_xlpm.t2cap,$Y$44*$Y$12,IF(_xlpm.totalCF&lt;=0,$Y$38*_xlpm.totalCF,$Y$40*MIN(MAX(_xlpm.totalCF,0),_xlpm.t1cap)+$Y$41*MAX(MIN(MAX(_xlpm.totalCF,0),_xlpm.t2cap)-_xlpm.t1cap,0)+$Y$42*MAX(MAX(_xlpm.totalCF,0)-_xlpm.t2cap,0)))))</f>
        <v>0</v>
      </c>
      <c r="L102" s="936">
        <f>IF(9&gt;L$18,0,IF(9&lt;L$18,$Y$40*_xlfn.LET(_xlpm.sRR,$Y$3*$Y$34,_xlpm.sOR,$Y$13*$Y$5*$Y$6,_xlpm.sOI,$AE$34*_xlpm.sOR,_xlpm.sOD,$Y$20*_xlpm.sRR,_xlpm.sGR,_xlpm.sRR+_xlpm.sOI+_xlpm.sOD,_xlpm.sExp,$Z$34+$AB$34*_xlpm.sRR+($AC$34+$Y$21)*_xlpm.sGR+$AD$34*_xlpm.sOR,_xlpm.sGR-_xlpm.sExp+$AA$34+$AF$34),_xlfn.LET(_xlpm.sRR,$Y$3*$Y$34,_xlpm.sOR,$Y$13*$Y$5*$Y$6,_xlpm.sOI,$AE$34*_xlpm.sOR,_xlpm.sOD,$Y$20*_xlpm.sRR,_xlpm.sGR,_xlpm.sRR+_xlpm.sOI+_xlpm.sOD,_xlpm.sExp,$Z$34+$AB$34*_xlpm.sRR+($AC$34+$Y$21)*_xlpm.sGR+$AD$34*_xlpm.sOR,_xlpm.opCF,_xlpm.sGR-_xlpm.sExp+$AA$34+$AF$34,_xlpm.totalCF,_xlpm.opCF+($Y$3*$K$14*(1-$Y$17)-$Y$22),_xlpm.t1cap,$Y$43*$Y$12,_xlpm.t2cap,$Y$44*$Y$12,IF(_xlpm.totalCF&lt;=0,$Y$38*_xlpm.totalCF,$Y$40*MIN(MAX(_xlpm.totalCF,0),_xlpm.t1cap)+$Y$41*MAX(MIN(MAX(_xlpm.totalCF,0),_xlpm.t2cap)-_xlpm.t1cap,0)+$Y$42*MAX(MAX(_xlpm.totalCF,0)-_xlpm.t2cap,0)))))</f>
        <v>0</v>
      </c>
      <c r="M102" s="936">
        <f>IF(10&gt;L$18,0,IF(10&lt;L$18,$Y$40*_xlfn.LET(_xlpm.sRR,$Y$3*$Y$35,_xlpm.sOR,$Y$13*$Y$5*$Y$6,_xlpm.sOI,$AE$35*_xlpm.sOR,_xlpm.sOD,$Y$20*_xlpm.sRR,_xlpm.sGR,_xlpm.sRR+_xlpm.sOI+_xlpm.sOD,_xlpm.sExp,$Z$35+$AB$35*_xlpm.sRR+($AC$35+$Y$21)*_xlpm.sGR+$AD$35*_xlpm.sOR,_xlpm.sGR-_xlpm.sExp+$AA$35+$AF$35),_xlfn.LET(_xlpm.sRR,$Y$3*$Y$35,_xlpm.sOR,$Y$13*$Y$5*$Y$6,_xlpm.sOI,$AE$35*_xlpm.sOR,_xlpm.sOD,$Y$20*_xlpm.sRR,_xlpm.sGR,_xlpm.sRR+_xlpm.sOI+_xlpm.sOD,_xlpm.sExp,$Z$35+$AB$35*_xlpm.sRR+($AC$35+$Y$21)*_xlpm.sGR+$AD$35*_xlpm.sOR,_xlpm.opCF,_xlpm.sGR-_xlpm.sExp+$AA$35+$AF$35,_xlpm.totalCF,_xlpm.opCF+($Y$3*$K$14*(1-$Y$17)-$Y$22),_xlpm.t1cap,$Y$43*$Y$12,_xlpm.t2cap,$Y$44*$Y$12,IF(_xlpm.totalCF&lt;=0,$Y$38*_xlpm.totalCF,$Y$40*MIN(MAX(_xlpm.totalCF,0),_xlpm.t1cap)+$Y$41*MAX(MIN(MAX(_xlpm.totalCF,0),_xlpm.t2cap)-_xlpm.t1cap,0)+$Y$42*MAX(MAX(_xlpm.totalCF,0)-_xlpm.t2cap,0)))))</f>
        <v>0</v>
      </c>
      <c r="N102" s="43">
        <f t="shared" si="104"/>
        <v>0</v>
      </c>
      <c r="O102" s="43">
        <f t="shared" si="104"/>
        <v>0</v>
      </c>
      <c r="P102" t="e">
        <f>_xlfn.LET(_xlpm.sRR,$Y$3*$Y$26,_xlpm.sOR,$Y$13*$Y$5*$Y$6,_xlpm.sOI,$AE$26*_xlpm.sOR,_xlpm.sOD,$Y$20*_xlpm.sRR,_xlpm.sGR,_xlpm.sRR+_xlpm.sOI+_xlpm.sOD,_xlpm.sExp,$Z$26+$AB$26*_xlpm.sRR+($AC$26+$Y$21)*_xlpm.sGR+$AD$26*_xlpm.sOR,_xlpm.opCF,_xlpm.sGR-_xlpm.sExp+$AA$26+$AF$26,_xlpm.opCF)+($Y$3*$Y$26*$K$14*(1-$Y$17)-$AG$26)</f>
        <v>#VALUE!</v>
      </c>
      <c r="Q102" t="e">
        <f t="shared" si="105"/>
        <v>#VALUE!</v>
      </c>
      <c r="R102" t="e">
        <f t="shared" si="106"/>
        <v>#VALUE!</v>
      </c>
      <c r="S102" t="e">
        <f t="shared" si="107"/>
        <v>#VALUE!</v>
      </c>
    </row>
    <row r="103" spans="2:19" hidden="1">
      <c r="B103" s="936" t="s">
        <v>646</v>
      </c>
      <c r="C103" s="936">
        <f t="shared" si="102"/>
        <v>0</v>
      </c>
      <c r="D103" s="936" t="e">
        <f t="shared" ref="D103:D109" si="108">IF(1&gt;M$18,0,IF(1&lt;M$18,$Y$40*_xlfn.LET(_xlpm.sRR,$Y$3*$Y$26,_xlpm.sOR,$Y$13*$Y$5*$Y$6,_xlpm.sOI,$AE$26*_xlpm.sOR,_xlpm.sOD,$Y$20*_xlpm.sRR,_xlpm.sGR,_xlpm.sRR+_xlpm.sOI+_xlpm.sOD,_xlpm.sExp,$Z$26+$AB$26*_xlpm.sRR+($AC$26+$Y$21)*_xlpm.sGR+$AD$26*_xlpm.sOR,_xlpm.sGR-_xlpm.sExp+$AA$26+$AF$26),IF(P103&lt;=0,$Y$38*P103,Q103+R103+S103)))</f>
        <v>#VALUE!</v>
      </c>
      <c r="E103" s="936" t="e">
        <f t="shared" ref="E103:E109" si="109">IF(2&gt;M$18,0,IF(2&lt;M$18,$Y$40*_xlfn.LET(_xlpm.sRR,$Y$3*$Y$27,_xlpm.sOR,$Y$13*$Y$5*$Y$6,_xlpm.sOI,$AE$27*_xlpm.sOR,_xlpm.sOD,$Y$20*_xlpm.sRR,_xlpm.sGR,_xlpm.sRR+_xlpm.sOI+_xlpm.sOD,_xlpm.sExp,$Z$27+$AB$27*_xlpm.sRR+($AC$27+$Y$21)*_xlpm.sGR+$AD$27*_xlpm.sOR,_xlpm.sGR-_xlpm.sExp+$AA$27+$AF$27),IF(P103&lt;=0,$Y$38*P103,Q103+R103+S103)))</f>
        <v>#VALUE!</v>
      </c>
      <c r="F103" s="936">
        <f t="shared" ref="F103:F109" si="110">IF(3&gt;M$18,0,IF(3&lt;M$18,$Y$40*_xlfn.LET(_xlpm.sRR,$Y$3*$Y$28,_xlpm.sOR,$Y$13*$Y$5*$Y$6,_xlpm.sOI,$AE$28*_xlpm.sOR,_xlpm.sOD,$Y$20*_xlpm.sRR,_xlpm.sGR,_xlpm.sRR+_xlpm.sOI+_xlpm.sOD,_xlpm.sExp,$Z$28+$AB$28*_xlpm.sRR+($AC$28+$Y$21)*_xlpm.sGR+$AD$28*_xlpm.sOR,_xlpm.sGR-_xlpm.sExp+$AA$28+$AF$28),IF(P103&lt;=0,$Y$38*P103,Q103+R103+S103)))</f>
        <v>0</v>
      </c>
      <c r="G103" s="936">
        <f t="shared" ref="G103:G109" si="111">IF(4&gt;M$18,0,IF(4&lt;M$18,$Y$40*_xlfn.LET(_xlpm.sRR,$Y$3*$Y$29,_xlpm.sOR,$Y$13*$Y$5*$Y$6,_xlpm.sOI,$AE$29*_xlpm.sOR,_xlpm.sOD,$Y$20*_xlpm.sRR,_xlpm.sGR,_xlpm.sRR+_xlpm.sOI+_xlpm.sOD,_xlpm.sExp,$Z$29+$AB$29*_xlpm.sRR+($AC$29+$Y$21)*_xlpm.sGR+$AD$29*_xlpm.sOR,_xlpm.sGR-_xlpm.sExp+$AA$29+$AF$29),IF(P103&lt;=0,$Y$38*P103,Q103+R103+S103)))</f>
        <v>0</v>
      </c>
      <c r="H103" s="936">
        <f t="shared" ref="H103:H109" si="112">IF(5&gt;M$18,0,IF(5&lt;M$18,$Y$40*_xlfn.LET(_xlpm.sRR,$Y$3*$Y$30,_xlpm.sOR,$Y$13*$Y$5*$Y$6,_xlpm.sOI,$AE$30*_xlpm.sOR,_xlpm.sOD,$Y$20*_xlpm.sRR,_xlpm.sGR,_xlpm.sRR+_xlpm.sOI+_xlpm.sOD,_xlpm.sExp,$Z$30+$AB$30*_xlpm.sRR+($AC$30+$Y$21)*_xlpm.sGR+$AD$30*_xlpm.sOR,_xlpm.sGR-_xlpm.sExp+$AA$30+$AF$30),IF(P103&lt;=0,$Y$38*P103,Q103+R103+S103)))</f>
        <v>0</v>
      </c>
      <c r="I103" s="936">
        <f t="shared" ref="I103:I109" si="113">IF(6&gt;M$18,0,IF(6&lt;M$18,$Y$40*_xlfn.LET(_xlpm.sRR,$Y$3*$Y$31,_xlpm.sOR,$Y$13*$Y$5*$Y$6,_xlpm.sOI,$AE$31*_xlpm.sOR,_xlpm.sOD,$Y$20*_xlpm.sRR,_xlpm.sGR,_xlpm.sRR+_xlpm.sOI+_xlpm.sOD,_xlpm.sExp,$Z$31+$AB$31*_xlpm.sRR+($AC$31+$Y$21)*_xlpm.sGR+$AD$31*_xlpm.sOR,_xlpm.sGR-_xlpm.sExp+$AA$31+$AF$31),IF(P103&lt;=0,$Y$38*P103,Q103+R103+S103)))</f>
        <v>0</v>
      </c>
      <c r="J103" s="936">
        <f t="shared" ref="J103:J109" si="114">IF(7&gt;M$18,0,IF(7&lt;M$18,$Y$40*_xlfn.LET(_xlpm.sRR,$Y$3*$Y$32,_xlpm.sOR,$Y$13*$Y$5*$Y$6,_xlpm.sOI,$AE$32*_xlpm.sOR,_xlpm.sOD,$Y$20*_xlpm.sRR,_xlpm.sGR,_xlpm.sRR+_xlpm.sOI+_xlpm.sOD,_xlpm.sExp,$Z$32+$AB$32*_xlpm.sRR+($AC$32+$Y$21)*_xlpm.sGR+$AD$32*_xlpm.sOR,_xlpm.sGR-_xlpm.sExp+$AA$32+$AF$32),IF(P103&lt;=0,$Y$38*P103,Q103+R103+S103)))</f>
        <v>0</v>
      </c>
      <c r="K103" s="936">
        <f t="shared" ref="K103:K109" si="115">IF(8&gt;M$18,0,IF(8&lt;M$18,$Y$40*_xlfn.LET(_xlpm.sRR,$Y$3*$Y$33,_xlpm.sOR,$Y$13*$Y$5*$Y$6,_xlpm.sOI,$AE$33*_xlpm.sOR,_xlpm.sOD,$Y$20*_xlpm.sRR,_xlpm.sGR,_xlpm.sRR+_xlpm.sOI+_xlpm.sOD,_xlpm.sExp,$Z$33+$AB$33*_xlpm.sRR+($AC$33+$Y$21)*_xlpm.sGR+$AD$33*_xlpm.sOR,_xlpm.sGR-_xlpm.sExp+$AA$33+$AF$33),IF(P103&lt;=0,$Y$38*P103,Q103+R103+S103)))</f>
        <v>0</v>
      </c>
      <c r="L103" s="936">
        <f t="shared" ref="L103:L109" si="116">IF(9&gt;M$18,0,IF(9&lt;M$18,$Y$40*_xlfn.LET(_xlpm.sRR,$Y$3*$Y$34,_xlpm.sOR,$Y$13*$Y$5*$Y$6,_xlpm.sOI,$AE$34*_xlpm.sOR,_xlpm.sOD,$Y$20*_xlpm.sRR,_xlpm.sGR,_xlpm.sRR+_xlpm.sOI+_xlpm.sOD,_xlpm.sExp,$Z$34+$AB$34*_xlpm.sRR+($AC$34+$Y$21)*_xlpm.sGR+$AD$34*_xlpm.sOR,_xlpm.sGR-_xlpm.sExp+$AA$34+$AF$34),IF(P103&lt;=0,$Y$38*P103,Q103+R103+S103)))</f>
        <v>0</v>
      </c>
      <c r="M103" s="936">
        <f t="shared" ref="M103:M109" si="117">IF(10&gt;M$18,0,IF(10&lt;M$18,$Y$40*_xlfn.LET(_xlpm.sRR,$Y$3*$Y$35,_xlpm.sOR,$Y$13*$Y$5*$Y$6,_xlpm.sOI,$AE$35*_xlpm.sOR,_xlpm.sOD,$Y$20*_xlpm.sRR,_xlpm.sGR,_xlpm.sRR+_xlpm.sOI+_xlpm.sOD,_xlpm.sExp,$Z$35+$AB$35*_xlpm.sRR+($AC$35+$Y$21)*_xlpm.sGR+$AD$35*_xlpm.sOR,_xlpm.sGR-_xlpm.sExp+$AA$35+$AF$35),IF(P103&lt;=0,$Y$38*P103,Q103+R103+S103)))</f>
        <v>0</v>
      </c>
      <c r="N103" t="e" cm="1">
        <f t="array" ref="N103">$Y$39*(1+$Y$46)^(2-1)-SUMPRODUCT(D103:D103,(1+$Y$46)^_xlfn.SEQUENCE(1,2-1,2-2,-1))</f>
        <v>#VALUE!</v>
      </c>
      <c r="O103" t="e" cm="1">
        <f t="array" ref="O103">$Y$39*(1+$Y$47)^(2-1)-SUMPRODUCT(D103:D103,(1+$Y$47)^_xlfn.SEQUENCE(1,2-1,2-2,-1))</f>
        <v>#VALUE!</v>
      </c>
      <c r="P103" t="e">
        <f>_xlfn.LET(_xlpm.sRR,$Y$3*$Y$27,_xlpm.sOR,$Y$13*$Y$5*$Y$6,_xlpm.sOI,$AE$27*_xlpm.sOR,_xlpm.sOD,$Y$20*_xlpm.sRR,_xlpm.sGR,_xlpm.sRR+_xlpm.sOI+_xlpm.sOD,_xlpm.sExp,$Z$27+$AB$27*_xlpm.sRR+($AC$27+$Y$21)*_xlpm.sGR+$AD$27*_xlpm.sOR,_xlpm.opCF,_xlpm.sGR-_xlpm.sExp+$AA$27+$AF$27,_xlpm.opCF)+($Y$3*$Y$27*$K$8*(1-$Y$17)-$AG$27)</f>
        <v>#VALUE!</v>
      </c>
      <c r="Q103" t="e">
        <f t="shared" ref="Q103:Q134" si="118">MIN(N103+N103*$Y$46,MAX((P103-$Y$48*MAX(P103,0)),0)*$Y$40/($Y$40+$Y$49))</f>
        <v>#VALUE!</v>
      </c>
      <c r="R103" t="e">
        <f t="shared" ref="R103:R134" si="119">MIN(O103+O103*$Y$47-Q103,MAX(P103-Q103-Q103/$Y$40*$Y$49-$Y$48*MAX(P103,0),0)*$Y$41)</f>
        <v>#VALUE!</v>
      </c>
      <c r="S103" t="e">
        <f t="shared" ref="S103:S134" si="120">MAX(P103-(Q103+Q103/$Y$40*$Y$49+$Y$48*MAX(P103,0))-(R103+R103/$Y$41*(1-$Y$41)),0)*$Y$42</f>
        <v>#VALUE!</v>
      </c>
    </row>
    <row r="104" spans="2:19" hidden="1">
      <c r="B104" s="936"/>
      <c r="C104" s="936">
        <f t="shared" si="102"/>
        <v>0</v>
      </c>
      <c r="D104" s="936" t="e">
        <f t="shared" si="108"/>
        <v>#VALUE!</v>
      </c>
      <c r="E104" s="936" t="e">
        <f t="shared" si="109"/>
        <v>#VALUE!</v>
      </c>
      <c r="F104" s="936">
        <f t="shared" si="110"/>
        <v>0</v>
      </c>
      <c r="G104" s="936">
        <f t="shared" si="111"/>
        <v>0</v>
      </c>
      <c r="H104" s="936">
        <f t="shared" si="112"/>
        <v>0</v>
      </c>
      <c r="I104" s="936">
        <f t="shared" si="113"/>
        <v>0</v>
      </c>
      <c r="J104" s="936">
        <f t="shared" si="114"/>
        <v>0</v>
      </c>
      <c r="K104" s="936">
        <f t="shared" si="115"/>
        <v>0</v>
      </c>
      <c r="L104" s="936">
        <f t="shared" si="116"/>
        <v>0</v>
      </c>
      <c r="M104" s="936">
        <f t="shared" si="117"/>
        <v>0</v>
      </c>
      <c r="N104" t="e" cm="1">
        <f t="array" ref="N104">$Y$39*(1+$Y$46)^(2-1)-SUMPRODUCT(D104:D104,(1+$Y$46)^_xlfn.SEQUENCE(1,2-1,2-2,-1))</f>
        <v>#VALUE!</v>
      </c>
      <c r="O104" t="e" cm="1">
        <f t="array" ref="O104">$Y$39*(1+$Y$47)^(2-1)-SUMPRODUCT(D104:D104,(1+$Y$47)^_xlfn.SEQUENCE(1,2-1,2-2,-1))</f>
        <v>#VALUE!</v>
      </c>
      <c r="P104" t="e">
        <f>_xlfn.LET(_xlpm.sRR,$Y$3*$Y$27,_xlpm.sOR,$Y$13*$Y$5*$Y$6,_xlpm.sOI,$AE$27*_xlpm.sOR,_xlpm.sOD,$Y$20*_xlpm.sRR,_xlpm.sGR,_xlpm.sRR+_xlpm.sOI+_xlpm.sOD,_xlpm.sExp,$Z$27+$AB$27*_xlpm.sRR+($AC$27+$Y$21)*_xlpm.sGR+$AD$27*_xlpm.sOR,_xlpm.opCF,_xlpm.sGR-_xlpm.sExp+$AA$27+$AF$27,_xlpm.opCF)+($Y$3*$Y$27*$K$9*(1-$Y$17)-$AG$27)</f>
        <v>#VALUE!</v>
      </c>
      <c r="Q104" t="e">
        <f t="shared" si="118"/>
        <v>#VALUE!</v>
      </c>
      <c r="R104" t="e">
        <f t="shared" si="119"/>
        <v>#VALUE!</v>
      </c>
      <c r="S104" t="e">
        <f t="shared" si="120"/>
        <v>#VALUE!</v>
      </c>
    </row>
    <row r="105" spans="2:19" hidden="1">
      <c r="B105" s="936"/>
      <c r="C105" s="936">
        <f t="shared" si="102"/>
        <v>0</v>
      </c>
      <c r="D105" s="936" t="e">
        <f t="shared" si="108"/>
        <v>#VALUE!</v>
      </c>
      <c r="E105" s="936" t="e">
        <f t="shared" si="109"/>
        <v>#VALUE!</v>
      </c>
      <c r="F105" s="936">
        <f t="shared" si="110"/>
        <v>0</v>
      </c>
      <c r="G105" s="936">
        <f t="shared" si="111"/>
        <v>0</v>
      </c>
      <c r="H105" s="936">
        <f t="shared" si="112"/>
        <v>0</v>
      </c>
      <c r="I105" s="936">
        <f t="shared" si="113"/>
        <v>0</v>
      </c>
      <c r="J105" s="936">
        <f t="shared" si="114"/>
        <v>0</v>
      </c>
      <c r="K105" s="936">
        <f t="shared" si="115"/>
        <v>0</v>
      </c>
      <c r="L105" s="936">
        <f t="shared" si="116"/>
        <v>0</v>
      </c>
      <c r="M105" s="936">
        <f t="shared" si="117"/>
        <v>0</v>
      </c>
      <c r="N105" t="e" cm="1">
        <f t="array" ref="N105">$Y$39*(1+$Y$46)^(2-1)-SUMPRODUCT(D105:D105,(1+$Y$46)^_xlfn.SEQUENCE(1,2-1,2-2,-1))</f>
        <v>#VALUE!</v>
      </c>
      <c r="O105" t="e" cm="1">
        <f t="array" ref="O105">$Y$39*(1+$Y$47)^(2-1)-SUMPRODUCT(D105:D105,(1+$Y$47)^_xlfn.SEQUENCE(1,2-1,2-2,-1))</f>
        <v>#VALUE!</v>
      </c>
      <c r="P105" t="e">
        <f>_xlfn.LET(_xlpm.sRR,$Y$3*$Y$27,_xlpm.sOR,$Y$13*$Y$5*$Y$6,_xlpm.sOI,$AE$27*_xlpm.sOR,_xlpm.sOD,$Y$20*_xlpm.sRR,_xlpm.sGR,_xlpm.sRR+_xlpm.sOI+_xlpm.sOD,_xlpm.sExp,$Z$27+$AB$27*_xlpm.sRR+($AC$27+$Y$21)*_xlpm.sGR+$AD$27*_xlpm.sOR,_xlpm.opCF,_xlpm.sGR-_xlpm.sExp+$AA$27+$AF$27,_xlpm.opCF)+($Y$3*$Y$27*$K$10*(1-$Y$17)-$AG$27)</f>
        <v>#VALUE!</v>
      </c>
      <c r="Q105" t="e">
        <f t="shared" si="118"/>
        <v>#VALUE!</v>
      </c>
      <c r="R105" t="e">
        <f t="shared" si="119"/>
        <v>#VALUE!</v>
      </c>
      <c r="S105" t="e">
        <f t="shared" si="120"/>
        <v>#VALUE!</v>
      </c>
    </row>
    <row r="106" spans="2:19" hidden="1">
      <c r="B106" s="936"/>
      <c r="C106" s="936">
        <f t="shared" si="102"/>
        <v>0</v>
      </c>
      <c r="D106" s="936" t="e">
        <f t="shared" si="108"/>
        <v>#VALUE!</v>
      </c>
      <c r="E106" s="936" t="e">
        <f t="shared" si="109"/>
        <v>#VALUE!</v>
      </c>
      <c r="F106" s="936">
        <f t="shared" si="110"/>
        <v>0</v>
      </c>
      <c r="G106" s="936">
        <f t="shared" si="111"/>
        <v>0</v>
      </c>
      <c r="H106" s="936">
        <f t="shared" si="112"/>
        <v>0</v>
      </c>
      <c r="I106" s="936">
        <f t="shared" si="113"/>
        <v>0</v>
      </c>
      <c r="J106" s="936">
        <f t="shared" si="114"/>
        <v>0</v>
      </c>
      <c r="K106" s="936">
        <f t="shared" si="115"/>
        <v>0</v>
      </c>
      <c r="L106" s="936">
        <f t="shared" si="116"/>
        <v>0</v>
      </c>
      <c r="M106" s="936">
        <f t="shared" si="117"/>
        <v>0</v>
      </c>
      <c r="N106" t="e" cm="1">
        <f t="array" ref="N106">$Y$39*(1+$Y$46)^(2-1)-SUMPRODUCT(D106:D106,(1+$Y$46)^_xlfn.SEQUENCE(1,2-1,2-2,-1))</f>
        <v>#VALUE!</v>
      </c>
      <c r="O106" t="e" cm="1">
        <f t="array" ref="O106">$Y$39*(1+$Y$47)^(2-1)-SUMPRODUCT(D106:D106,(1+$Y$47)^_xlfn.SEQUENCE(1,2-1,2-2,-1))</f>
        <v>#VALUE!</v>
      </c>
      <c r="P106" t="e">
        <f>_xlfn.LET(_xlpm.sRR,$Y$3*$Y$27,_xlpm.sOR,$Y$13*$Y$5*$Y$6,_xlpm.sOI,$AE$27*_xlpm.sOR,_xlpm.sOD,$Y$20*_xlpm.sRR,_xlpm.sGR,_xlpm.sRR+_xlpm.sOI+_xlpm.sOD,_xlpm.sExp,$Z$27+$AB$27*_xlpm.sRR+($AC$27+$Y$21)*_xlpm.sGR+$AD$27*_xlpm.sOR,_xlpm.opCF,_xlpm.sGR-_xlpm.sExp+$AA$27+$AF$27,_xlpm.opCF)+($Y$3*$Y$27*$K$11*(1-$Y$17)-$AG$27)</f>
        <v>#VALUE!</v>
      </c>
      <c r="Q106" t="e">
        <f t="shared" si="118"/>
        <v>#VALUE!</v>
      </c>
      <c r="R106" t="e">
        <f t="shared" si="119"/>
        <v>#VALUE!</v>
      </c>
      <c r="S106" t="e">
        <f t="shared" si="120"/>
        <v>#VALUE!</v>
      </c>
    </row>
    <row r="107" spans="2:19" hidden="1">
      <c r="B107" s="936"/>
      <c r="C107" s="936">
        <f t="shared" si="102"/>
        <v>0</v>
      </c>
      <c r="D107" s="936" t="e">
        <f t="shared" si="108"/>
        <v>#VALUE!</v>
      </c>
      <c r="E107" s="936" t="e">
        <f t="shared" si="109"/>
        <v>#VALUE!</v>
      </c>
      <c r="F107" s="936">
        <f t="shared" si="110"/>
        <v>0</v>
      </c>
      <c r="G107" s="936">
        <f t="shared" si="111"/>
        <v>0</v>
      </c>
      <c r="H107" s="936">
        <f t="shared" si="112"/>
        <v>0</v>
      </c>
      <c r="I107" s="936">
        <f t="shared" si="113"/>
        <v>0</v>
      </c>
      <c r="J107" s="936">
        <f t="shared" si="114"/>
        <v>0</v>
      </c>
      <c r="K107" s="936">
        <f t="shared" si="115"/>
        <v>0</v>
      </c>
      <c r="L107" s="936">
        <f t="shared" si="116"/>
        <v>0</v>
      </c>
      <c r="M107" s="936">
        <f t="shared" si="117"/>
        <v>0</v>
      </c>
      <c r="N107" t="e" cm="1">
        <f t="array" ref="N107">$Y$39*(1+$Y$46)^(2-1)-SUMPRODUCT(D107:D107,(1+$Y$46)^_xlfn.SEQUENCE(1,2-1,2-2,-1))</f>
        <v>#VALUE!</v>
      </c>
      <c r="O107" t="e" cm="1">
        <f t="array" ref="O107">$Y$39*(1+$Y$47)^(2-1)-SUMPRODUCT(D107:D107,(1+$Y$47)^_xlfn.SEQUENCE(1,2-1,2-2,-1))</f>
        <v>#VALUE!</v>
      </c>
      <c r="P107" t="e">
        <f>_xlfn.LET(_xlpm.sRR,$Y$3*$Y$27,_xlpm.sOR,$Y$13*$Y$5*$Y$6,_xlpm.sOI,$AE$27*_xlpm.sOR,_xlpm.sOD,$Y$20*_xlpm.sRR,_xlpm.sGR,_xlpm.sRR+_xlpm.sOI+_xlpm.sOD,_xlpm.sExp,$Z$27+$AB$27*_xlpm.sRR+($AC$27+$Y$21)*_xlpm.sGR+$AD$27*_xlpm.sOR,_xlpm.opCF,_xlpm.sGR-_xlpm.sExp+$AA$27+$AF$27,_xlpm.opCF)+($Y$3*$Y$27*$K$12*(1-$Y$17)-$AG$27)</f>
        <v>#VALUE!</v>
      </c>
      <c r="Q107" t="e">
        <f t="shared" si="118"/>
        <v>#VALUE!</v>
      </c>
      <c r="R107" t="e">
        <f t="shared" si="119"/>
        <v>#VALUE!</v>
      </c>
      <c r="S107" t="e">
        <f t="shared" si="120"/>
        <v>#VALUE!</v>
      </c>
    </row>
    <row r="108" spans="2:19" hidden="1">
      <c r="B108" s="936"/>
      <c r="C108" s="936">
        <f t="shared" si="102"/>
        <v>0</v>
      </c>
      <c r="D108" s="936" t="e">
        <f t="shared" si="108"/>
        <v>#VALUE!</v>
      </c>
      <c r="E108" s="936" t="e">
        <f t="shared" si="109"/>
        <v>#VALUE!</v>
      </c>
      <c r="F108" s="936">
        <f t="shared" si="110"/>
        <v>0</v>
      </c>
      <c r="G108" s="936">
        <f t="shared" si="111"/>
        <v>0</v>
      </c>
      <c r="H108" s="936">
        <f t="shared" si="112"/>
        <v>0</v>
      </c>
      <c r="I108" s="936">
        <f t="shared" si="113"/>
        <v>0</v>
      </c>
      <c r="J108" s="936">
        <f t="shared" si="114"/>
        <v>0</v>
      </c>
      <c r="K108" s="936">
        <f t="shared" si="115"/>
        <v>0</v>
      </c>
      <c r="L108" s="936">
        <f t="shared" si="116"/>
        <v>0</v>
      </c>
      <c r="M108" s="936">
        <f t="shared" si="117"/>
        <v>0</v>
      </c>
      <c r="N108" t="e" cm="1">
        <f t="array" ref="N108">$Y$39*(1+$Y$46)^(2-1)-SUMPRODUCT(D108:D108,(1+$Y$46)^_xlfn.SEQUENCE(1,2-1,2-2,-1))</f>
        <v>#VALUE!</v>
      </c>
      <c r="O108" t="e" cm="1">
        <f t="array" ref="O108">$Y$39*(1+$Y$47)^(2-1)-SUMPRODUCT(D108:D108,(1+$Y$47)^_xlfn.SEQUENCE(1,2-1,2-2,-1))</f>
        <v>#VALUE!</v>
      </c>
      <c r="P108" t="e">
        <f>_xlfn.LET(_xlpm.sRR,$Y$3*$Y$27,_xlpm.sOR,$Y$13*$Y$5*$Y$6,_xlpm.sOI,$AE$27*_xlpm.sOR,_xlpm.sOD,$Y$20*_xlpm.sRR,_xlpm.sGR,_xlpm.sRR+_xlpm.sOI+_xlpm.sOD,_xlpm.sExp,$Z$27+$AB$27*_xlpm.sRR+($AC$27+$Y$21)*_xlpm.sGR+$AD$27*_xlpm.sOR,_xlpm.opCF,_xlpm.sGR-_xlpm.sExp+$AA$27+$AF$27,_xlpm.opCF)+($Y$3*$Y$27*$K$13*(1-$Y$17)-$AG$27)</f>
        <v>#VALUE!</v>
      </c>
      <c r="Q108" t="e">
        <f t="shared" si="118"/>
        <v>#VALUE!</v>
      </c>
      <c r="R108" t="e">
        <f t="shared" si="119"/>
        <v>#VALUE!</v>
      </c>
      <c r="S108" t="e">
        <f t="shared" si="120"/>
        <v>#VALUE!</v>
      </c>
    </row>
    <row r="109" spans="2:19" hidden="1">
      <c r="B109" s="936"/>
      <c r="C109" s="936">
        <f t="shared" si="102"/>
        <v>0</v>
      </c>
      <c r="D109" s="936" t="e">
        <f t="shared" si="108"/>
        <v>#VALUE!</v>
      </c>
      <c r="E109" s="936" t="e">
        <f t="shared" si="109"/>
        <v>#VALUE!</v>
      </c>
      <c r="F109" s="936">
        <f t="shared" si="110"/>
        <v>0</v>
      </c>
      <c r="G109" s="936">
        <f t="shared" si="111"/>
        <v>0</v>
      </c>
      <c r="H109" s="936">
        <f t="shared" si="112"/>
        <v>0</v>
      </c>
      <c r="I109" s="936">
        <f t="shared" si="113"/>
        <v>0</v>
      </c>
      <c r="J109" s="936">
        <f t="shared" si="114"/>
        <v>0</v>
      </c>
      <c r="K109" s="936">
        <f t="shared" si="115"/>
        <v>0</v>
      </c>
      <c r="L109" s="936">
        <f t="shared" si="116"/>
        <v>0</v>
      </c>
      <c r="M109" s="936">
        <f t="shared" si="117"/>
        <v>0</v>
      </c>
      <c r="N109" t="e" cm="1">
        <f t="array" ref="N109">$Y$39*(1+$Y$46)^(2-1)-SUMPRODUCT(D109:D109,(1+$Y$46)^_xlfn.SEQUENCE(1,2-1,2-2,-1))</f>
        <v>#VALUE!</v>
      </c>
      <c r="O109" t="e" cm="1">
        <f t="array" ref="O109">$Y$39*(1+$Y$47)^(2-1)-SUMPRODUCT(D109:D109,(1+$Y$47)^_xlfn.SEQUENCE(1,2-1,2-2,-1))</f>
        <v>#VALUE!</v>
      </c>
      <c r="P109" t="e">
        <f>_xlfn.LET(_xlpm.sRR,$Y$3*$Y$27,_xlpm.sOR,$Y$13*$Y$5*$Y$6,_xlpm.sOI,$AE$27*_xlpm.sOR,_xlpm.sOD,$Y$20*_xlpm.sRR,_xlpm.sGR,_xlpm.sRR+_xlpm.sOI+_xlpm.sOD,_xlpm.sExp,$Z$27+$AB$27*_xlpm.sRR+($AC$27+$Y$21)*_xlpm.sGR+$AD$27*_xlpm.sOR,_xlpm.opCF,_xlpm.sGR-_xlpm.sExp+$AA$27+$AF$27,_xlpm.opCF)+($Y$3*$Y$27*$K$14*(1-$Y$17)-$AG$27)</f>
        <v>#VALUE!</v>
      </c>
      <c r="Q109" t="e">
        <f t="shared" si="118"/>
        <v>#VALUE!</v>
      </c>
      <c r="R109" t="e">
        <f t="shared" si="119"/>
        <v>#VALUE!</v>
      </c>
      <c r="S109" t="e">
        <f t="shared" si="120"/>
        <v>#VALUE!</v>
      </c>
    </row>
    <row r="110" spans="2:19" hidden="1">
      <c r="B110" s="936" t="s">
        <v>647</v>
      </c>
      <c r="C110" s="936">
        <f t="shared" si="102"/>
        <v>0</v>
      </c>
      <c r="D110" s="936" t="e">
        <f t="shared" ref="D110:D116" si="121">IF(1&gt;N$18,0,IF(1&lt;N$18,$Y$40*_xlfn.LET(_xlpm.sRR,$Y$3*$Y$26,_xlpm.sOR,$Y$13*$Y$5*$Y$6,_xlpm.sOI,$AE$26*_xlpm.sOR,_xlpm.sOD,$Y$20*_xlpm.sRR,_xlpm.sGR,_xlpm.sRR+_xlpm.sOI+_xlpm.sOD,_xlpm.sExp,$Z$26+$AB$26*_xlpm.sRR+($AC$26+$Y$21)*_xlpm.sGR+$AD$26*_xlpm.sOR,_xlpm.sGR-_xlpm.sExp+$AA$26+$AF$26),IF(P110&lt;=0,$Y$38*P110,Q110+R110+S110)))</f>
        <v>#VALUE!</v>
      </c>
      <c r="E110" s="936" t="e">
        <f t="shared" ref="E110:E116" si="122">IF(2&gt;N$18,0,IF(2&lt;N$18,$Y$40*_xlfn.LET(_xlpm.sRR,$Y$3*$Y$27,_xlpm.sOR,$Y$13*$Y$5*$Y$6,_xlpm.sOI,$AE$27*_xlpm.sOR,_xlpm.sOD,$Y$20*_xlpm.sRR,_xlpm.sGR,_xlpm.sRR+_xlpm.sOI+_xlpm.sOD,_xlpm.sExp,$Z$27+$AB$27*_xlpm.sRR+($AC$27+$Y$21)*_xlpm.sGR+$AD$27*_xlpm.sOR,_xlpm.sGR-_xlpm.sExp+$AA$27+$AF$27),IF(P110&lt;=0,$Y$38*P110,Q110+R110+S110)))</f>
        <v>#VALUE!</v>
      </c>
      <c r="F110" s="936" t="e">
        <f t="shared" ref="F110:F116" si="123">IF(3&gt;N$18,0,IF(3&lt;N$18,$Y$40*_xlfn.LET(_xlpm.sRR,$Y$3*$Y$28,_xlpm.sOR,$Y$13*$Y$5*$Y$6,_xlpm.sOI,$AE$28*_xlpm.sOR,_xlpm.sOD,$Y$20*_xlpm.sRR,_xlpm.sGR,_xlpm.sRR+_xlpm.sOI+_xlpm.sOD,_xlpm.sExp,$Z$28+$AB$28*_xlpm.sRR+($AC$28+$Y$21)*_xlpm.sGR+$AD$28*_xlpm.sOR,_xlpm.sGR-_xlpm.sExp+$AA$28+$AF$28),IF(P110&lt;=0,$Y$38*P110,Q110+R110+S110)))</f>
        <v>#VALUE!</v>
      </c>
      <c r="G110" s="936">
        <f t="shared" ref="G110:G116" si="124">IF(4&gt;N$18,0,IF(4&lt;N$18,$Y$40*_xlfn.LET(_xlpm.sRR,$Y$3*$Y$29,_xlpm.sOR,$Y$13*$Y$5*$Y$6,_xlpm.sOI,$AE$29*_xlpm.sOR,_xlpm.sOD,$Y$20*_xlpm.sRR,_xlpm.sGR,_xlpm.sRR+_xlpm.sOI+_xlpm.sOD,_xlpm.sExp,$Z$29+$AB$29*_xlpm.sRR+($AC$29+$Y$21)*_xlpm.sGR+$AD$29*_xlpm.sOR,_xlpm.sGR-_xlpm.sExp+$AA$29+$AF$29),IF(P110&lt;=0,$Y$38*P110,Q110+R110+S110)))</f>
        <v>0</v>
      </c>
      <c r="H110" s="936">
        <f t="shared" ref="H110:H116" si="125">IF(5&gt;N$18,0,IF(5&lt;N$18,$Y$40*_xlfn.LET(_xlpm.sRR,$Y$3*$Y$30,_xlpm.sOR,$Y$13*$Y$5*$Y$6,_xlpm.sOI,$AE$30*_xlpm.sOR,_xlpm.sOD,$Y$20*_xlpm.sRR,_xlpm.sGR,_xlpm.sRR+_xlpm.sOI+_xlpm.sOD,_xlpm.sExp,$Z$30+$AB$30*_xlpm.sRR+($AC$30+$Y$21)*_xlpm.sGR+$AD$30*_xlpm.sOR,_xlpm.sGR-_xlpm.sExp+$AA$30+$AF$30),IF(P110&lt;=0,$Y$38*P110,Q110+R110+S110)))</f>
        <v>0</v>
      </c>
      <c r="I110" s="936">
        <f t="shared" ref="I110:I116" si="126">IF(6&gt;N$18,0,IF(6&lt;N$18,$Y$40*_xlfn.LET(_xlpm.sRR,$Y$3*$Y$31,_xlpm.sOR,$Y$13*$Y$5*$Y$6,_xlpm.sOI,$AE$31*_xlpm.sOR,_xlpm.sOD,$Y$20*_xlpm.sRR,_xlpm.sGR,_xlpm.sRR+_xlpm.sOI+_xlpm.sOD,_xlpm.sExp,$Z$31+$AB$31*_xlpm.sRR+($AC$31+$Y$21)*_xlpm.sGR+$AD$31*_xlpm.sOR,_xlpm.sGR-_xlpm.sExp+$AA$31+$AF$31),IF(P110&lt;=0,$Y$38*P110,Q110+R110+S110)))</f>
        <v>0</v>
      </c>
      <c r="J110" s="936">
        <f t="shared" ref="J110:J116" si="127">IF(7&gt;N$18,0,IF(7&lt;N$18,$Y$40*_xlfn.LET(_xlpm.sRR,$Y$3*$Y$32,_xlpm.sOR,$Y$13*$Y$5*$Y$6,_xlpm.sOI,$AE$32*_xlpm.sOR,_xlpm.sOD,$Y$20*_xlpm.sRR,_xlpm.sGR,_xlpm.sRR+_xlpm.sOI+_xlpm.sOD,_xlpm.sExp,$Z$32+$AB$32*_xlpm.sRR+($AC$32+$Y$21)*_xlpm.sGR+$AD$32*_xlpm.sOR,_xlpm.sGR-_xlpm.sExp+$AA$32+$AF$32),IF(P110&lt;=0,$Y$38*P110,Q110+R110+S110)))</f>
        <v>0</v>
      </c>
      <c r="K110" s="936">
        <f t="shared" ref="K110:K116" si="128">IF(8&gt;N$18,0,IF(8&lt;N$18,$Y$40*_xlfn.LET(_xlpm.sRR,$Y$3*$Y$33,_xlpm.sOR,$Y$13*$Y$5*$Y$6,_xlpm.sOI,$AE$33*_xlpm.sOR,_xlpm.sOD,$Y$20*_xlpm.sRR,_xlpm.sGR,_xlpm.sRR+_xlpm.sOI+_xlpm.sOD,_xlpm.sExp,$Z$33+$AB$33*_xlpm.sRR+($AC$33+$Y$21)*_xlpm.sGR+$AD$33*_xlpm.sOR,_xlpm.sGR-_xlpm.sExp+$AA$33+$AF$33),IF(P110&lt;=0,$Y$38*P110,Q110+R110+S110)))</f>
        <v>0</v>
      </c>
      <c r="L110" s="936">
        <f t="shared" ref="L110:L116" si="129">IF(9&gt;N$18,0,IF(9&lt;N$18,$Y$40*_xlfn.LET(_xlpm.sRR,$Y$3*$Y$34,_xlpm.sOR,$Y$13*$Y$5*$Y$6,_xlpm.sOI,$AE$34*_xlpm.sOR,_xlpm.sOD,$Y$20*_xlpm.sRR,_xlpm.sGR,_xlpm.sRR+_xlpm.sOI+_xlpm.sOD,_xlpm.sExp,$Z$34+$AB$34*_xlpm.sRR+($AC$34+$Y$21)*_xlpm.sGR+$AD$34*_xlpm.sOR,_xlpm.sGR-_xlpm.sExp+$AA$34+$AF$34),IF(P110&lt;=0,$Y$38*P110,Q110+R110+S110)))</f>
        <v>0</v>
      </c>
      <c r="M110" s="936">
        <f t="shared" ref="M110:M116" si="130">IF(10&gt;N$18,0,IF(10&lt;N$18,$Y$40*_xlfn.LET(_xlpm.sRR,$Y$3*$Y$35,_xlpm.sOR,$Y$13*$Y$5*$Y$6,_xlpm.sOI,$AE$35*_xlpm.sOR,_xlpm.sOD,$Y$20*_xlpm.sRR,_xlpm.sGR,_xlpm.sRR+_xlpm.sOI+_xlpm.sOD,_xlpm.sExp,$Z$35+$AB$35*_xlpm.sRR+($AC$35+$Y$21)*_xlpm.sGR+$AD$35*_xlpm.sOR,_xlpm.sGR-_xlpm.sExp+$AA$35+$AF$35),IF(P110&lt;=0,$Y$38*P110,Q110+R110+S110)))</f>
        <v>0</v>
      </c>
      <c r="N110" t="e" cm="1">
        <f t="array" ref="N110">$Y$39*(1+$Y$46)^(3-1)-SUMPRODUCT(D110:E110,(1+$Y$46)^_xlfn.SEQUENCE(1,3-1,3-2,-1))</f>
        <v>#VALUE!</v>
      </c>
      <c r="O110" t="e" cm="1">
        <f t="array" ref="O110">$Y$39*(1+$Y$47)^(3-1)-SUMPRODUCT(D110:E110,(1+$Y$47)^_xlfn.SEQUENCE(1,3-1,3-2,-1))</f>
        <v>#VALUE!</v>
      </c>
      <c r="P110" t="e">
        <f>_xlfn.LET(_xlpm.sRR,$Y$3*$Y$28,_xlpm.sOR,$Y$13*$Y$5*$Y$6,_xlpm.sOI,$AE$28*_xlpm.sOR,_xlpm.sOD,$Y$20*_xlpm.sRR,_xlpm.sGR,_xlpm.sRR+_xlpm.sOI+_xlpm.sOD,_xlpm.sExp,$Z$28+$AB$28*_xlpm.sRR+($AC$28+$Y$21)*_xlpm.sGR+$AD$28*_xlpm.sOR,_xlpm.opCF,_xlpm.sGR-_xlpm.sExp+$AA$28+$AF$28,_xlpm.opCF)+($Y$3*$Y$28*$K$8*(1-$Y$17)-$AG$28)</f>
        <v>#VALUE!</v>
      </c>
      <c r="Q110" t="e">
        <f t="shared" si="118"/>
        <v>#VALUE!</v>
      </c>
      <c r="R110" t="e">
        <f t="shared" si="119"/>
        <v>#VALUE!</v>
      </c>
      <c r="S110" t="e">
        <f t="shared" si="120"/>
        <v>#VALUE!</v>
      </c>
    </row>
    <row r="111" spans="2:19" hidden="1">
      <c r="B111" s="936"/>
      <c r="C111" s="936">
        <f t="shared" si="102"/>
        <v>0</v>
      </c>
      <c r="D111" s="936" t="e">
        <f t="shared" si="121"/>
        <v>#VALUE!</v>
      </c>
      <c r="E111" s="936" t="e">
        <f t="shared" si="122"/>
        <v>#VALUE!</v>
      </c>
      <c r="F111" s="936" t="e">
        <f t="shared" si="123"/>
        <v>#VALUE!</v>
      </c>
      <c r="G111" s="936">
        <f t="shared" si="124"/>
        <v>0</v>
      </c>
      <c r="H111" s="936">
        <f t="shared" si="125"/>
        <v>0</v>
      </c>
      <c r="I111" s="936">
        <f t="shared" si="126"/>
        <v>0</v>
      </c>
      <c r="J111" s="936">
        <f t="shared" si="127"/>
        <v>0</v>
      </c>
      <c r="K111" s="936">
        <f t="shared" si="128"/>
        <v>0</v>
      </c>
      <c r="L111" s="936">
        <f t="shared" si="129"/>
        <v>0</v>
      </c>
      <c r="M111" s="936">
        <f t="shared" si="130"/>
        <v>0</v>
      </c>
      <c r="N111" t="e" cm="1">
        <f t="array" ref="N111">$Y$39*(1+$Y$46)^(3-1)-SUMPRODUCT(D111:E111,(1+$Y$46)^_xlfn.SEQUENCE(1,3-1,3-2,-1))</f>
        <v>#VALUE!</v>
      </c>
      <c r="O111" t="e" cm="1">
        <f t="array" ref="O111">$Y$39*(1+$Y$47)^(3-1)-SUMPRODUCT(D111:E111,(1+$Y$47)^_xlfn.SEQUENCE(1,3-1,3-2,-1))</f>
        <v>#VALUE!</v>
      </c>
      <c r="P111" t="e">
        <f>_xlfn.LET(_xlpm.sRR,$Y$3*$Y$28,_xlpm.sOR,$Y$13*$Y$5*$Y$6,_xlpm.sOI,$AE$28*_xlpm.sOR,_xlpm.sOD,$Y$20*_xlpm.sRR,_xlpm.sGR,_xlpm.sRR+_xlpm.sOI+_xlpm.sOD,_xlpm.sExp,$Z$28+$AB$28*_xlpm.sRR+($AC$28+$Y$21)*_xlpm.sGR+$AD$28*_xlpm.sOR,_xlpm.opCF,_xlpm.sGR-_xlpm.sExp+$AA$28+$AF$28,_xlpm.opCF)+($Y$3*$Y$28*$K$9*(1-$Y$17)-$AG$28)</f>
        <v>#VALUE!</v>
      </c>
      <c r="Q111" t="e">
        <f t="shared" si="118"/>
        <v>#VALUE!</v>
      </c>
      <c r="R111" t="e">
        <f t="shared" si="119"/>
        <v>#VALUE!</v>
      </c>
      <c r="S111" t="e">
        <f t="shared" si="120"/>
        <v>#VALUE!</v>
      </c>
    </row>
    <row r="112" spans="2:19" hidden="1">
      <c r="B112" s="936"/>
      <c r="C112" s="936">
        <f t="shared" si="102"/>
        <v>0</v>
      </c>
      <c r="D112" s="936" t="e">
        <f t="shared" si="121"/>
        <v>#VALUE!</v>
      </c>
      <c r="E112" s="936" t="e">
        <f t="shared" si="122"/>
        <v>#VALUE!</v>
      </c>
      <c r="F112" s="936" t="e">
        <f t="shared" si="123"/>
        <v>#VALUE!</v>
      </c>
      <c r="G112" s="936">
        <f t="shared" si="124"/>
        <v>0</v>
      </c>
      <c r="H112" s="936">
        <f t="shared" si="125"/>
        <v>0</v>
      </c>
      <c r="I112" s="936">
        <f t="shared" si="126"/>
        <v>0</v>
      </c>
      <c r="J112" s="936">
        <f t="shared" si="127"/>
        <v>0</v>
      </c>
      <c r="K112" s="936">
        <f t="shared" si="128"/>
        <v>0</v>
      </c>
      <c r="L112" s="936">
        <f t="shared" si="129"/>
        <v>0</v>
      </c>
      <c r="M112" s="936">
        <f t="shared" si="130"/>
        <v>0</v>
      </c>
      <c r="N112" t="e" cm="1">
        <f t="array" ref="N112">$Y$39*(1+$Y$46)^(3-1)-SUMPRODUCT(D112:E112,(1+$Y$46)^_xlfn.SEQUENCE(1,3-1,3-2,-1))</f>
        <v>#VALUE!</v>
      </c>
      <c r="O112" t="e" cm="1">
        <f t="array" ref="O112">$Y$39*(1+$Y$47)^(3-1)-SUMPRODUCT(D112:E112,(1+$Y$47)^_xlfn.SEQUENCE(1,3-1,3-2,-1))</f>
        <v>#VALUE!</v>
      </c>
      <c r="P112" t="e">
        <f>_xlfn.LET(_xlpm.sRR,$Y$3*$Y$28,_xlpm.sOR,$Y$13*$Y$5*$Y$6,_xlpm.sOI,$AE$28*_xlpm.sOR,_xlpm.sOD,$Y$20*_xlpm.sRR,_xlpm.sGR,_xlpm.sRR+_xlpm.sOI+_xlpm.sOD,_xlpm.sExp,$Z$28+$AB$28*_xlpm.sRR+($AC$28+$Y$21)*_xlpm.sGR+$AD$28*_xlpm.sOR,_xlpm.opCF,_xlpm.sGR-_xlpm.sExp+$AA$28+$AF$28,_xlpm.opCF)+($Y$3*$Y$28*$K$10*(1-$Y$17)-$AG$28)</f>
        <v>#VALUE!</v>
      </c>
      <c r="Q112" t="e">
        <f t="shared" si="118"/>
        <v>#VALUE!</v>
      </c>
      <c r="R112" t="e">
        <f t="shared" si="119"/>
        <v>#VALUE!</v>
      </c>
      <c r="S112" t="e">
        <f t="shared" si="120"/>
        <v>#VALUE!</v>
      </c>
    </row>
    <row r="113" spans="2:19" hidden="1">
      <c r="B113" s="936"/>
      <c r="C113" s="936">
        <f t="shared" si="102"/>
        <v>0</v>
      </c>
      <c r="D113" s="936" t="e">
        <f t="shared" si="121"/>
        <v>#VALUE!</v>
      </c>
      <c r="E113" s="936" t="e">
        <f t="shared" si="122"/>
        <v>#VALUE!</v>
      </c>
      <c r="F113" s="936" t="e">
        <f t="shared" si="123"/>
        <v>#VALUE!</v>
      </c>
      <c r="G113" s="936">
        <f t="shared" si="124"/>
        <v>0</v>
      </c>
      <c r="H113" s="936">
        <f t="shared" si="125"/>
        <v>0</v>
      </c>
      <c r="I113" s="936">
        <f t="shared" si="126"/>
        <v>0</v>
      </c>
      <c r="J113" s="936">
        <f t="shared" si="127"/>
        <v>0</v>
      </c>
      <c r="K113" s="936">
        <f t="shared" si="128"/>
        <v>0</v>
      </c>
      <c r="L113" s="936">
        <f t="shared" si="129"/>
        <v>0</v>
      </c>
      <c r="M113" s="936">
        <f t="shared" si="130"/>
        <v>0</v>
      </c>
      <c r="N113" t="e" cm="1">
        <f t="array" ref="N113">$Y$39*(1+$Y$46)^(3-1)-SUMPRODUCT(D113:E113,(1+$Y$46)^_xlfn.SEQUENCE(1,3-1,3-2,-1))</f>
        <v>#VALUE!</v>
      </c>
      <c r="O113" t="e" cm="1">
        <f t="array" ref="O113">$Y$39*(1+$Y$47)^(3-1)-SUMPRODUCT(D113:E113,(1+$Y$47)^_xlfn.SEQUENCE(1,3-1,3-2,-1))</f>
        <v>#VALUE!</v>
      </c>
      <c r="P113" t="e">
        <f>_xlfn.LET(_xlpm.sRR,$Y$3*$Y$28,_xlpm.sOR,$Y$13*$Y$5*$Y$6,_xlpm.sOI,$AE$28*_xlpm.sOR,_xlpm.sOD,$Y$20*_xlpm.sRR,_xlpm.sGR,_xlpm.sRR+_xlpm.sOI+_xlpm.sOD,_xlpm.sExp,$Z$28+$AB$28*_xlpm.sRR+($AC$28+$Y$21)*_xlpm.sGR+$AD$28*_xlpm.sOR,_xlpm.opCF,_xlpm.sGR-_xlpm.sExp+$AA$28+$AF$28,_xlpm.opCF)+($Y$3*$Y$28*$K$11*(1-$Y$17)-$AG$28)</f>
        <v>#VALUE!</v>
      </c>
      <c r="Q113" t="e">
        <f t="shared" si="118"/>
        <v>#VALUE!</v>
      </c>
      <c r="R113" t="e">
        <f t="shared" si="119"/>
        <v>#VALUE!</v>
      </c>
      <c r="S113" t="e">
        <f t="shared" si="120"/>
        <v>#VALUE!</v>
      </c>
    </row>
    <row r="114" spans="2:19" hidden="1">
      <c r="B114" s="936"/>
      <c r="C114" s="936">
        <f t="shared" si="102"/>
        <v>0</v>
      </c>
      <c r="D114" s="936" t="e">
        <f t="shared" si="121"/>
        <v>#VALUE!</v>
      </c>
      <c r="E114" s="936" t="e">
        <f t="shared" si="122"/>
        <v>#VALUE!</v>
      </c>
      <c r="F114" s="936" t="e">
        <f t="shared" si="123"/>
        <v>#VALUE!</v>
      </c>
      <c r="G114" s="936">
        <f t="shared" si="124"/>
        <v>0</v>
      </c>
      <c r="H114" s="936">
        <f t="shared" si="125"/>
        <v>0</v>
      </c>
      <c r="I114" s="936">
        <f t="shared" si="126"/>
        <v>0</v>
      </c>
      <c r="J114" s="936">
        <f t="shared" si="127"/>
        <v>0</v>
      </c>
      <c r="K114" s="936">
        <f t="shared" si="128"/>
        <v>0</v>
      </c>
      <c r="L114" s="936">
        <f t="shared" si="129"/>
        <v>0</v>
      </c>
      <c r="M114" s="936">
        <f t="shared" si="130"/>
        <v>0</v>
      </c>
      <c r="N114" t="e" cm="1">
        <f t="array" ref="N114">$Y$39*(1+$Y$46)^(3-1)-SUMPRODUCT(D114:E114,(1+$Y$46)^_xlfn.SEQUENCE(1,3-1,3-2,-1))</f>
        <v>#VALUE!</v>
      </c>
      <c r="O114" t="e" cm="1">
        <f t="array" ref="O114">$Y$39*(1+$Y$47)^(3-1)-SUMPRODUCT(D114:E114,(1+$Y$47)^_xlfn.SEQUENCE(1,3-1,3-2,-1))</f>
        <v>#VALUE!</v>
      </c>
      <c r="P114" t="e">
        <f>_xlfn.LET(_xlpm.sRR,$Y$3*$Y$28,_xlpm.sOR,$Y$13*$Y$5*$Y$6,_xlpm.sOI,$AE$28*_xlpm.sOR,_xlpm.sOD,$Y$20*_xlpm.sRR,_xlpm.sGR,_xlpm.sRR+_xlpm.sOI+_xlpm.sOD,_xlpm.sExp,$Z$28+$AB$28*_xlpm.sRR+($AC$28+$Y$21)*_xlpm.sGR+$AD$28*_xlpm.sOR,_xlpm.opCF,_xlpm.sGR-_xlpm.sExp+$AA$28+$AF$28,_xlpm.opCF)+($Y$3*$Y$28*$K$12*(1-$Y$17)-$AG$28)</f>
        <v>#VALUE!</v>
      </c>
      <c r="Q114" t="e">
        <f t="shared" si="118"/>
        <v>#VALUE!</v>
      </c>
      <c r="R114" t="e">
        <f t="shared" si="119"/>
        <v>#VALUE!</v>
      </c>
      <c r="S114" t="e">
        <f t="shared" si="120"/>
        <v>#VALUE!</v>
      </c>
    </row>
    <row r="115" spans="2:19" hidden="1">
      <c r="B115" s="936"/>
      <c r="C115" s="936">
        <f t="shared" si="102"/>
        <v>0</v>
      </c>
      <c r="D115" s="936" t="e">
        <f t="shared" si="121"/>
        <v>#VALUE!</v>
      </c>
      <c r="E115" s="936" t="e">
        <f t="shared" si="122"/>
        <v>#VALUE!</v>
      </c>
      <c r="F115" s="936" t="e">
        <f t="shared" si="123"/>
        <v>#VALUE!</v>
      </c>
      <c r="G115" s="936">
        <f t="shared" si="124"/>
        <v>0</v>
      </c>
      <c r="H115" s="936">
        <f t="shared" si="125"/>
        <v>0</v>
      </c>
      <c r="I115" s="936">
        <f t="shared" si="126"/>
        <v>0</v>
      </c>
      <c r="J115" s="936">
        <f t="shared" si="127"/>
        <v>0</v>
      </c>
      <c r="K115" s="936">
        <f t="shared" si="128"/>
        <v>0</v>
      </c>
      <c r="L115" s="936">
        <f t="shared" si="129"/>
        <v>0</v>
      </c>
      <c r="M115" s="936">
        <f t="shared" si="130"/>
        <v>0</v>
      </c>
      <c r="N115" t="e" cm="1">
        <f t="array" ref="N115">$Y$39*(1+$Y$46)^(3-1)-SUMPRODUCT(D115:E115,(1+$Y$46)^_xlfn.SEQUENCE(1,3-1,3-2,-1))</f>
        <v>#VALUE!</v>
      </c>
      <c r="O115" t="e" cm="1">
        <f t="array" ref="O115">$Y$39*(1+$Y$47)^(3-1)-SUMPRODUCT(D115:E115,(1+$Y$47)^_xlfn.SEQUENCE(1,3-1,3-2,-1))</f>
        <v>#VALUE!</v>
      </c>
      <c r="P115" t="e">
        <f>_xlfn.LET(_xlpm.sRR,$Y$3*$Y$28,_xlpm.sOR,$Y$13*$Y$5*$Y$6,_xlpm.sOI,$AE$28*_xlpm.sOR,_xlpm.sOD,$Y$20*_xlpm.sRR,_xlpm.sGR,_xlpm.sRR+_xlpm.sOI+_xlpm.sOD,_xlpm.sExp,$Z$28+$AB$28*_xlpm.sRR+($AC$28+$Y$21)*_xlpm.sGR+$AD$28*_xlpm.sOR,_xlpm.opCF,_xlpm.sGR-_xlpm.sExp+$AA$28+$AF$28,_xlpm.opCF)+($Y$3*$Y$28*$K$13*(1-$Y$17)-$AG$28)</f>
        <v>#VALUE!</v>
      </c>
      <c r="Q115" t="e">
        <f t="shared" si="118"/>
        <v>#VALUE!</v>
      </c>
      <c r="R115" t="e">
        <f t="shared" si="119"/>
        <v>#VALUE!</v>
      </c>
      <c r="S115" t="e">
        <f t="shared" si="120"/>
        <v>#VALUE!</v>
      </c>
    </row>
    <row r="116" spans="2:19" hidden="1">
      <c r="B116" s="936"/>
      <c r="C116" s="936">
        <f t="shared" si="102"/>
        <v>0</v>
      </c>
      <c r="D116" s="936" t="e">
        <f t="shared" si="121"/>
        <v>#VALUE!</v>
      </c>
      <c r="E116" s="936" t="e">
        <f t="shared" si="122"/>
        <v>#VALUE!</v>
      </c>
      <c r="F116" s="936" t="e">
        <f t="shared" si="123"/>
        <v>#VALUE!</v>
      </c>
      <c r="G116" s="936">
        <f t="shared" si="124"/>
        <v>0</v>
      </c>
      <c r="H116" s="936">
        <f t="shared" si="125"/>
        <v>0</v>
      </c>
      <c r="I116" s="936">
        <f t="shared" si="126"/>
        <v>0</v>
      </c>
      <c r="J116" s="936">
        <f t="shared" si="127"/>
        <v>0</v>
      </c>
      <c r="K116" s="936">
        <f t="shared" si="128"/>
        <v>0</v>
      </c>
      <c r="L116" s="936">
        <f t="shared" si="129"/>
        <v>0</v>
      </c>
      <c r="M116" s="936">
        <f t="shared" si="130"/>
        <v>0</v>
      </c>
      <c r="N116" t="e" cm="1">
        <f t="array" ref="N116">$Y$39*(1+$Y$46)^(3-1)-SUMPRODUCT(D116:E116,(1+$Y$46)^_xlfn.SEQUENCE(1,3-1,3-2,-1))</f>
        <v>#VALUE!</v>
      </c>
      <c r="O116" t="e" cm="1">
        <f t="array" ref="O116">$Y$39*(1+$Y$47)^(3-1)-SUMPRODUCT(D116:E116,(1+$Y$47)^_xlfn.SEQUENCE(1,3-1,3-2,-1))</f>
        <v>#VALUE!</v>
      </c>
      <c r="P116" t="e">
        <f>_xlfn.LET(_xlpm.sRR,$Y$3*$Y$28,_xlpm.sOR,$Y$13*$Y$5*$Y$6,_xlpm.sOI,$AE$28*_xlpm.sOR,_xlpm.sOD,$Y$20*_xlpm.sRR,_xlpm.sGR,_xlpm.sRR+_xlpm.sOI+_xlpm.sOD,_xlpm.sExp,$Z$28+$AB$28*_xlpm.sRR+($AC$28+$Y$21)*_xlpm.sGR+$AD$28*_xlpm.sOR,_xlpm.opCF,_xlpm.sGR-_xlpm.sExp+$AA$28+$AF$28,_xlpm.opCF)+($Y$3*$Y$28*$K$14*(1-$Y$17)-$AG$28)</f>
        <v>#VALUE!</v>
      </c>
      <c r="Q116" t="e">
        <f t="shared" si="118"/>
        <v>#VALUE!</v>
      </c>
      <c r="R116" t="e">
        <f t="shared" si="119"/>
        <v>#VALUE!</v>
      </c>
      <c r="S116" t="e">
        <f t="shared" si="120"/>
        <v>#VALUE!</v>
      </c>
    </row>
    <row r="117" spans="2:19" hidden="1">
      <c r="B117" s="936"/>
      <c r="C117" s="936">
        <f t="shared" si="102"/>
        <v>0</v>
      </c>
      <c r="D117" s="936" t="e">
        <f t="shared" ref="D117:D123" si="131">IF(1&gt;O$18,0,IF(1&lt;O$18,$Y$40*_xlfn.LET(_xlpm.sRR,$Y$3*$Y$26,_xlpm.sOR,$Y$13*$Y$5*$Y$6,_xlpm.sOI,$AE$26*_xlpm.sOR,_xlpm.sOD,$Y$20*_xlpm.sRR,_xlpm.sGR,_xlpm.sRR+_xlpm.sOI+_xlpm.sOD,_xlpm.sExp,$Z$26+$AB$26*_xlpm.sRR+($AC$26+$Y$21)*_xlpm.sGR+$AD$26*_xlpm.sOR,_xlpm.sGR-_xlpm.sExp+$AA$26+$AF$26),IF(P117&lt;=0,$Y$38*P117,Q117+R117+S117)))</f>
        <v>#VALUE!</v>
      </c>
      <c r="E117" s="936" t="e">
        <f t="shared" ref="E117:E123" si="132">IF(2&gt;O$18,0,IF(2&lt;O$18,$Y$40*_xlfn.LET(_xlpm.sRR,$Y$3*$Y$27,_xlpm.sOR,$Y$13*$Y$5*$Y$6,_xlpm.sOI,$AE$27*_xlpm.sOR,_xlpm.sOD,$Y$20*_xlpm.sRR,_xlpm.sGR,_xlpm.sRR+_xlpm.sOI+_xlpm.sOD,_xlpm.sExp,$Z$27+$AB$27*_xlpm.sRR+($AC$27+$Y$21)*_xlpm.sGR+$AD$27*_xlpm.sOR,_xlpm.sGR-_xlpm.sExp+$AA$27+$AF$27),IF(P117&lt;=0,$Y$38*P117,Q117+R117+S117)))</f>
        <v>#VALUE!</v>
      </c>
      <c r="F117" s="936" t="e">
        <f t="shared" ref="F117:F123" si="133">IF(3&gt;O$18,0,IF(3&lt;O$18,$Y$40*_xlfn.LET(_xlpm.sRR,$Y$3*$Y$28,_xlpm.sOR,$Y$13*$Y$5*$Y$6,_xlpm.sOI,$AE$28*_xlpm.sOR,_xlpm.sOD,$Y$20*_xlpm.sRR,_xlpm.sGR,_xlpm.sRR+_xlpm.sOI+_xlpm.sOD,_xlpm.sExp,$Z$28+$AB$28*_xlpm.sRR+($AC$28+$Y$21)*_xlpm.sGR+$AD$28*_xlpm.sOR,_xlpm.sGR-_xlpm.sExp+$AA$28+$AF$28),IF(P117&lt;=0,$Y$38*P117,Q117+R117+S117)))</f>
        <v>#VALUE!</v>
      </c>
      <c r="G117" s="936" t="e">
        <f t="shared" ref="G117:G123" si="134">IF(4&gt;O$18,0,IF(4&lt;O$18,$Y$40*_xlfn.LET(_xlpm.sRR,$Y$3*$Y$29,_xlpm.sOR,$Y$13*$Y$5*$Y$6,_xlpm.sOI,$AE$29*_xlpm.sOR,_xlpm.sOD,$Y$20*_xlpm.sRR,_xlpm.sGR,_xlpm.sRR+_xlpm.sOI+_xlpm.sOD,_xlpm.sExp,$Z$29+$AB$29*_xlpm.sRR+($AC$29+$Y$21)*_xlpm.sGR+$AD$29*_xlpm.sOR,_xlpm.sGR-_xlpm.sExp+$AA$29+$AF$29),IF(P117&lt;=0,$Y$38*P117,Q117+R117+S117)))</f>
        <v>#VALUE!</v>
      </c>
      <c r="H117" s="936">
        <f t="shared" ref="H117:H123" si="135">IF(5&gt;O$18,0,IF(5&lt;O$18,$Y$40*_xlfn.LET(_xlpm.sRR,$Y$3*$Y$30,_xlpm.sOR,$Y$13*$Y$5*$Y$6,_xlpm.sOI,$AE$30*_xlpm.sOR,_xlpm.sOD,$Y$20*_xlpm.sRR,_xlpm.sGR,_xlpm.sRR+_xlpm.sOI+_xlpm.sOD,_xlpm.sExp,$Z$30+$AB$30*_xlpm.sRR+($AC$30+$Y$21)*_xlpm.sGR+$AD$30*_xlpm.sOR,_xlpm.sGR-_xlpm.sExp+$AA$30+$AF$30),IF(P117&lt;=0,$Y$38*P117,Q117+R117+S117)))</f>
        <v>0</v>
      </c>
      <c r="I117" s="936">
        <f t="shared" ref="I117:I123" si="136">IF(6&gt;O$18,0,IF(6&lt;O$18,$Y$40*_xlfn.LET(_xlpm.sRR,$Y$3*$Y$31,_xlpm.sOR,$Y$13*$Y$5*$Y$6,_xlpm.sOI,$AE$31*_xlpm.sOR,_xlpm.sOD,$Y$20*_xlpm.sRR,_xlpm.sGR,_xlpm.sRR+_xlpm.sOI+_xlpm.sOD,_xlpm.sExp,$Z$31+$AB$31*_xlpm.sRR+($AC$31+$Y$21)*_xlpm.sGR+$AD$31*_xlpm.sOR,_xlpm.sGR-_xlpm.sExp+$AA$31+$AF$31),IF(P117&lt;=0,$Y$38*P117,Q117+R117+S117)))</f>
        <v>0</v>
      </c>
      <c r="J117" s="936">
        <f t="shared" ref="J117:J123" si="137">IF(7&gt;O$18,0,IF(7&lt;O$18,$Y$40*_xlfn.LET(_xlpm.sRR,$Y$3*$Y$32,_xlpm.sOR,$Y$13*$Y$5*$Y$6,_xlpm.sOI,$AE$32*_xlpm.sOR,_xlpm.sOD,$Y$20*_xlpm.sRR,_xlpm.sGR,_xlpm.sRR+_xlpm.sOI+_xlpm.sOD,_xlpm.sExp,$Z$32+$AB$32*_xlpm.sRR+($AC$32+$Y$21)*_xlpm.sGR+$AD$32*_xlpm.sOR,_xlpm.sGR-_xlpm.sExp+$AA$32+$AF$32),IF(P117&lt;=0,$Y$38*P117,Q117+R117+S117)))</f>
        <v>0</v>
      </c>
      <c r="K117" s="936">
        <f t="shared" ref="K117:K123" si="138">IF(8&gt;O$18,0,IF(8&lt;O$18,$Y$40*_xlfn.LET(_xlpm.sRR,$Y$3*$Y$33,_xlpm.sOR,$Y$13*$Y$5*$Y$6,_xlpm.sOI,$AE$33*_xlpm.sOR,_xlpm.sOD,$Y$20*_xlpm.sRR,_xlpm.sGR,_xlpm.sRR+_xlpm.sOI+_xlpm.sOD,_xlpm.sExp,$Z$33+$AB$33*_xlpm.sRR+($AC$33+$Y$21)*_xlpm.sGR+$AD$33*_xlpm.sOR,_xlpm.sGR-_xlpm.sExp+$AA$33+$AF$33),IF(P117&lt;=0,$Y$38*P117,Q117+R117+S117)))</f>
        <v>0</v>
      </c>
      <c r="L117" s="936">
        <f t="shared" ref="L117:L123" si="139">IF(9&gt;O$18,0,IF(9&lt;O$18,$Y$40*_xlfn.LET(_xlpm.sRR,$Y$3*$Y$34,_xlpm.sOR,$Y$13*$Y$5*$Y$6,_xlpm.sOI,$AE$34*_xlpm.sOR,_xlpm.sOD,$Y$20*_xlpm.sRR,_xlpm.sGR,_xlpm.sRR+_xlpm.sOI+_xlpm.sOD,_xlpm.sExp,$Z$34+$AB$34*_xlpm.sRR+($AC$34+$Y$21)*_xlpm.sGR+$AD$34*_xlpm.sOR,_xlpm.sGR-_xlpm.sExp+$AA$34+$AF$34),IF(P117&lt;=0,$Y$38*P117,Q117+R117+S117)))</f>
        <v>0</v>
      </c>
      <c r="M117" s="936">
        <f t="shared" ref="M117:M123" si="140">IF(10&gt;O$18,0,IF(10&lt;O$18,$Y$40*_xlfn.LET(_xlpm.sRR,$Y$3*$Y$35,_xlpm.sOR,$Y$13*$Y$5*$Y$6,_xlpm.sOI,$AE$35*_xlpm.sOR,_xlpm.sOD,$Y$20*_xlpm.sRR,_xlpm.sGR,_xlpm.sRR+_xlpm.sOI+_xlpm.sOD,_xlpm.sExp,$Z$35+$AB$35*_xlpm.sRR+($AC$35+$Y$21)*_xlpm.sGR+$AD$35*_xlpm.sOR,_xlpm.sGR-_xlpm.sExp+$AA$35+$AF$35),IF(P117&lt;=0,$Y$38*P117,Q117+R117+S117)))</f>
        <v>0</v>
      </c>
      <c r="N117" t="e" cm="1">
        <f t="array" ref="N117">$Y$39*(1+$Y$46)^(4-1)-SUMPRODUCT(D117:F117,(1+$Y$46)^_xlfn.SEQUENCE(1,4-1,4-2,-1))</f>
        <v>#VALUE!</v>
      </c>
      <c r="O117" t="e" cm="1">
        <f t="array" ref="O117">$Y$39*(1+$Y$47)^(4-1)-SUMPRODUCT(D117:F117,(1+$Y$47)^_xlfn.SEQUENCE(1,4-1,4-2,-1))</f>
        <v>#VALUE!</v>
      </c>
      <c r="P117" t="e">
        <f>_xlfn.LET(_xlpm.sRR,$Y$3*$Y$29,_xlpm.sOR,$Y$13*$Y$5*$Y$6,_xlpm.sOI,$AE$29*_xlpm.sOR,_xlpm.sOD,$Y$20*_xlpm.sRR,_xlpm.sGR,_xlpm.sRR+_xlpm.sOI+_xlpm.sOD,_xlpm.sExp,$Z$29+$AB$29*_xlpm.sRR+($AC$29+$Y$21)*_xlpm.sGR+$AD$29*_xlpm.sOR,_xlpm.opCF,_xlpm.sGR-_xlpm.sExp+$AA$29+$AF$29,_xlpm.opCF)+($Y$3*$Y$29*$K$8*(1-$Y$17)-$AG$29)</f>
        <v>#VALUE!</v>
      </c>
      <c r="Q117" t="e">
        <f t="shared" si="118"/>
        <v>#VALUE!</v>
      </c>
      <c r="R117" t="e">
        <f t="shared" si="119"/>
        <v>#VALUE!</v>
      </c>
      <c r="S117" t="e">
        <f t="shared" si="120"/>
        <v>#VALUE!</v>
      </c>
    </row>
    <row r="118" spans="2:19" hidden="1">
      <c r="B118" s="936"/>
      <c r="C118" s="936">
        <f t="shared" si="102"/>
        <v>0</v>
      </c>
      <c r="D118" s="936" t="e">
        <f t="shared" si="131"/>
        <v>#VALUE!</v>
      </c>
      <c r="E118" s="936" t="e">
        <f t="shared" si="132"/>
        <v>#VALUE!</v>
      </c>
      <c r="F118" s="936" t="e">
        <f t="shared" si="133"/>
        <v>#VALUE!</v>
      </c>
      <c r="G118" s="936" t="e">
        <f t="shared" si="134"/>
        <v>#VALUE!</v>
      </c>
      <c r="H118" s="936">
        <f t="shared" si="135"/>
        <v>0</v>
      </c>
      <c r="I118" s="936">
        <f t="shared" si="136"/>
        <v>0</v>
      </c>
      <c r="J118" s="936">
        <f t="shared" si="137"/>
        <v>0</v>
      </c>
      <c r="K118" s="936">
        <f t="shared" si="138"/>
        <v>0</v>
      </c>
      <c r="L118" s="936">
        <f t="shared" si="139"/>
        <v>0</v>
      </c>
      <c r="M118" s="936">
        <f t="shared" si="140"/>
        <v>0</v>
      </c>
      <c r="N118" t="e" cm="1">
        <f t="array" ref="N118">$Y$39*(1+$Y$46)^(4-1)-SUMPRODUCT(D118:F118,(1+$Y$46)^_xlfn.SEQUENCE(1,4-1,4-2,-1))</f>
        <v>#VALUE!</v>
      </c>
      <c r="O118" t="e" cm="1">
        <f t="array" ref="O118">$Y$39*(1+$Y$47)^(4-1)-SUMPRODUCT(D118:F118,(1+$Y$47)^_xlfn.SEQUENCE(1,4-1,4-2,-1))</f>
        <v>#VALUE!</v>
      </c>
      <c r="P118" t="e">
        <f>_xlfn.LET(_xlpm.sRR,$Y$3*$Y$29,_xlpm.sOR,$Y$13*$Y$5*$Y$6,_xlpm.sOI,$AE$29*_xlpm.sOR,_xlpm.sOD,$Y$20*_xlpm.sRR,_xlpm.sGR,_xlpm.sRR+_xlpm.sOI+_xlpm.sOD,_xlpm.sExp,$Z$29+$AB$29*_xlpm.sRR+($AC$29+$Y$21)*_xlpm.sGR+$AD$29*_xlpm.sOR,_xlpm.opCF,_xlpm.sGR-_xlpm.sExp+$AA$29+$AF$29,_xlpm.opCF)+($Y$3*$Y$29*$K$9*(1-$Y$17)-$AG$29)</f>
        <v>#VALUE!</v>
      </c>
      <c r="Q118" t="e">
        <f t="shared" si="118"/>
        <v>#VALUE!</v>
      </c>
      <c r="R118" t="e">
        <f t="shared" si="119"/>
        <v>#VALUE!</v>
      </c>
      <c r="S118" t="e">
        <f t="shared" si="120"/>
        <v>#VALUE!</v>
      </c>
    </row>
    <row r="119" spans="2:19" hidden="1">
      <c r="B119" s="936"/>
      <c r="C119" s="936">
        <f t="shared" si="102"/>
        <v>0</v>
      </c>
      <c r="D119" s="936" t="e">
        <f t="shared" si="131"/>
        <v>#VALUE!</v>
      </c>
      <c r="E119" s="936" t="e">
        <f t="shared" si="132"/>
        <v>#VALUE!</v>
      </c>
      <c r="F119" s="936" t="e">
        <f t="shared" si="133"/>
        <v>#VALUE!</v>
      </c>
      <c r="G119" s="936" t="e">
        <f t="shared" si="134"/>
        <v>#VALUE!</v>
      </c>
      <c r="H119" s="936">
        <f t="shared" si="135"/>
        <v>0</v>
      </c>
      <c r="I119" s="936">
        <f t="shared" si="136"/>
        <v>0</v>
      </c>
      <c r="J119" s="936">
        <f t="shared" si="137"/>
        <v>0</v>
      </c>
      <c r="K119" s="936">
        <f t="shared" si="138"/>
        <v>0</v>
      </c>
      <c r="L119" s="936">
        <f t="shared" si="139"/>
        <v>0</v>
      </c>
      <c r="M119" s="936">
        <f t="shared" si="140"/>
        <v>0</v>
      </c>
      <c r="N119" t="e" cm="1">
        <f t="array" ref="N119">$Y$39*(1+$Y$46)^(4-1)-SUMPRODUCT(D119:F119,(1+$Y$46)^_xlfn.SEQUENCE(1,4-1,4-2,-1))</f>
        <v>#VALUE!</v>
      </c>
      <c r="O119" t="e" cm="1">
        <f t="array" ref="O119">$Y$39*(1+$Y$47)^(4-1)-SUMPRODUCT(D119:F119,(1+$Y$47)^_xlfn.SEQUENCE(1,4-1,4-2,-1))</f>
        <v>#VALUE!</v>
      </c>
      <c r="P119" t="e">
        <f>_xlfn.LET(_xlpm.sRR,$Y$3*$Y$29,_xlpm.sOR,$Y$13*$Y$5*$Y$6,_xlpm.sOI,$AE$29*_xlpm.sOR,_xlpm.sOD,$Y$20*_xlpm.sRR,_xlpm.sGR,_xlpm.sRR+_xlpm.sOI+_xlpm.sOD,_xlpm.sExp,$Z$29+$AB$29*_xlpm.sRR+($AC$29+$Y$21)*_xlpm.sGR+$AD$29*_xlpm.sOR,_xlpm.opCF,_xlpm.sGR-_xlpm.sExp+$AA$29+$AF$29,_xlpm.opCF)+($Y$3*$Y$29*$K$10*(1-$Y$17)-$AG$29)</f>
        <v>#VALUE!</v>
      </c>
      <c r="Q119" t="e">
        <f t="shared" si="118"/>
        <v>#VALUE!</v>
      </c>
      <c r="R119" t="e">
        <f t="shared" si="119"/>
        <v>#VALUE!</v>
      </c>
      <c r="S119" t="e">
        <f t="shared" si="120"/>
        <v>#VALUE!</v>
      </c>
    </row>
    <row r="120" spans="2:19" hidden="1">
      <c r="B120" s="936"/>
      <c r="C120" s="936">
        <f t="shared" si="102"/>
        <v>0</v>
      </c>
      <c r="D120" s="936" t="e">
        <f t="shared" si="131"/>
        <v>#VALUE!</v>
      </c>
      <c r="E120" s="936" t="e">
        <f t="shared" si="132"/>
        <v>#VALUE!</v>
      </c>
      <c r="F120" s="936" t="e">
        <f t="shared" si="133"/>
        <v>#VALUE!</v>
      </c>
      <c r="G120" s="936" t="e">
        <f t="shared" si="134"/>
        <v>#VALUE!</v>
      </c>
      <c r="H120" s="936">
        <f t="shared" si="135"/>
        <v>0</v>
      </c>
      <c r="I120" s="936">
        <f t="shared" si="136"/>
        <v>0</v>
      </c>
      <c r="J120" s="936">
        <f t="shared" si="137"/>
        <v>0</v>
      </c>
      <c r="K120" s="936">
        <f t="shared" si="138"/>
        <v>0</v>
      </c>
      <c r="L120" s="936">
        <f t="shared" si="139"/>
        <v>0</v>
      </c>
      <c r="M120" s="936">
        <f t="shared" si="140"/>
        <v>0</v>
      </c>
      <c r="N120" t="e" cm="1">
        <f t="array" ref="N120">$Y$39*(1+$Y$46)^(4-1)-SUMPRODUCT(D120:F120,(1+$Y$46)^_xlfn.SEQUENCE(1,4-1,4-2,-1))</f>
        <v>#VALUE!</v>
      </c>
      <c r="O120" t="e" cm="1">
        <f t="array" ref="O120">$Y$39*(1+$Y$47)^(4-1)-SUMPRODUCT(D120:F120,(1+$Y$47)^_xlfn.SEQUENCE(1,4-1,4-2,-1))</f>
        <v>#VALUE!</v>
      </c>
      <c r="P120" t="e">
        <f>_xlfn.LET(_xlpm.sRR,$Y$3*$Y$29,_xlpm.sOR,$Y$13*$Y$5*$Y$6,_xlpm.sOI,$AE$29*_xlpm.sOR,_xlpm.sOD,$Y$20*_xlpm.sRR,_xlpm.sGR,_xlpm.sRR+_xlpm.sOI+_xlpm.sOD,_xlpm.sExp,$Z$29+$AB$29*_xlpm.sRR+($AC$29+$Y$21)*_xlpm.sGR+$AD$29*_xlpm.sOR,_xlpm.opCF,_xlpm.sGR-_xlpm.sExp+$AA$29+$AF$29,_xlpm.opCF)+($Y$3*$Y$29*$K$11*(1-$Y$17)-$AG$29)</f>
        <v>#VALUE!</v>
      </c>
      <c r="Q120" t="e">
        <f t="shared" si="118"/>
        <v>#VALUE!</v>
      </c>
      <c r="R120" t="e">
        <f t="shared" si="119"/>
        <v>#VALUE!</v>
      </c>
      <c r="S120" t="e">
        <f t="shared" si="120"/>
        <v>#VALUE!</v>
      </c>
    </row>
    <row r="121" spans="2:19" hidden="1">
      <c r="B121" s="936"/>
      <c r="C121" s="936">
        <f t="shared" si="102"/>
        <v>0</v>
      </c>
      <c r="D121" s="936" t="e">
        <f t="shared" si="131"/>
        <v>#VALUE!</v>
      </c>
      <c r="E121" s="936" t="e">
        <f t="shared" si="132"/>
        <v>#VALUE!</v>
      </c>
      <c r="F121" s="936" t="e">
        <f t="shared" si="133"/>
        <v>#VALUE!</v>
      </c>
      <c r="G121" s="936" t="e">
        <f t="shared" si="134"/>
        <v>#VALUE!</v>
      </c>
      <c r="H121" s="936">
        <f t="shared" si="135"/>
        <v>0</v>
      </c>
      <c r="I121" s="936">
        <f t="shared" si="136"/>
        <v>0</v>
      </c>
      <c r="J121" s="936">
        <f t="shared" si="137"/>
        <v>0</v>
      </c>
      <c r="K121" s="936">
        <f t="shared" si="138"/>
        <v>0</v>
      </c>
      <c r="L121" s="936">
        <f t="shared" si="139"/>
        <v>0</v>
      </c>
      <c r="M121" s="936">
        <f t="shared" si="140"/>
        <v>0</v>
      </c>
      <c r="N121" t="e" cm="1">
        <f t="array" ref="N121">$Y$39*(1+$Y$46)^(4-1)-SUMPRODUCT(D121:F121,(1+$Y$46)^_xlfn.SEQUENCE(1,4-1,4-2,-1))</f>
        <v>#VALUE!</v>
      </c>
      <c r="O121" t="e" cm="1">
        <f t="array" ref="O121">$Y$39*(1+$Y$47)^(4-1)-SUMPRODUCT(D121:F121,(1+$Y$47)^_xlfn.SEQUENCE(1,4-1,4-2,-1))</f>
        <v>#VALUE!</v>
      </c>
      <c r="P121" t="e">
        <f>_xlfn.LET(_xlpm.sRR,$Y$3*$Y$29,_xlpm.sOR,$Y$13*$Y$5*$Y$6,_xlpm.sOI,$AE$29*_xlpm.sOR,_xlpm.sOD,$Y$20*_xlpm.sRR,_xlpm.sGR,_xlpm.sRR+_xlpm.sOI+_xlpm.sOD,_xlpm.sExp,$Z$29+$AB$29*_xlpm.sRR+($AC$29+$Y$21)*_xlpm.sGR+$AD$29*_xlpm.sOR,_xlpm.opCF,_xlpm.sGR-_xlpm.sExp+$AA$29+$AF$29,_xlpm.opCF)+($Y$3*$Y$29*$K$12*(1-$Y$17)-$AG$29)</f>
        <v>#VALUE!</v>
      </c>
      <c r="Q121" t="e">
        <f t="shared" si="118"/>
        <v>#VALUE!</v>
      </c>
      <c r="R121" t="e">
        <f t="shared" si="119"/>
        <v>#VALUE!</v>
      </c>
      <c r="S121" t="e">
        <f t="shared" si="120"/>
        <v>#VALUE!</v>
      </c>
    </row>
    <row r="122" spans="2:19" hidden="1">
      <c r="B122" s="936"/>
      <c r="C122" s="936">
        <f t="shared" si="102"/>
        <v>0</v>
      </c>
      <c r="D122" s="936" t="e">
        <f t="shared" si="131"/>
        <v>#VALUE!</v>
      </c>
      <c r="E122" s="936" t="e">
        <f t="shared" si="132"/>
        <v>#VALUE!</v>
      </c>
      <c r="F122" s="936" t="e">
        <f t="shared" si="133"/>
        <v>#VALUE!</v>
      </c>
      <c r="G122" s="936" t="e">
        <f t="shared" si="134"/>
        <v>#VALUE!</v>
      </c>
      <c r="H122" s="936">
        <f t="shared" si="135"/>
        <v>0</v>
      </c>
      <c r="I122" s="936">
        <f t="shared" si="136"/>
        <v>0</v>
      </c>
      <c r="J122" s="936">
        <f t="shared" si="137"/>
        <v>0</v>
      </c>
      <c r="K122" s="936">
        <f t="shared" si="138"/>
        <v>0</v>
      </c>
      <c r="L122" s="936">
        <f t="shared" si="139"/>
        <v>0</v>
      </c>
      <c r="M122" s="936">
        <f t="shared" si="140"/>
        <v>0</v>
      </c>
      <c r="N122" t="e" cm="1">
        <f t="array" ref="N122">$Y$39*(1+$Y$46)^(4-1)-SUMPRODUCT(D122:F122,(1+$Y$46)^_xlfn.SEQUENCE(1,4-1,4-2,-1))</f>
        <v>#VALUE!</v>
      </c>
      <c r="O122" t="e" cm="1">
        <f t="array" ref="O122">$Y$39*(1+$Y$47)^(4-1)-SUMPRODUCT(D122:F122,(1+$Y$47)^_xlfn.SEQUENCE(1,4-1,4-2,-1))</f>
        <v>#VALUE!</v>
      </c>
      <c r="P122" t="e">
        <f>_xlfn.LET(_xlpm.sRR,$Y$3*$Y$29,_xlpm.sOR,$Y$13*$Y$5*$Y$6,_xlpm.sOI,$AE$29*_xlpm.sOR,_xlpm.sOD,$Y$20*_xlpm.sRR,_xlpm.sGR,_xlpm.sRR+_xlpm.sOI+_xlpm.sOD,_xlpm.sExp,$Z$29+$AB$29*_xlpm.sRR+($AC$29+$Y$21)*_xlpm.sGR+$AD$29*_xlpm.sOR,_xlpm.opCF,_xlpm.sGR-_xlpm.sExp+$AA$29+$AF$29,_xlpm.opCF)+($Y$3*$Y$29*$K$13*(1-$Y$17)-$AG$29)</f>
        <v>#VALUE!</v>
      </c>
      <c r="Q122" t="e">
        <f t="shared" si="118"/>
        <v>#VALUE!</v>
      </c>
      <c r="R122" t="e">
        <f t="shared" si="119"/>
        <v>#VALUE!</v>
      </c>
      <c r="S122" t="e">
        <f t="shared" si="120"/>
        <v>#VALUE!</v>
      </c>
    </row>
    <row r="123" spans="2:19" hidden="1">
      <c r="B123" s="936"/>
      <c r="C123" s="936">
        <f t="shared" si="102"/>
        <v>0</v>
      </c>
      <c r="D123" s="936" t="e">
        <f t="shared" si="131"/>
        <v>#VALUE!</v>
      </c>
      <c r="E123" s="936" t="e">
        <f t="shared" si="132"/>
        <v>#VALUE!</v>
      </c>
      <c r="F123" s="936" t="e">
        <f t="shared" si="133"/>
        <v>#VALUE!</v>
      </c>
      <c r="G123" s="936" t="e">
        <f t="shared" si="134"/>
        <v>#VALUE!</v>
      </c>
      <c r="H123" s="936">
        <f t="shared" si="135"/>
        <v>0</v>
      </c>
      <c r="I123" s="936">
        <f t="shared" si="136"/>
        <v>0</v>
      </c>
      <c r="J123" s="936">
        <f t="shared" si="137"/>
        <v>0</v>
      </c>
      <c r="K123" s="936">
        <f t="shared" si="138"/>
        <v>0</v>
      </c>
      <c r="L123" s="936">
        <f t="shared" si="139"/>
        <v>0</v>
      </c>
      <c r="M123" s="936">
        <f t="shared" si="140"/>
        <v>0</v>
      </c>
      <c r="N123" t="e" cm="1">
        <f t="array" ref="N123">$Y$39*(1+$Y$46)^(4-1)-SUMPRODUCT(D123:F123,(1+$Y$46)^_xlfn.SEQUENCE(1,4-1,4-2,-1))</f>
        <v>#VALUE!</v>
      </c>
      <c r="O123" t="e" cm="1">
        <f t="array" ref="O123">$Y$39*(1+$Y$47)^(4-1)-SUMPRODUCT(D123:F123,(1+$Y$47)^_xlfn.SEQUENCE(1,4-1,4-2,-1))</f>
        <v>#VALUE!</v>
      </c>
      <c r="P123" t="e">
        <f>_xlfn.LET(_xlpm.sRR,$Y$3*$Y$29,_xlpm.sOR,$Y$13*$Y$5*$Y$6,_xlpm.sOI,$AE$29*_xlpm.sOR,_xlpm.sOD,$Y$20*_xlpm.sRR,_xlpm.sGR,_xlpm.sRR+_xlpm.sOI+_xlpm.sOD,_xlpm.sExp,$Z$29+$AB$29*_xlpm.sRR+($AC$29+$Y$21)*_xlpm.sGR+$AD$29*_xlpm.sOR,_xlpm.opCF,_xlpm.sGR-_xlpm.sExp+$AA$29+$AF$29,_xlpm.opCF)+($Y$3*$Y$29*$K$14*(1-$Y$17)-$AG$29)</f>
        <v>#VALUE!</v>
      </c>
      <c r="Q123" t="e">
        <f t="shared" si="118"/>
        <v>#VALUE!</v>
      </c>
      <c r="R123" t="e">
        <f t="shared" si="119"/>
        <v>#VALUE!</v>
      </c>
      <c r="S123" t="e">
        <f t="shared" si="120"/>
        <v>#VALUE!</v>
      </c>
    </row>
    <row r="124" spans="2:19" hidden="1">
      <c r="B124" s="936"/>
      <c r="C124" s="936">
        <f t="shared" si="102"/>
        <v>0</v>
      </c>
      <c r="D124" s="936" t="e">
        <f t="shared" ref="D124:D130" si="141">IF(1&gt;P$18,0,IF(1&lt;P$18,$Y$40*_xlfn.LET(_xlpm.sRR,$Y$3*$Y$26,_xlpm.sOR,$Y$13*$Y$5*$Y$6,_xlpm.sOI,$AE$26*_xlpm.sOR,_xlpm.sOD,$Y$20*_xlpm.sRR,_xlpm.sGR,_xlpm.sRR+_xlpm.sOI+_xlpm.sOD,_xlpm.sExp,$Z$26+$AB$26*_xlpm.sRR+($AC$26+$Y$21)*_xlpm.sGR+$AD$26*_xlpm.sOR,_xlpm.sGR-_xlpm.sExp+$AA$26+$AF$26),IF(P124&lt;=0,$Y$38*P124,Q124+R124+S124)))</f>
        <v>#VALUE!</v>
      </c>
      <c r="E124" s="936" t="e">
        <f t="shared" ref="E124:E130" si="142">IF(2&gt;P$18,0,IF(2&lt;P$18,$Y$40*_xlfn.LET(_xlpm.sRR,$Y$3*$Y$27,_xlpm.sOR,$Y$13*$Y$5*$Y$6,_xlpm.sOI,$AE$27*_xlpm.sOR,_xlpm.sOD,$Y$20*_xlpm.sRR,_xlpm.sGR,_xlpm.sRR+_xlpm.sOI+_xlpm.sOD,_xlpm.sExp,$Z$27+$AB$27*_xlpm.sRR+($AC$27+$Y$21)*_xlpm.sGR+$AD$27*_xlpm.sOR,_xlpm.sGR-_xlpm.sExp+$AA$27+$AF$27),IF(P124&lt;=0,$Y$38*P124,Q124+R124+S124)))</f>
        <v>#VALUE!</v>
      </c>
      <c r="F124" s="936" t="e">
        <f t="shared" ref="F124:F130" si="143">IF(3&gt;P$18,0,IF(3&lt;P$18,$Y$40*_xlfn.LET(_xlpm.sRR,$Y$3*$Y$28,_xlpm.sOR,$Y$13*$Y$5*$Y$6,_xlpm.sOI,$AE$28*_xlpm.sOR,_xlpm.sOD,$Y$20*_xlpm.sRR,_xlpm.sGR,_xlpm.sRR+_xlpm.sOI+_xlpm.sOD,_xlpm.sExp,$Z$28+$AB$28*_xlpm.sRR+($AC$28+$Y$21)*_xlpm.sGR+$AD$28*_xlpm.sOR,_xlpm.sGR-_xlpm.sExp+$AA$28+$AF$28),IF(P124&lt;=0,$Y$38*P124,Q124+R124+S124)))</f>
        <v>#VALUE!</v>
      </c>
      <c r="G124" s="936" t="e">
        <f t="shared" ref="G124:G130" si="144">IF(4&gt;P$18,0,IF(4&lt;P$18,$Y$40*_xlfn.LET(_xlpm.sRR,$Y$3*$Y$29,_xlpm.sOR,$Y$13*$Y$5*$Y$6,_xlpm.sOI,$AE$29*_xlpm.sOR,_xlpm.sOD,$Y$20*_xlpm.sRR,_xlpm.sGR,_xlpm.sRR+_xlpm.sOI+_xlpm.sOD,_xlpm.sExp,$Z$29+$AB$29*_xlpm.sRR+($AC$29+$Y$21)*_xlpm.sGR+$AD$29*_xlpm.sOR,_xlpm.sGR-_xlpm.sExp+$AA$29+$AF$29),IF(P124&lt;=0,$Y$38*P124,Q124+R124+S124)))</f>
        <v>#VALUE!</v>
      </c>
      <c r="H124" s="936" t="e">
        <f t="shared" ref="H124:H130" si="145">IF(5&gt;P$18,0,IF(5&lt;P$18,$Y$40*_xlfn.LET(_xlpm.sRR,$Y$3*$Y$30,_xlpm.sOR,$Y$13*$Y$5*$Y$6,_xlpm.sOI,$AE$30*_xlpm.sOR,_xlpm.sOD,$Y$20*_xlpm.sRR,_xlpm.sGR,_xlpm.sRR+_xlpm.sOI+_xlpm.sOD,_xlpm.sExp,$Z$30+$AB$30*_xlpm.sRR+($AC$30+$Y$21)*_xlpm.sGR+$AD$30*_xlpm.sOR,_xlpm.sGR-_xlpm.sExp+$AA$30+$AF$30),IF(P124&lt;=0,$Y$38*P124,Q124+R124+S124)))</f>
        <v>#VALUE!</v>
      </c>
      <c r="I124" s="936">
        <f t="shared" ref="I124:I130" si="146">IF(6&gt;P$18,0,IF(6&lt;P$18,$Y$40*_xlfn.LET(_xlpm.sRR,$Y$3*$Y$31,_xlpm.sOR,$Y$13*$Y$5*$Y$6,_xlpm.sOI,$AE$31*_xlpm.sOR,_xlpm.sOD,$Y$20*_xlpm.sRR,_xlpm.sGR,_xlpm.sRR+_xlpm.sOI+_xlpm.sOD,_xlpm.sExp,$Z$31+$AB$31*_xlpm.sRR+($AC$31+$Y$21)*_xlpm.sGR+$AD$31*_xlpm.sOR,_xlpm.sGR-_xlpm.sExp+$AA$31+$AF$31),IF(P124&lt;=0,$Y$38*P124,Q124+R124+S124)))</f>
        <v>0</v>
      </c>
      <c r="J124" s="936">
        <f t="shared" ref="J124:J130" si="147">IF(7&gt;P$18,0,IF(7&lt;P$18,$Y$40*_xlfn.LET(_xlpm.sRR,$Y$3*$Y$32,_xlpm.sOR,$Y$13*$Y$5*$Y$6,_xlpm.sOI,$AE$32*_xlpm.sOR,_xlpm.sOD,$Y$20*_xlpm.sRR,_xlpm.sGR,_xlpm.sRR+_xlpm.sOI+_xlpm.sOD,_xlpm.sExp,$Z$32+$AB$32*_xlpm.sRR+($AC$32+$Y$21)*_xlpm.sGR+$AD$32*_xlpm.sOR,_xlpm.sGR-_xlpm.sExp+$AA$32+$AF$32),IF(P124&lt;=0,$Y$38*P124,Q124+R124+S124)))</f>
        <v>0</v>
      </c>
      <c r="K124" s="936">
        <f t="shared" ref="K124:K130" si="148">IF(8&gt;P$18,0,IF(8&lt;P$18,$Y$40*_xlfn.LET(_xlpm.sRR,$Y$3*$Y$33,_xlpm.sOR,$Y$13*$Y$5*$Y$6,_xlpm.sOI,$AE$33*_xlpm.sOR,_xlpm.sOD,$Y$20*_xlpm.sRR,_xlpm.sGR,_xlpm.sRR+_xlpm.sOI+_xlpm.sOD,_xlpm.sExp,$Z$33+$AB$33*_xlpm.sRR+($AC$33+$Y$21)*_xlpm.sGR+$AD$33*_xlpm.sOR,_xlpm.sGR-_xlpm.sExp+$AA$33+$AF$33),IF(P124&lt;=0,$Y$38*P124,Q124+R124+S124)))</f>
        <v>0</v>
      </c>
      <c r="L124" s="936">
        <f t="shared" ref="L124:L130" si="149">IF(9&gt;P$18,0,IF(9&lt;P$18,$Y$40*_xlfn.LET(_xlpm.sRR,$Y$3*$Y$34,_xlpm.sOR,$Y$13*$Y$5*$Y$6,_xlpm.sOI,$AE$34*_xlpm.sOR,_xlpm.sOD,$Y$20*_xlpm.sRR,_xlpm.sGR,_xlpm.sRR+_xlpm.sOI+_xlpm.sOD,_xlpm.sExp,$Z$34+$AB$34*_xlpm.sRR+($AC$34+$Y$21)*_xlpm.sGR+$AD$34*_xlpm.sOR,_xlpm.sGR-_xlpm.sExp+$AA$34+$AF$34),IF(P124&lt;=0,$Y$38*P124,Q124+R124+S124)))</f>
        <v>0</v>
      </c>
      <c r="M124" s="936">
        <f t="shared" ref="M124:M130" si="150">IF(10&gt;P$18,0,IF(10&lt;P$18,$Y$40*_xlfn.LET(_xlpm.sRR,$Y$3*$Y$35,_xlpm.sOR,$Y$13*$Y$5*$Y$6,_xlpm.sOI,$AE$35*_xlpm.sOR,_xlpm.sOD,$Y$20*_xlpm.sRR,_xlpm.sGR,_xlpm.sRR+_xlpm.sOI+_xlpm.sOD,_xlpm.sExp,$Z$35+$AB$35*_xlpm.sRR+($AC$35+$Y$21)*_xlpm.sGR+$AD$35*_xlpm.sOR,_xlpm.sGR-_xlpm.sExp+$AA$35+$AF$35),IF(P124&lt;=0,$Y$38*P124,Q124+R124+S124)))</f>
        <v>0</v>
      </c>
      <c r="N124" t="e" cm="1">
        <f t="array" ref="N124">$Y$39*(1+$Y$46)^(5-1)-SUMPRODUCT(D124:G124,(1+$Y$46)^_xlfn.SEQUENCE(1,5-1,5-2,-1))</f>
        <v>#VALUE!</v>
      </c>
      <c r="O124" t="e" cm="1">
        <f t="array" ref="O124">$Y$39*(1+$Y$47)^(5-1)-SUMPRODUCT(D124:G124,(1+$Y$47)^_xlfn.SEQUENCE(1,5-1,5-2,-1))</f>
        <v>#VALUE!</v>
      </c>
      <c r="P124" t="e">
        <f>_xlfn.LET(_xlpm.sRR,$Y$3*$Y$30,_xlpm.sOR,$Y$13*$Y$5*$Y$6,_xlpm.sOI,$AE$30*_xlpm.sOR,_xlpm.sOD,$Y$20*_xlpm.sRR,_xlpm.sGR,_xlpm.sRR+_xlpm.sOI+_xlpm.sOD,_xlpm.sExp,$Z$30+$AB$30*_xlpm.sRR+($AC$30+$Y$21)*_xlpm.sGR+$AD$30*_xlpm.sOR,_xlpm.opCF,_xlpm.sGR-_xlpm.sExp+$AA$30+$AF$30,_xlpm.opCF)+($Y$3*$Y$30*$K$8*(1-$Y$17)-$AG$30)</f>
        <v>#VALUE!</v>
      </c>
      <c r="Q124" t="e">
        <f t="shared" si="118"/>
        <v>#VALUE!</v>
      </c>
      <c r="R124" t="e">
        <f t="shared" si="119"/>
        <v>#VALUE!</v>
      </c>
      <c r="S124" t="e">
        <f t="shared" si="120"/>
        <v>#VALUE!</v>
      </c>
    </row>
    <row r="125" spans="2:19" hidden="1">
      <c r="B125" s="936"/>
      <c r="C125" s="936">
        <f t="shared" si="102"/>
        <v>0</v>
      </c>
      <c r="D125" s="936" t="e">
        <f t="shared" si="141"/>
        <v>#VALUE!</v>
      </c>
      <c r="E125" s="936" t="e">
        <f t="shared" si="142"/>
        <v>#VALUE!</v>
      </c>
      <c r="F125" s="936" t="e">
        <f t="shared" si="143"/>
        <v>#VALUE!</v>
      </c>
      <c r="G125" s="936" t="e">
        <f t="shared" si="144"/>
        <v>#VALUE!</v>
      </c>
      <c r="H125" s="936" t="e">
        <f t="shared" si="145"/>
        <v>#VALUE!</v>
      </c>
      <c r="I125" s="936">
        <f t="shared" si="146"/>
        <v>0</v>
      </c>
      <c r="J125" s="936">
        <f t="shared" si="147"/>
        <v>0</v>
      </c>
      <c r="K125" s="936">
        <f t="shared" si="148"/>
        <v>0</v>
      </c>
      <c r="L125" s="936">
        <f t="shared" si="149"/>
        <v>0</v>
      </c>
      <c r="M125" s="936">
        <f t="shared" si="150"/>
        <v>0</v>
      </c>
      <c r="N125" t="e" cm="1">
        <f t="array" ref="N125">$Y$39*(1+$Y$46)^(5-1)-SUMPRODUCT(D125:G125,(1+$Y$46)^_xlfn.SEQUENCE(1,5-1,5-2,-1))</f>
        <v>#VALUE!</v>
      </c>
      <c r="O125" t="e" cm="1">
        <f t="array" ref="O125">$Y$39*(1+$Y$47)^(5-1)-SUMPRODUCT(D125:G125,(1+$Y$47)^_xlfn.SEQUENCE(1,5-1,5-2,-1))</f>
        <v>#VALUE!</v>
      </c>
      <c r="P125" t="e">
        <f>_xlfn.LET(_xlpm.sRR,$Y$3*$Y$30,_xlpm.sOR,$Y$13*$Y$5*$Y$6,_xlpm.sOI,$AE$30*_xlpm.sOR,_xlpm.sOD,$Y$20*_xlpm.sRR,_xlpm.sGR,_xlpm.sRR+_xlpm.sOI+_xlpm.sOD,_xlpm.sExp,$Z$30+$AB$30*_xlpm.sRR+($AC$30+$Y$21)*_xlpm.sGR+$AD$30*_xlpm.sOR,_xlpm.opCF,_xlpm.sGR-_xlpm.sExp+$AA$30+$AF$30,_xlpm.opCF)+($Y$3*$Y$30*$K$9*(1-$Y$17)-$AG$30)</f>
        <v>#VALUE!</v>
      </c>
      <c r="Q125" t="e">
        <f t="shared" si="118"/>
        <v>#VALUE!</v>
      </c>
      <c r="R125" t="e">
        <f t="shared" si="119"/>
        <v>#VALUE!</v>
      </c>
      <c r="S125" t="e">
        <f t="shared" si="120"/>
        <v>#VALUE!</v>
      </c>
    </row>
    <row r="126" spans="2:19" hidden="1">
      <c r="B126" s="936"/>
      <c r="C126" s="936">
        <f t="shared" si="102"/>
        <v>0</v>
      </c>
      <c r="D126" s="936" t="e">
        <f t="shared" si="141"/>
        <v>#VALUE!</v>
      </c>
      <c r="E126" s="936" t="e">
        <f t="shared" si="142"/>
        <v>#VALUE!</v>
      </c>
      <c r="F126" s="936" t="e">
        <f t="shared" si="143"/>
        <v>#VALUE!</v>
      </c>
      <c r="G126" s="936" t="e">
        <f t="shared" si="144"/>
        <v>#VALUE!</v>
      </c>
      <c r="H126" s="936" t="e">
        <f t="shared" si="145"/>
        <v>#VALUE!</v>
      </c>
      <c r="I126" s="936">
        <f t="shared" si="146"/>
        <v>0</v>
      </c>
      <c r="J126" s="936">
        <f t="shared" si="147"/>
        <v>0</v>
      </c>
      <c r="K126" s="936">
        <f t="shared" si="148"/>
        <v>0</v>
      </c>
      <c r="L126" s="936">
        <f t="shared" si="149"/>
        <v>0</v>
      </c>
      <c r="M126" s="936">
        <f t="shared" si="150"/>
        <v>0</v>
      </c>
      <c r="N126" t="e" cm="1">
        <f t="array" ref="N126">$Y$39*(1+$Y$46)^(5-1)-SUMPRODUCT(D126:G126,(1+$Y$46)^_xlfn.SEQUENCE(1,5-1,5-2,-1))</f>
        <v>#VALUE!</v>
      </c>
      <c r="O126" t="e" cm="1">
        <f t="array" ref="O126">$Y$39*(1+$Y$47)^(5-1)-SUMPRODUCT(D126:G126,(1+$Y$47)^_xlfn.SEQUENCE(1,5-1,5-2,-1))</f>
        <v>#VALUE!</v>
      </c>
      <c r="P126" t="e">
        <f>_xlfn.LET(_xlpm.sRR,$Y$3*$Y$30,_xlpm.sOR,$Y$13*$Y$5*$Y$6,_xlpm.sOI,$AE$30*_xlpm.sOR,_xlpm.sOD,$Y$20*_xlpm.sRR,_xlpm.sGR,_xlpm.sRR+_xlpm.sOI+_xlpm.sOD,_xlpm.sExp,$Z$30+$AB$30*_xlpm.sRR+($AC$30+$Y$21)*_xlpm.sGR+$AD$30*_xlpm.sOR,_xlpm.opCF,_xlpm.sGR-_xlpm.sExp+$AA$30+$AF$30,_xlpm.opCF)+($Y$3*$Y$30*$K$10*(1-$Y$17)-$AG$30)</f>
        <v>#VALUE!</v>
      </c>
      <c r="Q126" t="e">
        <f t="shared" si="118"/>
        <v>#VALUE!</v>
      </c>
      <c r="R126" t="e">
        <f t="shared" si="119"/>
        <v>#VALUE!</v>
      </c>
      <c r="S126" t="e">
        <f t="shared" si="120"/>
        <v>#VALUE!</v>
      </c>
    </row>
    <row r="127" spans="2:19" hidden="1">
      <c r="B127" s="936"/>
      <c r="C127" s="936">
        <f t="shared" si="102"/>
        <v>0</v>
      </c>
      <c r="D127" s="936" t="e">
        <f t="shared" si="141"/>
        <v>#VALUE!</v>
      </c>
      <c r="E127" s="936" t="e">
        <f t="shared" si="142"/>
        <v>#VALUE!</v>
      </c>
      <c r="F127" s="936" t="e">
        <f t="shared" si="143"/>
        <v>#VALUE!</v>
      </c>
      <c r="G127" s="936" t="e">
        <f t="shared" si="144"/>
        <v>#VALUE!</v>
      </c>
      <c r="H127" s="936" t="e">
        <f t="shared" si="145"/>
        <v>#VALUE!</v>
      </c>
      <c r="I127" s="936">
        <f t="shared" si="146"/>
        <v>0</v>
      </c>
      <c r="J127" s="936">
        <f t="shared" si="147"/>
        <v>0</v>
      </c>
      <c r="K127" s="936">
        <f t="shared" si="148"/>
        <v>0</v>
      </c>
      <c r="L127" s="936">
        <f t="shared" si="149"/>
        <v>0</v>
      </c>
      <c r="M127" s="936">
        <f t="shared" si="150"/>
        <v>0</v>
      </c>
      <c r="N127" t="e" cm="1">
        <f t="array" ref="N127">$Y$39*(1+$Y$46)^(5-1)-SUMPRODUCT(D127:G127,(1+$Y$46)^_xlfn.SEQUENCE(1,5-1,5-2,-1))</f>
        <v>#VALUE!</v>
      </c>
      <c r="O127" t="e" cm="1">
        <f t="array" ref="O127">$Y$39*(1+$Y$47)^(5-1)-SUMPRODUCT(D127:G127,(1+$Y$47)^_xlfn.SEQUENCE(1,5-1,5-2,-1))</f>
        <v>#VALUE!</v>
      </c>
      <c r="P127" t="e">
        <f>_xlfn.LET(_xlpm.sRR,$Y$3*$Y$30,_xlpm.sOR,$Y$13*$Y$5*$Y$6,_xlpm.sOI,$AE$30*_xlpm.sOR,_xlpm.sOD,$Y$20*_xlpm.sRR,_xlpm.sGR,_xlpm.sRR+_xlpm.sOI+_xlpm.sOD,_xlpm.sExp,$Z$30+$AB$30*_xlpm.sRR+($AC$30+$Y$21)*_xlpm.sGR+$AD$30*_xlpm.sOR,_xlpm.opCF,_xlpm.sGR-_xlpm.sExp+$AA$30+$AF$30,_xlpm.opCF)+($Y$3*$Y$30*$K$11*(1-$Y$17)-$AG$30)</f>
        <v>#VALUE!</v>
      </c>
      <c r="Q127" t="e">
        <f t="shared" si="118"/>
        <v>#VALUE!</v>
      </c>
      <c r="R127" t="e">
        <f t="shared" si="119"/>
        <v>#VALUE!</v>
      </c>
      <c r="S127" t="e">
        <f t="shared" si="120"/>
        <v>#VALUE!</v>
      </c>
    </row>
    <row r="128" spans="2:19" hidden="1">
      <c r="B128" s="936"/>
      <c r="C128" s="936">
        <f t="shared" ref="C128:C159" si="151">-$Y$39</f>
        <v>0</v>
      </c>
      <c r="D128" s="936" t="e">
        <f t="shared" si="141"/>
        <v>#VALUE!</v>
      </c>
      <c r="E128" s="936" t="e">
        <f t="shared" si="142"/>
        <v>#VALUE!</v>
      </c>
      <c r="F128" s="936" t="e">
        <f t="shared" si="143"/>
        <v>#VALUE!</v>
      </c>
      <c r="G128" s="936" t="e">
        <f t="shared" si="144"/>
        <v>#VALUE!</v>
      </c>
      <c r="H128" s="936" t="e">
        <f t="shared" si="145"/>
        <v>#VALUE!</v>
      </c>
      <c r="I128" s="936">
        <f t="shared" si="146"/>
        <v>0</v>
      </c>
      <c r="J128" s="936">
        <f t="shared" si="147"/>
        <v>0</v>
      </c>
      <c r="K128" s="936">
        <f t="shared" si="148"/>
        <v>0</v>
      </c>
      <c r="L128" s="936">
        <f t="shared" si="149"/>
        <v>0</v>
      </c>
      <c r="M128" s="936">
        <f t="shared" si="150"/>
        <v>0</v>
      </c>
      <c r="N128" t="e" cm="1">
        <f t="array" ref="N128">$Y$39*(1+$Y$46)^(5-1)-SUMPRODUCT(D128:G128,(1+$Y$46)^_xlfn.SEQUENCE(1,5-1,5-2,-1))</f>
        <v>#VALUE!</v>
      </c>
      <c r="O128" t="e" cm="1">
        <f t="array" ref="O128">$Y$39*(1+$Y$47)^(5-1)-SUMPRODUCT(D128:G128,(1+$Y$47)^_xlfn.SEQUENCE(1,5-1,5-2,-1))</f>
        <v>#VALUE!</v>
      </c>
      <c r="P128" t="e">
        <f>_xlfn.LET(_xlpm.sRR,$Y$3*$Y$30,_xlpm.sOR,$Y$13*$Y$5*$Y$6,_xlpm.sOI,$AE$30*_xlpm.sOR,_xlpm.sOD,$Y$20*_xlpm.sRR,_xlpm.sGR,_xlpm.sRR+_xlpm.sOI+_xlpm.sOD,_xlpm.sExp,$Z$30+$AB$30*_xlpm.sRR+($AC$30+$Y$21)*_xlpm.sGR+$AD$30*_xlpm.sOR,_xlpm.opCF,_xlpm.sGR-_xlpm.sExp+$AA$30+$AF$30,_xlpm.opCF)+($Y$3*$Y$30*$K$12*(1-$Y$17)-$AG$30)</f>
        <v>#VALUE!</v>
      </c>
      <c r="Q128" t="e">
        <f t="shared" si="118"/>
        <v>#VALUE!</v>
      </c>
      <c r="R128" t="e">
        <f t="shared" si="119"/>
        <v>#VALUE!</v>
      </c>
      <c r="S128" t="e">
        <f t="shared" si="120"/>
        <v>#VALUE!</v>
      </c>
    </row>
    <row r="129" spans="2:19" hidden="1">
      <c r="B129" s="936"/>
      <c r="C129" s="936">
        <f t="shared" si="151"/>
        <v>0</v>
      </c>
      <c r="D129" s="936" t="e">
        <f t="shared" si="141"/>
        <v>#VALUE!</v>
      </c>
      <c r="E129" s="936" t="e">
        <f t="shared" si="142"/>
        <v>#VALUE!</v>
      </c>
      <c r="F129" s="936" t="e">
        <f t="shared" si="143"/>
        <v>#VALUE!</v>
      </c>
      <c r="G129" s="936" t="e">
        <f t="shared" si="144"/>
        <v>#VALUE!</v>
      </c>
      <c r="H129" s="936" t="e">
        <f t="shared" si="145"/>
        <v>#VALUE!</v>
      </c>
      <c r="I129" s="936">
        <f t="shared" si="146"/>
        <v>0</v>
      </c>
      <c r="J129" s="936">
        <f t="shared" si="147"/>
        <v>0</v>
      </c>
      <c r="K129" s="936">
        <f t="shared" si="148"/>
        <v>0</v>
      </c>
      <c r="L129" s="936">
        <f t="shared" si="149"/>
        <v>0</v>
      </c>
      <c r="M129" s="936">
        <f t="shared" si="150"/>
        <v>0</v>
      </c>
      <c r="N129" t="e" cm="1">
        <f t="array" ref="N129">$Y$39*(1+$Y$46)^(5-1)-SUMPRODUCT(D129:G129,(1+$Y$46)^_xlfn.SEQUENCE(1,5-1,5-2,-1))</f>
        <v>#VALUE!</v>
      </c>
      <c r="O129" t="e" cm="1">
        <f t="array" ref="O129">$Y$39*(1+$Y$47)^(5-1)-SUMPRODUCT(D129:G129,(1+$Y$47)^_xlfn.SEQUENCE(1,5-1,5-2,-1))</f>
        <v>#VALUE!</v>
      </c>
      <c r="P129" t="e">
        <f>_xlfn.LET(_xlpm.sRR,$Y$3*$Y$30,_xlpm.sOR,$Y$13*$Y$5*$Y$6,_xlpm.sOI,$AE$30*_xlpm.sOR,_xlpm.sOD,$Y$20*_xlpm.sRR,_xlpm.sGR,_xlpm.sRR+_xlpm.sOI+_xlpm.sOD,_xlpm.sExp,$Z$30+$AB$30*_xlpm.sRR+($AC$30+$Y$21)*_xlpm.sGR+$AD$30*_xlpm.sOR,_xlpm.opCF,_xlpm.sGR-_xlpm.sExp+$AA$30+$AF$30,_xlpm.opCF)+($Y$3*$Y$30*$K$13*(1-$Y$17)-$AG$30)</f>
        <v>#VALUE!</v>
      </c>
      <c r="Q129" t="e">
        <f t="shared" si="118"/>
        <v>#VALUE!</v>
      </c>
      <c r="R129" t="e">
        <f t="shared" si="119"/>
        <v>#VALUE!</v>
      </c>
      <c r="S129" t="e">
        <f t="shared" si="120"/>
        <v>#VALUE!</v>
      </c>
    </row>
    <row r="130" spans="2:19" hidden="1">
      <c r="B130" s="936"/>
      <c r="C130" s="936">
        <f t="shared" si="151"/>
        <v>0</v>
      </c>
      <c r="D130" s="936" t="e">
        <f t="shared" si="141"/>
        <v>#VALUE!</v>
      </c>
      <c r="E130" s="936" t="e">
        <f t="shared" si="142"/>
        <v>#VALUE!</v>
      </c>
      <c r="F130" s="936" t="e">
        <f t="shared" si="143"/>
        <v>#VALUE!</v>
      </c>
      <c r="G130" s="936" t="e">
        <f t="shared" si="144"/>
        <v>#VALUE!</v>
      </c>
      <c r="H130" s="936" t="e">
        <f t="shared" si="145"/>
        <v>#VALUE!</v>
      </c>
      <c r="I130" s="936">
        <f t="shared" si="146"/>
        <v>0</v>
      </c>
      <c r="J130" s="936">
        <f t="shared" si="147"/>
        <v>0</v>
      </c>
      <c r="K130" s="936">
        <f t="shared" si="148"/>
        <v>0</v>
      </c>
      <c r="L130" s="936">
        <f t="shared" si="149"/>
        <v>0</v>
      </c>
      <c r="M130" s="936">
        <f t="shared" si="150"/>
        <v>0</v>
      </c>
      <c r="N130" t="e" cm="1">
        <f t="array" ref="N130">$Y$39*(1+$Y$46)^(5-1)-SUMPRODUCT(D130:G130,(1+$Y$46)^_xlfn.SEQUENCE(1,5-1,5-2,-1))</f>
        <v>#VALUE!</v>
      </c>
      <c r="O130" t="e" cm="1">
        <f t="array" ref="O130">$Y$39*(1+$Y$47)^(5-1)-SUMPRODUCT(D130:G130,(1+$Y$47)^_xlfn.SEQUENCE(1,5-1,5-2,-1))</f>
        <v>#VALUE!</v>
      </c>
      <c r="P130" t="e">
        <f>_xlfn.LET(_xlpm.sRR,$Y$3*$Y$30,_xlpm.sOR,$Y$13*$Y$5*$Y$6,_xlpm.sOI,$AE$30*_xlpm.sOR,_xlpm.sOD,$Y$20*_xlpm.sRR,_xlpm.sGR,_xlpm.sRR+_xlpm.sOI+_xlpm.sOD,_xlpm.sExp,$Z$30+$AB$30*_xlpm.sRR+($AC$30+$Y$21)*_xlpm.sGR+$AD$30*_xlpm.sOR,_xlpm.opCF,_xlpm.sGR-_xlpm.sExp+$AA$30+$AF$30,_xlpm.opCF)+($Y$3*$Y$30*$K$14*(1-$Y$17)-$AG$30)</f>
        <v>#VALUE!</v>
      </c>
      <c r="Q130" t="e">
        <f t="shared" si="118"/>
        <v>#VALUE!</v>
      </c>
      <c r="R130" t="e">
        <f t="shared" si="119"/>
        <v>#VALUE!</v>
      </c>
      <c r="S130" t="e">
        <f t="shared" si="120"/>
        <v>#VALUE!</v>
      </c>
    </row>
    <row r="131" spans="2:19" hidden="1">
      <c r="B131" s="936"/>
      <c r="C131" s="936">
        <f t="shared" si="151"/>
        <v>0</v>
      </c>
      <c r="D131" s="936" t="e">
        <f t="shared" ref="D131:D137" si="152">IF(1&gt;Q$18,0,IF(1&lt;Q$18,$Y$40*_xlfn.LET(_xlpm.sRR,$Y$3*$Y$26,_xlpm.sOR,$Y$13*$Y$5*$Y$6,_xlpm.sOI,$AE$26*_xlpm.sOR,_xlpm.sOD,$Y$20*_xlpm.sRR,_xlpm.sGR,_xlpm.sRR+_xlpm.sOI+_xlpm.sOD,_xlpm.sExp,$Z$26+$AB$26*_xlpm.sRR+($AC$26+$Y$21)*_xlpm.sGR+$AD$26*_xlpm.sOR,_xlpm.sGR-_xlpm.sExp+$AA$26+$AF$26),IF(P131&lt;=0,$Y$38*P131,Q131+R131+S131)))</f>
        <v>#VALUE!</v>
      </c>
      <c r="E131" s="936" t="e">
        <f t="shared" ref="E131:E137" si="153">IF(2&gt;Q$18,0,IF(2&lt;Q$18,$Y$40*_xlfn.LET(_xlpm.sRR,$Y$3*$Y$27,_xlpm.sOR,$Y$13*$Y$5*$Y$6,_xlpm.sOI,$AE$27*_xlpm.sOR,_xlpm.sOD,$Y$20*_xlpm.sRR,_xlpm.sGR,_xlpm.sRR+_xlpm.sOI+_xlpm.sOD,_xlpm.sExp,$Z$27+$AB$27*_xlpm.sRR+($AC$27+$Y$21)*_xlpm.sGR+$AD$27*_xlpm.sOR,_xlpm.sGR-_xlpm.sExp+$AA$27+$AF$27),IF(P131&lt;=0,$Y$38*P131,Q131+R131+S131)))</f>
        <v>#VALUE!</v>
      </c>
      <c r="F131" s="936" t="e">
        <f t="shared" ref="F131:F137" si="154">IF(3&gt;Q$18,0,IF(3&lt;Q$18,$Y$40*_xlfn.LET(_xlpm.sRR,$Y$3*$Y$28,_xlpm.sOR,$Y$13*$Y$5*$Y$6,_xlpm.sOI,$AE$28*_xlpm.sOR,_xlpm.sOD,$Y$20*_xlpm.sRR,_xlpm.sGR,_xlpm.sRR+_xlpm.sOI+_xlpm.sOD,_xlpm.sExp,$Z$28+$AB$28*_xlpm.sRR+($AC$28+$Y$21)*_xlpm.sGR+$AD$28*_xlpm.sOR,_xlpm.sGR-_xlpm.sExp+$AA$28+$AF$28),IF(P131&lt;=0,$Y$38*P131,Q131+R131+S131)))</f>
        <v>#VALUE!</v>
      </c>
      <c r="G131" s="936" t="e">
        <f t="shared" ref="G131:G137" si="155">IF(4&gt;Q$18,0,IF(4&lt;Q$18,$Y$40*_xlfn.LET(_xlpm.sRR,$Y$3*$Y$29,_xlpm.sOR,$Y$13*$Y$5*$Y$6,_xlpm.sOI,$AE$29*_xlpm.sOR,_xlpm.sOD,$Y$20*_xlpm.sRR,_xlpm.sGR,_xlpm.sRR+_xlpm.sOI+_xlpm.sOD,_xlpm.sExp,$Z$29+$AB$29*_xlpm.sRR+($AC$29+$Y$21)*_xlpm.sGR+$AD$29*_xlpm.sOR,_xlpm.sGR-_xlpm.sExp+$AA$29+$AF$29),IF(P131&lt;=0,$Y$38*P131,Q131+R131+S131)))</f>
        <v>#VALUE!</v>
      </c>
      <c r="H131" s="936" t="e">
        <f t="shared" ref="H131:H137" si="156">IF(5&gt;Q$18,0,IF(5&lt;Q$18,$Y$40*_xlfn.LET(_xlpm.sRR,$Y$3*$Y$30,_xlpm.sOR,$Y$13*$Y$5*$Y$6,_xlpm.sOI,$AE$30*_xlpm.sOR,_xlpm.sOD,$Y$20*_xlpm.sRR,_xlpm.sGR,_xlpm.sRR+_xlpm.sOI+_xlpm.sOD,_xlpm.sExp,$Z$30+$AB$30*_xlpm.sRR+($AC$30+$Y$21)*_xlpm.sGR+$AD$30*_xlpm.sOR,_xlpm.sGR-_xlpm.sExp+$AA$30+$AF$30),IF(P131&lt;=0,$Y$38*P131,Q131+R131+S131)))</f>
        <v>#VALUE!</v>
      </c>
      <c r="I131" s="936" t="e">
        <f t="shared" ref="I131:I137" si="157">IF(6&gt;Q$18,0,IF(6&lt;Q$18,$Y$40*_xlfn.LET(_xlpm.sRR,$Y$3*$Y$31,_xlpm.sOR,$Y$13*$Y$5*$Y$6,_xlpm.sOI,$AE$31*_xlpm.sOR,_xlpm.sOD,$Y$20*_xlpm.sRR,_xlpm.sGR,_xlpm.sRR+_xlpm.sOI+_xlpm.sOD,_xlpm.sExp,$Z$31+$AB$31*_xlpm.sRR+($AC$31+$Y$21)*_xlpm.sGR+$AD$31*_xlpm.sOR,_xlpm.sGR-_xlpm.sExp+$AA$31+$AF$31),IF(P131&lt;=0,$Y$38*P131,Q131+R131+S131)))</f>
        <v>#VALUE!</v>
      </c>
      <c r="J131" s="936">
        <f t="shared" ref="J131:J137" si="158">IF(7&gt;Q$18,0,IF(7&lt;Q$18,$Y$40*_xlfn.LET(_xlpm.sRR,$Y$3*$Y$32,_xlpm.sOR,$Y$13*$Y$5*$Y$6,_xlpm.sOI,$AE$32*_xlpm.sOR,_xlpm.sOD,$Y$20*_xlpm.sRR,_xlpm.sGR,_xlpm.sRR+_xlpm.sOI+_xlpm.sOD,_xlpm.sExp,$Z$32+$AB$32*_xlpm.sRR+($AC$32+$Y$21)*_xlpm.sGR+$AD$32*_xlpm.sOR,_xlpm.sGR-_xlpm.sExp+$AA$32+$AF$32),IF(P131&lt;=0,$Y$38*P131,Q131+R131+S131)))</f>
        <v>0</v>
      </c>
      <c r="K131" s="936">
        <f t="shared" ref="K131:K137" si="159">IF(8&gt;Q$18,0,IF(8&lt;Q$18,$Y$40*_xlfn.LET(_xlpm.sRR,$Y$3*$Y$33,_xlpm.sOR,$Y$13*$Y$5*$Y$6,_xlpm.sOI,$AE$33*_xlpm.sOR,_xlpm.sOD,$Y$20*_xlpm.sRR,_xlpm.sGR,_xlpm.sRR+_xlpm.sOI+_xlpm.sOD,_xlpm.sExp,$Z$33+$AB$33*_xlpm.sRR+($AC$33+$Y$21)*_xlpm.sGR+$AD$33*_xlpm.sOR,_xlpm.sGR-_xlpm.sExp+$AA$33+$AF$33),IF(P131&lt;=0,$Y$38*P131,Q131+R131+S131)))</f>
        <v>0</v>
      </c>
      <c r="L131" s="936">
        <f t="shared" ref="L131:L137" si="160">IF(9&gt;Q$18,0,IF(9&lt;Q$18,$Y$40*_xlfn.LET(_xlpm.sRR,$Y$3*$Y$34,_xlpm.sOR,$Y$13*$Y$5*$Y$6,_xlpm.sOI,$AE$34*_xlpm.sOR,_xlpm.sOD,$Y$20*_xlpm.sRR,_xlpm.sGR,_xlpm.sRR+_xlpm.sOI+_xlpm.sOD,_xlpm.sExp,$Z$34+$AB$34*_xlpm.sRR+($AC$34+$Y$21)*_xlpm.sGR+$AD$34*_xlpm.sOR,_xlpm.sGR-_xlpm.sExp+$AA$34+$AF$34),IF(P131&lt;=0,$Y$38*P131,Q131+R131+S131)))</f>
        <v>0</v>
      </c>
      <c r="M131" s="936">
        <f t="shared" ref="M131:M137" si="161">IF(10&gt;Q$18,0,IF(10&lt;Q$18,$Y$40*_xlfn.LET(_xlpm.sRR,$Y$3*$Y$35,_xlpm.sOR,$Y$13*$Y$5*$Y$6,_xlpm.sOI,$AE$35*_xlpm.sOR,_xlpm.sOD,$Y$20*_xlpm.sRR,_xlpm.sGR,_xlpm.sRR+_xlpm.sOI+_xlpm.sOD,_xlpm.sExp,$Z$35+$AB$35*_xlpm.sRR+($AC$35+$Y$21)*_xlpm.sGR+$AD$35*_xlpm.sOR,_xlpm.sGR-_xlpm.sExp+$AA$35+$AF$35),IF(P131&lt;=0,$Y$38*P131,Q131+R131+S131)))</f>
        <v>0</v>
      </c>
      <c r="N131" t="e" cm="1">
        <f t="array" ref="N131">$Y$39*(1+$Y$46)^(6-1)-SUMPRODUCT(D131:H131,(1+$Y$46)^_xlfn.SEQUENCE(1,6-1,6-2,-1))</f>
        <v>#VALUE!</v>
      </c>
      <c r="O131" t="e" cm="1">
        <f t="array" ref="O131">$Y$39*(1+$Y$47)^(6-1)-SUMPRODUCT(D131:H131,(1+$Y$47)^_xlfn.SEQUENCE(1,6-1,6-2,-1))</f>
        <v>#VALUE!</v>
      </c>
      <c r="P131" t="e">
        <f>_xlfn.LET(_xlpm.sRR,$Y$3*$Y$31,_xlpm.sOR,$Y$13*$Y$5*$Y$6,_xlpm.sOI,$AE$31*_xlpm.sOR,_xlpm.sOD,$Y$20*_xlpm.sRR,_xlpm.sGR,_xlpm.sRR+_xlpm.sOI+_xlpm.sOD,_xlpm.sExp,$Z$31+$AB$31*_xlpm.sRR+($AC$31+$Y$21)*_xlpm.sGR+$AD$31*_xlpm.sOR,_xlpm.opCF,_xlpm.sGR-_xlpm.sExp+$AA$31+$AF$31,_xlpm.opCF)+($Y$3*$Y$31*$K$8*(1-$Y$17)-$AG$31)</f>
        <v>#VALUE!</v>
      </c>
      <c r="Q131" t="e">
        <f t="shared" si="118"/>
        <v>#VALUE!</v>
      </c>
      <c r="R131" t="e">
        <f t="shared" si="119"/>
        <v>#VALUE!</v>
      </c>
      <c r="S131" t="e">
        <f t="shared" si="120"/>
        <v>#VALUE!</v>
      </c>
    </row>
    <row r="132" spans="2:19" hidden="1">
      <c r="B132" s="936"/>
      <c r="C132" s="936">
        <f t="shared" si="151"/>
        <v>0</v>
      </c>
      <c r="D132" s="936" t="e">
        <f t="shared" si="152"/>
        <v>#VALUE!</v>
      </c>
      <c r="E132" s="936" t="e">
        <f t="shared" si="153"/>
        <v>#VALUE!</v>
      </c>
      <c r="F132" s="936" t="e">
        <f t="shared" si="154"/>
        <v>#VALUE!</v>
      </c>
      <c r="G132" s="936" t="e">
        <f t="shared" si="155"/>
        <v>#VALUE!</v>
      </c>
      <c r="H132" s="936" t="e">
        <f t="shared" si="156"/>
        <v>#VALUE!</v>
      </c>
      <c r="I132" s="936" t="e">
        <f t="shared" si="157"/>
        <v>#VALUE!</v>
      </c>
      <c r="J132" s="936">
        <f t="shared" si="158"/>
        <v>0</v>
      </c>
      <c r="K132" s="936">
        <f t="shared" si="159"/>
        <v>0</v>
      </c>
      <c r="L132" s="936">
        <f t="shared" si="160"/>
        <v>0</v>
      </c>
      <c r="M132" s="936">
        <f t="shared" si="161"/>
        <v>0</v>
      </c>
      <c r="N132" t="e" cm="1">
        <f t="array" ref="N132">$Y$39*(1+$Y$46)^(6-1)-SUMPRODUCT(D132:H132,(1+$Y$46)^_xlfn.SEQUENCE(1,6-1,6-2,-1))</f>
        <v>#VALUE!</v>
      </c>
      <c r="O132" t="e" cm="1">
        <f t="array" ref="O132">$Y$39*(1+$Y$47)^(6-1)-SUMPRODUCT(D132:H132,(1+$Y$47)^_xlfn.SEQUENCE(1,6-1,6-2,-1))</f>
        <v>#VALUE!</v>
      </c>
      <c r="P132" t="e">
        <f>_xlfn.LET(_xlpm.sRR,$Y$3*$Y$31,_xlpm.sOR,$Y$13*$Y$5*$Y$6,_xlpm.sOI,$AE$31*_xlpm.sOR,_xlpm.sOD,$Y$20*_xlpm.sRR,_xlpm.sGR,_xlpm.sRR+_xlpm.sOI+_xlpm.sOD,_xlpm.sExp,$Z$31+$AB$31*_xlpm.sRR+($AC$31+$Y$21)*_xlpm.sGR+$AD$31*_xlpm.sOR,_xlpm.opCF,_xlpm.sGR-_xlpm.sExp+$AA$31+$AF$31,_xlpm.opCF)+($Y$3*$Y$31*$K$9*(1-$Y$17)-$AG$31)</f>
        <v>#VALUE!</v>
      </c>
      <c r="Q132" t="e">
        <f t="shared" si="118"/>
        <v>#VALUE!</v>
      </c>
      <c r="R132" t="e">
        <f t="shared" si="119"/>
        <v>#VALUE!</v>
      </c>
      <c r="S132" t="e">
        <f t="shared" si="120"/>
        <v>#VALUE!</v>
      </c>
    </row>
    <row r="133" spans="2:19" hidden="1">
      <c r="B133" s="936"/>
      <c r="C133" s="936">
        <f t="shared" si="151"/>
        <v>0</v>
      </c>
      <c r="D133" s="936" t="e">
        <f t="shared" si="152"/>
        <v>#VALUE!</v>
      </c>
      <c r="E133" s="936" t="e">
        <f t="shared" si="153"/>
        <v>#VALUE!</v>
      </c>
      <c r="F133" s="936" t="e">
        <f t="shared" si="154"/>
        <v>#VALUE!</v>
      </c>
      <c r="G133" s="936" t="e">
        <f t="shared" si="155"/>
        <v>#VALUE!</v>
      </c>
      <c r="H133" s="936" t="e">
        <f t="shared" si="156"/>
        <v>#VALUE!</v>
      </c>
      <c r="I133" s="936" t="e">
        <f t="shared" si="157"/>
        <v>#VALUE!</v>
      </c>
      <c r="J133" s="936">
        <f t="shared" si="158"/>
        <v>0</v>
      </c>
      <c r="K133" s="936">
        <f t="shared" si="159"/>
        <v>0</v>
      </c>
      <c r="L133" s="936">
        <f t="shared" si="160"/>
        <v>0</v>
      </c>
      <c r="M133" s="936">
        <f t="shared" si="161"/>
        <v>0</v>
      </c>
      <c r="N133" t="e" cm="1">
        <f t="array" ref="N133">$Y$39*(1+$Y$46)^(6-1)-SUMPRODUCT(D133:H133,(1+$Y$46)^_xlfn.SEQUENCE(1,6-1,6-2,-1))</f>
        <v>#VALUE!</v>
      </c>
      <c r="O133" t="e" cm="1">
        <f t="array" ref="O133">$Y$39*(1+$Y$47)^(6-1)-SUMPRODUCT(D133:H133,(1+$Y$47)^_xlfn.SEQUENCE(1,6-1,6-2,-1))</f>
        <v>#VALUE!</v>
      </c>
      <c r="P133" t="e">
        <f>_xlfn.LET(_xlpm.sRR,$Y$3*$Y$31,_xlpm.sOR,$Y$13*$Y$5*$Y$6,_xlpm.sOI,$AE$31*_xlpm.sOR,_xlpm.sOD,$Y$20*_xlpm.sRR,_xlpm.sGR,_xlpm.sRR+_xlpm.sOI+_xlpm.sOD,_xlpm.sExp,$Z$31+$AB$31*_xlpm.sRR+($AC$31+$Y$21)*_xlpm.sGR+$AD$31*_xlpm.sOR,_xlpm.opCF,_xlpm.sGR-_xlpm.sExp+$AA$31+$AF$31,_xlpm.opCF)+($Y$3*$Y$31*$K$10*(1-$Y$17)-$AG$31)</f>
        <v>#VALUE!</v>
      </c>
      <c r="Q133" t="e">
        <f t="shared" si="118"/>
        <v>#VALUE!</v>
      </c>
      <c r="R133" t="e">
        <f t="shared" si="119"/>
        <v>#VALUE!</v>
      </c>
      <c r="S133" t="e">
        <f t="shared" si="120"/>
        <v>#VALUE!</v>
      </c>
    </row>
    <row r="134" spans="2:19" hidden="1">
      <c r="B134" s="936"/>
      <c r="C134" s="936">
        <f t="shared" si="151"/>
        <v>0</v>
      </c>
      <c r="D134" s="936" t="e">
        <f t="shared" si="152"/>
        <v>#VALUE!</v>
      </c>
      <c r="E134" s="936" t="e">
        <f t="shared" si="153"/>
        <v>#VALUE!</v>
      </c>
      <c r="F134" s="936" t="e">
        <f t="shared" si="154"/>
        <v>#VALUE!</v>
      </c>
      <c r="G134" s="936" t="e">
        <f t="shared" si="155"/>
        <v>#VALUE!</v>
      </c>
      <c r="H134" s="936" t="e">
        <f t="shared" si="156"/>
        <v>#VALUE!</v>
      </c>
      <c r="I134" s="936" t="e">
        <f t="shared" si="157"/>
        <v>#VALUE!</v>
      </c>
      <c r="J134" s="936">
        <f t="shared" si="158"/>
        <v>0</v>
      </c>
      <c r="K134" s="936">
        <f t="shared" si="159"/>
        <v>0</v>
      </c>
      <c r="L134" s="936">
        <f t="shared" si="160"/>
        <v>0</v>
      </c>
      <c r="M134" s="936">
        <f t="shared" si="161"/>
        <v>0</v>
      </c>
      <c r="N134" t="e" cm="1">
        <f t="array" ref="N134">$Y$39*(1+$Y$46)^(6-1)-SUMPRODUCT(D134:H134,(1+$Y$46)^_xlfn.SEQUENCE(1,6-1,6-2,-1))</f>
        <v>#VALUE!</v>
      </c>
      <c r="O134" t="e" cm="1">
        <f t="array" ref="O134">$Y$39*(1+$Y$47)^(6-1)-SUMPRODUCT(D134:H134,(1+$Y$47)^_xlfn.SEQUENCE(1,6-1,6-2,-1))</f>
        <v>#VALUE!</v>
      </c>
      <c r="P134" t="e">
        <f>_xlfn.LET(_xlpm.sRR,$Y$3*$Y$31,_xlpm.sOR,$Y$13*$Y$5*$Y$6,_xlpm.sOI,$AE$31*_xlpm.sOR,_xlpm.sOD,$Y$20*_xlpm.sRR,_xlpm.sGR,_xlpm.sRR+_xlpm.sOI+_xlpm.sOD,_xlpm.sExp,$Z$31+$AB$31*_xlpm.sRR+($AC$31+$Y$21)*_xlpm.sGR+$AD$31*_xlpm.sOR,_xlpm.opCF,_xlpm.sGR-_xlpm.sExp+$AA$31+$AF$31,_xlpm.opCF)+($Y$3*$Y$31*$K$11*(1-$Y$17)-$AG$31)</f>
        <v>#VALUE!</v>
      </c>
      <c r="Q134" t="e">
        <f t="shared" si="118"/>
        <v>#VALUE!</v>
      </c>
      <c r="R134" t="e">
        <f t="shared" si="119"/>
        <v>#VALUE!</v>
      </c>
      <c r="S134" t="e">
        <f t="shared" si="120"/>
        <v>#VALUE!</v>
      </c>
    </row>
    <row r="135" spans="2:19" hidden="1">
      <c r="B135" s="936"/>
      <c r="C135" s="936">
        <f t="shared" si="151"/>
        <v>0</v>
      </c>
      <c r="D135" s="936" t="e">
        <f t="shared" si="152"/>
        <v>#VALUE!</v>
      </c>
      <c r="E135" s="936" t="e">
        <f t="shared" si="153"/>
        <v>#VALUE!</v>
      </c>
      <c r="F135" s="936" t="e">
        <f t="shared" si="154"/>
        <v>#VALUE!</v>
      </c>
      <c r="G135" s="936" t="e">
        <f t="shared" si="155"/>
        <v>#VALUE!</v>
      </c>
      <c r="H135" s="936" t="e">
        <f t="shared" si="156"/>
        <v>#VALUE!</v>
      </c>
      <c r="I135" s="936" t="e">
        <f t="shared" si="157"/>
        <v>#VALUE!</v>
      </c>
      <c r="J135" s="936">
        <f t="shared" si="158"/>
        <v>0</v>
      </c>
      <c r="K135" s="936">
        <f t="shared" si="159"/>
        <v>0</v>
      </c>
      <c r="L135" s="936">
        <f t="shared" si="160"/>
        <v>0</v>
      </c>
      <c r="M135" s="936">
        <f t="shared" si="161"/>
        <v>0</v>
      </c>
      <c r="N135" t="e" cm="1">
        <f t="array" ref="N135">$Y$39*(1+$Y$46)^(6-1)-SUMPRODUCT(D135:H135,(1+$Y$46)^_xlfn.SEQUENCE(1,6-1,6-2,-1))</f>
        <v>#VALUE!</v>
      </c>
      <c r="O135" t="e" cm="1">
        <f t="array" ref="O135">$Y$39*(1+$Y$47)^(6-1)-SUMPRODUCT(D135:H135,(1+$Y$47)^_xlfn.SEQUENCE(1,6-1,6-2,-1))</f>
        <v>#VALUE!</v>
      </c>
      <c r="P135" t="e">
        <f>_xlfn.LET(_xlpm.sRR,$Y$3*$Y$31,_xlpm.sOR,$Y$13*$Y$5*$Y$6,_xlpm.sOI,$AE$31*_xlpm.sOR,_xlpm.sOD,$Y$20*_xlpm.sRR,_xlpm.sGR,_xlpm.sRR+_xlpm.sOI+_xlpm.sOD,_xlpm.sExp,$Z$31+$AB$31*_xlpm.sRR+($AC$31+$Y$21)*_xlpm.sGR+$AD$31*_xlpm.sOR,_xlpm.opCF,_xlpm.sGR-_xlpm.sExp+$AA$31+$AF$31,_xlpm.opCF)+($Y$3*$Y$31*$K$12*(1-$Y$17)-$AG$31)</f>
        <v>#VALUE!</v>
      </c>
      <c r="Q135" t="e">
        <f t="shared" ref="Q135:Q165" si="162">MIN(N135+N135*$Y$46,MAX((P135-$Y$48*MAX(P135,0)),0)*$Y$40/($Y$40+$Y$49))</f>
        <v>#VALUE!</v>
      </c>
      <c r="R135" t="e">
        <f t="shared" ref="R135:R165" si="163">MIN(O135+O135*$Y$47-Q135,MAX(P135-Q135-Q135/$Y$40*$Y$49-$Y$48*MAX(P135,0),0)*$Y$41)</f>
        <v>#VALUE!</v>
      </c>
      <c r="S135" t="e">
        <f t="shared" ref="S135:S165" si="164">MAX(P135-(Q135+Q135/$Y$40*$Y$49+$Y$48*MAX(P135,0))-(R135+R135/$Y$41*(1-$Y$41)),0)*$Y$42</f>
        <v>#VALUE!</v>
      </c>
    </row>
    <row r="136" spans="2:19" hidden="1">
      <c r="B136" s="936"/>
      <c r="C136" s="936">
        <f t="shared" si="151"/>
        <v>0</v>
      </c>
      <c r="D136" s="936" t="e">
        <f t="shared" si="152"/>
        <v>#VALUE!</v>
      </c>
      <c r="E136" s="936" t="e">
        <f t="shared" si="153"/>
        <v>#VALUE!</v>
      </c>
      <c r="F136" s="936" t="e">
        <f t="shared" si="154"/>
        <v>#VALUE!</v>
      </c>
      <c r="G136" s="936" t="e">
        <f t="shared" si="155"/>
        <v>#VALUE!</v>
      </c>
      <c r="H136" s="936" t="e">
        <f t="shared" si="156"/>
        <v>#VALUE!</v>
      </c>
      <c r="I136" s="936" t="e">
        <f t="shared" si="157"/>
        <v>#VALUE!</v>
      </c>
      <c r="J136" s="936">
        <f t="shared" si="158"/>
        <v>0</v>
      </c>
      <c r="K136" s="936">
        <f t="shared" si="159"/>
        <v>0</v>
      </c>
      <c r="L136" s="936">
        <f t="shared" si="160"/>
        <v>0</v>
      </c>
      <c r="M136" s="936">
        <f t="shared" si="161"/>
        <v>0</v>
      </c>
      <c r="N136" t="e" cm="1">
        <f t="array" ref="N136">$Y$39*(1+$Y$46)^(6-1)-SUMPRODUCT(D136:H136,(1+$Y$46)^_xlfn.SEQUENCE(1,6-1,6-2,-1))</f>
        <v>#VALUE!</v>
      </c>
      <c r="O136" t="e" cm="1">
        <f t="array" ref="O136">$Y$39*(1+$Y$47)^(6-1)-SUMPRODUCT(D136:H136,(1+$Y$47)^_xlfn.SEQUENCE(1,6-1,6-2,-1))</f>
        <v>#VALUE!</v>
      </c>
      <c r="P136" t="e">
        <f>_xlfn.LET(_xlpm.sRR,$Y$3*$Y$31,_xlpm.sOR,$Y$13*$Y$5*$Y$6,_xlpm.sOI,$AE$31*_xlpm.sOR,_xlpm.sOD,$Y$20*_xlpm.sRR,_xlpm.sGR,_xlpm.sRR+_xlpm.sOI+_xlpm.sOD,_xlpm.sExp,$Z$31+$AB$31*_xlpm.sRR+($AC$31+$Y$21)*_xlpm.sGR+$AD$31*_xlpm.sOR,_xlpm.opCF,_xlpm.sGR-_xlpm.sExp+$AA$31+$AF$31,_xlpm.opCF)+($Y$3*$Y$31*$K$13*(1-$Y$17)-$AG$31)</f>
        <v>#VALUE!</v>
      </c>
      <c r="Q136" t="e">
        <f t="shared" si="162"/>
        <v>#VALUE!</v>
      </c>
      <c r="R136" t="e">
        <f t="shared" si="163"/>
        <v>#VALUE!</v>
      </c>
      <c r="S136" t="e">
        <f t="shared" si="164"/>
        <v>#VALUE!</v>
      </c>
    </row>
    <row r="137" spans="2:19" hidden="1">
      <c r="B137" s="936"/>
      <c r="C137" s="936">
        <f t="shared" si="151"/>
        <v>0</v>
      </c>
      <c r="D137" s="936" t="e">
        <f t="shared" si="152"/>
        <v>#VALUE!</v>
      </c>
      <c r="E137" s="936" t="e">
        <f t="shared" si="153"/>
        <v>#VALUE!</v>
      </c>
      <c r="F137" s="936" t="e">
        <f t="shared" si="154"/>
        <v>#VALUE!</v>
      </c>
      <c r="G137" s="936" t="e">
        <f t="shared" si="155"/>
        <v>#VALUE!</v>
      </c>
      <c r="H137" s="936" t="e">
        <f t="shared" si="156"/>
        <v>#VALUE!</v>
      </c>
      <c r="I137" s="936" t="e">
        <f t="shared" si="157"/>
        <v>#VALUE!</v>
      </c>
      <c r="J137" s="936">
        <f t="shared" si="158"/>
        <v>0</v>
      </c>
      <c r="K137" s="936">
        <f t="shared" si="159"/>
        <v>0</v>
      </c>
      <c r="L137" s="936">
        <f t="shared" si="160"/>
        <v>0</v>
      </c>
      <c r="M137" s="936">
        <f t="shared" si="161"/>
        <v>0</v>
      </c>
      <c r="N137" t="e" cm="1">
        <f t="array" ref="N137">$Y$39*(1+$Y$46)^(6-1)-SUMPRODUCT(D137:H137,(1+$Y$46)^_xlfn.SEQUENCE(1,6-1,6-2,-1))</f>
        <v>#VALUE!</v>
      </c>
      <c r="O137" t="e" cm="1">
        <f t="array" ref="O137">$Y$39*(1+$Y$47)^(6-1)-SUMPRODUCT(D137:H137,(1+$Y$47)^_xlfn.SEQUENCE(1,6-1,6-2,-1))</f>
        <v>#VALUE!</v>
      </c>
      <c r="P137" t="e">
        <f>_xlfn.LET(_xlpm.sRR,$Y$3*$Y$31,_xlpm.sOR,$Y$13*$Y$5*$Y$6,_xlpm.sOI,$AE$31*_xlpm.sOR,_xlpm.sOD,$Y$20*_xlpm.sRR,_xlpm.sGR,_xlpm.sRR+_xlpm.sOI+_xlpm.sOD,_xlpm.sExp,$Z$31+$AB$31*_xlpm.sRR+($AC$31+$Y$21)*_xlpm.sGR+$AD$31*_xlpm.sOR,_xlpm.opCF,_xlpm.sGR-_xlpm.sExp+$AA$31+$AF$31,_xlpm.opCF)+($Y$3*$Y$31*$K$14*(1-$Y$17)-$AG$31)</f>
        <v>#VALUE!</v>
      </c>
      <c r="Q137" t="e">
        <f t="shared" si="162"/>
        <v>#VALUE!</v>
      </c>
      <c r="R137" t="e">
        <f t="shared" si="163"/>
        <v>#VALUE!</v>
      </c>
      <c r="S137" t="e">
        <f t="shared" si="164"/>
        <v>#VALUE!</v>
      </c>
    </row>
    <row r="138" spans="2:19" hidden="1">
      <c r="B138" s="936"/>
      <c r="C138" s="936">
        <f t="shared" si="151"/>
        <v>0</v>
      </c>
      <c r="D138" s="936" t="e">
        <f t="shared" ref="D138:D144" si="165">IF(1&gt;R$18,0,IF(1&lt;R$18,$Y$40*_xlfn.LET(_xlpm.sRR,$Y$3*$Y$26,_xlpm.sOR,$Y$13*$Y$5*$Y$6,_xlpm.sOI,$AE$26*_xlpm.sOR,_xlpm.sOD,$Y$20*_xlpm.sRR,_xlpm.sGR,_xlpm.sRR+_xlpm.sOI+_xlpm.sOD,_xlpm.sExp,$Z$26+$AB$26*_xlpm.sRR+($AC$26+$Y$21)*_xlpm.sGR+$AD$26*_xlpm.sOR,_xlpm.sGR-_xlpm.sExp+$AA$26+$AF$26),IF(P138&lt;=0,$Y$38*P138,Q138+R138+S138)))</f>
        <v>#VALUE!</v>
      </c>
      <c r="E138" s="936" t="e">
        <f t="shared" ref="E138:E144" si="166">IF(2&gt;R$18,0,IF(2&lt;R$18,$Y$40*_xlfn.LET(_xlpm.sRR,$Y$3*$Y$27,_xlpm.sOR,$Y$13*$Y$5*$Y$6,_xlpm.sOI,$AE$27*_xlpm.sOR,_xlpm.sOD,$Y$20*_xlpm.sRR,_xlpm.sGR,_xlpm.sRR+_xlpm.sOI+_xlpm.sOD,_xlpm.sExp,$Z$27+$AB$27*_xlpm.sRR+($AC$27+$Y$21)*_xlpm.sGR+$AD$27*_xlpm.sOR,_xlpm.sGR-_xlpm.sExp+$AA$27+$AF$27),IF(P138&lt;=0,$Y$38*P138,Q138+R138+S138)))</f>
        <v>#VALUE!</v>
      </c>
      <c r="F138" s="936" t="e">
        <f t="shared" ref="F138:F144" si="167">IF(3&gt;R$18,0,IF(3&lt;R$18,$Y$40*_xlfn.LET(_xlpm.sRR,$Y$3*$Y$28,_xlpm.sOR,$Y$13*$Y$5*$Y$6,_xlpm.sOI,$AE$28*_xlpm.sOR,_xlpm.sOD,$Y$20*_xlpm.sRR,_xlpm.sGR,_xlpm.sRR+_xlpm.sOI+_xlpm.sOD,_xlpm.sExp,$Z$28+$AB$28*_xlpm.sRR+($AC$28+$Y$21)*_xlpm.sGR+$AD$28*_xlpm.sOR,_xlpm.sGR-_xlpm.sExp+$AA$28+$AF$28),IF(P138&lt;=0,$Y$38*P138,Q138+R138+S138)))</f>
        <v>#VALUE!</v>
      </c>
      <c r="G138" s="936" t="e">
        <f t="shared" ref="G138:G144" si="168">IF(4&gt;R$18,0,IF(4&lt;R$18,$Y$40*_xlfn.LET(_xlpm.sRR,$Y$3*$Y$29,_xlpm.sOR,$Y$13*$Y$5*$Y$6,_xlpm.sOI,$AE$29*_xlpm.sOR,_xlpm.sOD,$Y$20*_xlpm.sRR,_xlpm.sGR,_xlpm.sRR+_xlpm.sOI+_xlpm.sOD,_xlpm.sExp,$Z$29+$AB$29*_xlpm.sRR+($AC$29+$Y$21)*_xlpm.sGR+$AD$29*_xlpm.sOR,_xlpm.sGR-_xlpm.sExp+$AA$29+$AF$29),IF(P138&lt;=0,$Y$38*P138,Q138+R138+S138)))</f>
        <v>#VALUE!</v>
      </c>
      <c r="H138" s="936" t="e">
        <f t="shared" ref="H138:H144" si="169">IF(5&gt;R$18,0,IF(5&lt;R$18,$Y$40*_xlfn.LET(_xlpm.sRR,$Y$3*$Y$30,_xlpm.sOR,$Y$13*$Y$5*$Y$6,_xlpm.sOI,$AE$30*_xlpm.sOR,_xlpm.sOD,$Y$20*_xlpm.sRR,_xlpm.sGR,_xlpm.sRR+_xlpm.sOI+_xlpm.sOD,_xlpm.sExp,$Z$30+$AB$30*_xlpm.sRR+($AC$30+$Y$21)*_xlpm.sGR+$AD$30*_xlpm.sOR,_xlpm.sGR-_xlpm.sExp+$AA$30+$AF$30),IF(P138&lt;=0,$Y$38*P138,Q138+R138+S138)))</f>
        <v>#VALUE!</v>
      </c>
      <c r="I138" s="936" t="e">
        <f t="shared" ref="I138:I144" si="170">IF(6&gt;R$18,0,IF(6&lt;R$18,$Y$40*_xlfn.LET(_xlpm.sRR,$Y$3*$Y$31,_xlpm.sOR,$Y$13*$Y$5*$Y$6,_xlpm.sOI,$AE$31*_xlpm.sOR,_xlpm.sOD,$Y$20*_xlpm.sRR,_xlpm.sGR,_xlpm.sRR+_xlpm.sOI+_xlpm.sOD,_xlpm.sExp,$Z$31+$AB$31*_xlpm.sRR+($AC$31+$Y$21)*_xlpm.sGR+$AD$31*_xlpm.sOR,_xlpm.sGR-_xlpm.sExp+$AA$31+$AF$31),IF(P138&lt;=0,$Y$38*P138,Q138+R138+S138)))</f>
        <v>#VALUE!</v>
      </c>
      <c r="J138" s="936" t="e">
        <f t="shared" ref="J138:J144" si="171">IF(7&gt;R$18,0,IF(7&lt;R$18,$Y$40*_xlfn.LET(_xlpm.sRR,$Y$3*$Y$32,_xlpm.sOR,$Y$13*$Y$5*$Y$6,_xlpm.sOI,$AE$32*_xlpm.sOR,_xlpm.sOD,$Y$20*_xlpm.sRR,_xlpm.sGR,_xlpm.sRR+_xlpm.sOI+_xlpm.sOD,_xlpm.sExp,$Z$32+$AB$32*_xlpm.sRR+($AC$32+$Y$21)*_xlpm.sGR+$AD$32*_xlpm.sOR,_xlpm.sGR-_xlpm.sExp+$AA$32+$AF$32),IF(P138&lt;=0,$Y$38*P138,Q138+R138+S138)))</f>
        <v>#VALUE!</v>
      </c>
      <c r="K138" s="936">
        <f t="shared" ref="K138:K144" si="172">IF(8&gt;R$18,0,IF(8&lt;R$18,$Y$40*_xlfn.LET(_xlpm.sRR,$Y$3*$Y$33,_xlpm.sOR,$Y$13*$Y$5*$Y$6,_xlpm.sOI,$AE$33*_xlpm.sOR,_xlpm.sOD,$Y$20*_xlpm.sRR,_xlpm.sGR,_xlpm.sRR+_xlpm.sOI+_xlpm.sOD,_xlpm.sExp,$Z$33+$AB$33*_xlpm.sRR+($AC$33+$Y$21)*_xlpm.sGR+$AD$33*_xlpm.sOR,_xlpm.sGR-_xlpm.sExp+$AA$33+$AF$33),IF(P138&lt;=0,$Y$38*P138,Q138+R138+S138)))</f>
        <v>0</v>
      </c>
      <c r="L138" s="936">
        <f t="shared" ref="L138:L144" si="173">IF(9&gt;R$18,0,IF(9&lt;R$18,$Y$40*_xlfn.LET(_xlpm.sRR,$Y$3*$Y$34,_xlpm.sOR,$Y$13*$Y$5*$Y$6,_xlpm.sOI,$AE$34*_xlpm.sOR,_xlpm.sOD,$Y$20*_xlpm.sRR,_xlpm.sGR,_xlpm.sRR+_xlpm.sOI+_xlpm.sOD,_xlpm.sExp,$Z$34+$AB$34*_xlpm.sRR+($AC$34+$Y$21)*_xlpm.sGR+$AD$34*_xlpm.sOR,_xlpm.sGR-_xlpm.sExp+$AA$34+$AF$34),IF(P138&lt;=0,$Y$38*P138,Q138+R138+S138)))</f>
        <v>0</v>
      </c>
      <c r="M138" s="936">
        <f t="shared" ref="M138:M144" si="174">IF(10&gt;R$18,0,IF(10&lt;R$18,$Y$40*_xlfn.LET(_xlpm.sRR,$Y$3*$Y$35,_xlpm.sOR,$Y$13*$Y$5*$Y$6,_xlpm.sOI,$AE$35*_xlpm.sOR,_xlpm.sOD,$Y$20*_xlpm.sRR,_xlpm.sGR,_xlpm.sRR+_xlpm.sOI+_xlpm.sOD,_xlpm.sExp,$Z$35+$AB$35*_xlpm.sRR+($AC$35+$Y$21)*_xlpm.sGR+$AD$35*_xlpm.sOR,_xlpm.sGR-_xlpm.sExp+$AA$35+$AF$35),IF(P138&lt;=0,$Y$38*P138,Q138+R138+S138)))</f>
        <v>0</v>
      </c>
      <c r="N138" t="e" cm="1">
        <f t="array" ref="N138">$Y$39*(1+$Y$46)^(7-1)-SUMPRODUCT(D138:I138,(1+$Y$46)^_xlfn.SEQUENCE(1,7-1,7-2,-1))</f>
        <v>#VALUE!</v>
      </c>
      <c r="O138" t="e" cm="1">
        <f t="array" ref="O138">$Y$39*(1+$Y$47)^(7-1)-SUMPRODUCT(D138:I138,(1+$Y$47)^_xlfn.SEQUENCE(1,7-1,7-2,-1))</f>
        <v>#VALUE!</v>
      </c>
      <c r="P138" t="e">
        <f>_xlfn.LET(_xlpm.sRR,$Y$3*$Y$32,_xlpm.sOR,$Y$13*$Y$5*$Y$6,_xlpm.sOI,$AE$32*_xlpm.sOR,_xlpm.sOD,$Y$20*_xlpm.sRR,_xlpm.sGR,_xlpm.sRR+_xlpm.sOI+_xlpm.sOD,_xlpm.sExp,$Z$32+$AB$32*_xlpm.sRR+($AC$32+$Y$21)*_xlpm.sGR+$AD$32*_xlpm.sOR,_xlpm.opCF,_xlpm.sGR-_xlpm.sExp+$AA$32+$AF$32,_xlpm.opCF)+($Y$3*$Y$32*$K$8*(1-$Y$17)-$AG$32)</f>
        <v>#VALUE!</v>
      </c>
      <c r="Q138" t="e">
        <f t="shared" si="162"/>
        <v>#VALUE!</v>
      </c>
      <c r="R138" t="e">
        <f t="shared" si="163"/>
        <v>#VALUE!</v>
      </c>
      <c r="S138" t="e">
        <f t="shared" si="164"/>
        <v>#VALUE!</v>
      </c>
    </row>
    <row r="139" spans="2:19" hidden="1">
      <c r="B139" s="936"/>
      <c r="C139" s="936">
        <f t="shared" si="151"/>
        <v>0</v>
      </c>
      <c r="D139" s="936" t="e">
        <f t="shared" si="165"/>
        <v>#VALUE!</v>
      </c>
      <c r="E139" s="936" t="e">
        <f t="shared" si="166"/>
        <v>#VALUE!</v>
      </c>
      <c r="F139" s="936" t="e">
        <f t="shared" si="167"/>
        <v>#VALUE!</v>
      </c>
      <c r="G139" s="936" t="e">
        <f t="shared" si="168"/>
        <v>#VALUE!</v>
      </c>
      <c r="H139" s="936" t="e">
        <f t="shared" si="169"/>
        <v>#VALUE!</v>
      </c>
      <c r="I139" s="936" t="e">
        <f t="shared" si="170"/>
        <v>#VALUE!</v>
      </c>
      <c r="J139" s="936" t="e">
        <f t="shared" si="171"/>
        <v>#VALUE!</v>
      </c>
      <c r="K139" s="936">
        <f t="shared" si="172"/>
        <v>0</v>
      </c>
      <c r="L139" s="936">
        <f t="shared" si="173"/>
        <v>0</v>
      </c>
      <c r="M139" s="936">
        <f t="shared" si="174"/>
        <v>0</v>
      </c>
      <c r="N139" t="e" cm="1">
        <f t="array" ref="N139">$Y$39*(1+$Y$46)^(7-1)-SUMPRODUCT(D139:I139,(1+$Y$46)^_xlfn.SEQUENCE(1,7-1,7-2,-1))</f>
        <v>#VALUE!</v>
      </c>
      <c r="O139" t="e" cm="1">
        <f t="array" ref="O139">$Y$39*(1+$Y$47)^(7-1)-SUMPRODUCT(D139:I139,(1+$Y$47)^_xlfn.SEQUENCE(1,7-1,7-2,-1))</f>
        <v>#VALUE!</v>
      </c>
      <c r="P139" t="e">
        <f>_xlfn.LET(_xlpm.sRR,$Y$3*$Y$32,_xlpm.sOR,$Y$13*$Y$5*$Y$6,_xlpm.sOI,$AE$32*_xlpm.sOR,_xlpm.sOD,$Y$20*_xlpm.sRR,_xlpm.sGR,_xlpm.sRR+_xlpm.sOI+_xlpm.sOD,_xlpm.sExp,$Z$32+$AB$32*_xlpm.sRR+($AC$32+$Y$21)*_xlpm.sGR+$AD$32*_xlpm.sOR,_xlpm.opCF,_xlpm.sGR-_xlpm.sExp+$AA$32+$AF$32,_xlpm.opCF)+($Y$3*$Y$32*$K$9*(1-$Y$17)-$AG$32)</f>
        <v>#VALUE!</v>
      </c>
      <c r="Q139" t="e">
        <f t="shared" si="162"/>
        <v>#VALUE!</v>
      </c>
      <c r="R139" t="e">
        <f t="shared" si="163"/>
        <v>#VALUE!</v>
      </c>
      <c r="S139" t="e">
        <f t="shared" si="164"/>
        <v>#VALUE!</v>
      </c>
    </row>
    <row r="140" spans="2:19" hidden="1">
      <c r="B140" s="936"/>
      <c r="C140" s="936">
        <f t="shared" si="151"/>
        <v>0</v>
      </c>
      <c r="D140" s="936" t="e">
        <f t="shared" si="165"/>
        <v>#VALUE!</v>
      </c>
      <c r="E140" s="936" t="e">
        <f t="shared" si="166"/>
        <v>#VALUE!</v>
      </c>
      <c r="F140" s="936" t="e">
        <f t="shared" si="167"/>
        <v>#VALUE!</v>
      </c>
      <c r="G140" s="936" t="e">
        <f t="shared" si="168"/>
        <v>#VALUE!</v>
      </c>
      <c r="H140" s="936" t="e">
        <f t="shared" si="169"/>
        <v>#VALUE!</v>
      </c>
      <c r="I140" s="936" t="e">
        <f t="shared" si="170"/>
        <v>#VALUE!</v>
      </c>
      <c r="J140" s="936" t="e">
        <f t="shared" si="171"/>
        <v>#VALUE!</v>
      </c>
      <c r="K140" s="936">
        <f t="shared" si="172"/>
        <v>0</v>
      </c>
      <c r="L140" s="936">
        <f t="shared" si="173"/>
        <v>0</v>
      </c>
      <c r="M140" s="936">
        <f t="shared" si="174"/>
        <v>0</v>
      </c>
      <c r="N140" t="e" cm="1">
        <f t="array" ref="N140">$Y$39*(1+$Y$46)^(7-1)-SUMPRODUCT(D140:I140,(1+$Y$46)^_xlfn.SEQUENCE(1,7-1,7-2,-1))</f>
        <v>#VALUE!</v>
      </c>
      <c r="O140" t="e" cm="1">
        <f t="array" ref="O140">$Y$39*(1+$Y$47)^(7-1)-SUMPRODUCT(D140:I140,(1+$Y$47)^_xlfn.SEQUENCE(1,7-1,7-2,-1))</f>
        <v>#VALUE!</v>
      </c>
      <c r="P140" t="e">
        <f>_xlfn.LET(_xlpm.sRR,$Y$3*$Y$32,_xlpm.sOR,$Y$13*$Y$5*$Y$6,_xlpm.sOI,$AE$32*_xlpm.sOR,_xlpm.sOD,$Y$20*_xlpm.sRR,_xlpm.sGR,_xlpm.sRR+_xlpm.sOI+_xlpm.sOD,_xlpm.sExp,$Z$32+$AB$32*_xlpm.sRR+($AC$32+$Y$21)*_xlpm.sGR+$AD$32*_xlpm.sOR,_xlpm.opCF,_xlpm.sGR-_xlpm.sExp+$AA$32+$AF$32,_xlpm.opCF)+($Y$3*$Y$32*$K$10*(1-$Y$17)-$AG$32)</f>
        <v>#VALUE!</v>
      </c>
      <c r="Q140" t="e">
        <f t="shared" si="162"/>
        <v>#VALUE!</v>
      </c>
      <c r="R140" t="e">
        <f t="shared" si="163"/>
        <v>#VALUE!</v>
      </c>
      <c r="S140" t="e">
        <f t="shared" si="164"/>
        <v>#VALUE!</v>
      </c>
    </row>
    <row r="141" spans="2:19" hidden="1">
      <c r="B141" s="936"/>
      <c r="C141" s="936">
        <f t="shared" si="151"/>
        <v>0</v>
      </c>
      <c r="D141" s="936" t="e">
        <f t="shared" si="165"/>
        <v>#VALUE!</v>
      </c>
      <c r="E141" s="936" t="e">
        <f t="shared" si="166"/>
        <v>#VALUE!</v>
      </c>
      <c r="F141" s="936" t="e">
        <f t="shared" si="167"/>
        <v>#VALUE!</v>
      </c>
      <c r="G141" s="936" t="e">
        <f t="shared" si="168"/>
        <v>#VALUE!</v>
      </c>
      <c r="H141" s="936" t="e">
        <f t="shared" si="169"/>
        <v>#VALUE!</v>
      </c>
      <c r="I141" s="936" t="e">
        <f t="shared" si="170"/>
        <v>#VALUE!</v>
      </c>
      <c r="J141" s="936" t="e">
        <f t="shared" si="171"/>
        <v>#VALUE!</v>
      </c>
      <c r="K141" s="936">
        <f t="shared" si="172"/>
        <v>0</v>
      </c>
      <c r="L141" s="936">
        <f t="shared" si="173"/>
        <v>0</v>
      </c>
      <c r="M141" s="936">
        <f t="shared" si="174"/>
        <v>0</v>
      </c>
      <c r="N141" t="e" cm="1">
        <f t="array" ref="N141">$Y$39*(1+$Y$46)^(7-1)-SUMPRODUCT(D141:I141,(1+$Y$46)^_xlfn.SEQUENCE(1,7-1,7-2,-1))</f>
        <v>#VALUE!</v>
      </c>
      <c r="O141" t="e" cm="1">
        <f t="array" ref="O141">$Y$39*(1+$Y$47)^(7-1)-SUMPRODUCT(D141:I141,(1+$Y$47)^_xlfn.SEQUENCE(1,7-1,7-2,-1))</f>
        <v>#VALUE!</v>
      </c>
      <c r="P141" t="e">
        <f>_xlfn.LET(_xlpm.sRR,$Y$3*$Y$32,_xlpm.sOR,$Y$13*$Y$5*$Y$6,_xlpm.sOI,$AE$32*_xlpm.sOR,_xlpm.sOD,$Y$20*_xlpm.sRR,_xlpm.sGR,_xlpm.sRR+_xlpm.sOI+_xlpm.sOD,_xlpm.sExp,$Z$32+$AB$32*_xlpm.sRR+($AC$32+$Y$21)*_xlpm.sGR+$AD$32*_xlpm.sOR,_xlpm.opCF,_xlpm.sGR-_xlpm.sExp+$AA$32+$AF$32,_xlpm.opCF)+($Y$3*$Y$32*$K$11*(1-$Y$17)-$AG$32)</f>
        <v>#VALUE!</v>
      </c>
      <c r="Q141" t="e">
        <f t="shared" si="162"/>
        <v>#VALUE!</v>
      </c>
      <c r="R141" t="e">
        <f t="shared" si="163"/>
        <v>#VALUE!</v>
      </c>
      <c r="S141" t="e">
        <f t="shared" si="164"/>
        <v>#VALUE!</v>
      </c>
    </row>
    <row r="142" spans="2:19" hidden="1">
      <c r="B142" s="936"/>
      <c r="C142" s="936">
        <f t="shared" si="151"/>
        <v>0</v>
      </c>
      <c r="D142" s="936" t="e">
        <f t="shared" si="165"/>
        <v>#VALUE!</v>
      </c>
      <c r="E142" s="936" t="e">
        <f t="shared" si="166"/>
        <v>#VALUE!</v>
      </c>
      <c r="F142" s="936" t="e">
        <f t="shared" si="167"/>
        <v>#VALUE!</v>
      </c>
      <c r="G142" s="936" t="e">
        <f t="shared" si="168"/>
        <v>#VALUE!</v>
      </c>
      <c r="H142" s="936" t="e">
        <f t="shared" si="169"/>
        <v>#VALUE!</v>
      </c>
      <c r="I142" s="936" t="e">
        <f t="shared" si="170"/>
        <v>#VALUE!</v>
      </c>
      <c r="J142" s="936" t="e">
        <f t="shared" si="171"/>
        <v>#VALUE!</v>
      </c>
      <c r="K142" s="936">
        <f t="shared" si="172"/>
        <v>0</v>
      </c>
      <c r="L142" s="936">
        <f t="shared" si="173"/>
        <v>0</v>
      </c>
      <c r="M142" s="936">
        <f t="shared" si="174"/>
        <v>0</v>
      </c>
      <c r="N142" t="e" cm="1">
        <f t="array" ref="N142">$Y$39*(1+$Y$46)^(7-1)-SUMPRODUCT(D142:I142,(1+$Y$46)^_xlfn.SEQUENCE(1,7-1,7-2,-1))</f>
        <v>#VALUE!</v>
      </c>
      <c r="O142" t="e" cm="1">
        <f t="array" ref="O142">$Y$39*(1+$Y$47)^(7-1)-SUMPRODUCT(D142:I142,(1+$Y$47)^_xlfn.SEQUENCE(1,7-1,7-2,-1))</f>
        <v>#VALUE!</v>
      </c>
      <c r="P142" t="e">
        <f>_xlfn.LET(_xlpm.sRR,$Y$3*$Y$32,_xlpm.sOR,$Y$13*$Y$5*$Y$6,_xlpm.sOI,$AE$32*_xlpm.sOR,_xlpm.sOD,$Y$20*_xlpm.sRR,_xlpm.sGR,_xlpm.sRR+_xlpm.sOI+_xlpm.sOD,_xlpm.sExp,$Z$32+$AB$32*_xlpm.sRR+($AC$32+$Y$21)*_xlpm.sGR+$AD$32*_xlpm.sOR,_xlpm.opCF,_xlpm.sGR-_xlpm.sExp+$AA$32+$AF$32,_xlpm.opCF)+($Y$3*$Y$32*$K$12*(1-$Y$17)-$AG$32)</f>
        <v>#VALUE!</v>
      </c>
      <c r="Q142" t="e">
        <f t="shared" si="162"/>
        <v>#VALUE!</v>
      </c>
      <c r="R142" t="e">
        <f t="shared" si="163"/>
        <v>#VALUE!</v>
      </c>
      <c r="S142" t="e">
        <f t="shared" si="164"/>
        <v>#VALUE!</v>
      </c>
    </row>
    <row r="143" spans="2:19" hidden="1">
      <c r="B143" s="936"/>
      <c r="C143" s="936">
        <f t="shared" si="151"/>
        <v>0</v>
      </c>
      <c r="D143" s="936" t="e">
        <f t="shared" si="165"/>
        <v>#VALUE!</v>
      </c>
      <c r="E143" s="936" t="e">
        <f t="shared" si="166"/>
        <v>#VALUE!</v>
      </c>
      <c r="F143" s="936" t="e">
        <f t="shared" si="167"/>
        <v>#VALUE!</v>
      </c>
      <c r="G143" s="936" t="e">
        <f t="shared" si="168"/>
        <v>#VALUE!</v>
      </c>
      <c r="H143" s="936" t="e">
        <f t="shared" si="169"/>
        <v>#VALUE!</v>
      </c>
      <c r="I143" s="936" t="e">
        <f t="shared" si="170"/>
        <v>#VALUE!</v>
      </c>
      <c r="J143" s="936" t="e">
        <f t="shared" si="171"/>
        <v>#VALUE!</v>
      </c>
      <c r="K143" s="936">
        <f t="shared" si="172"/>
        <v>0</v>
      </c>
      <c r="L143" s="936">
        <f t="shared" si="173"/>
        <v>0</v>
      </c>
      <c r="M143" s="936">
        <f t="shared" si="174"/>
        <v>0</v>
      </c>
      <c r="N143" t="e" cm="1">
        <f t="array" ref="N143">$Y$39*(1+$Y$46)^(7-1)-SUMPRODUCT(D143:I143,(1+$Y$46)^_xlfn.SEQUENCE(1,7-1,7-2,-1))</f>
        <v>#VALUE!</v>
      </c>
      <c r="O143" t="e" cm="1">
        <f t="array" ref="O143">$Y$39*(1+$Y$47)^(7-1)-SUMPRODUCT(D143:I143,(1+$Y$47)^_xlfn.SEQUENCE(1,7-1,7-2,-1))</f>
        <v>#VALUE!</v>
      </c>
      <c r="P143" t="e">
        <f>_xlfn.LET(_xlpm.sRR,$Y$3*$Y$32,_xlpm.sOR,$Y$13*$Y$5*$Y$6,_xlpm.sOI,$AE$32*_xlpm.sOR,_xlpm.sOD,$Y$20*_xlpm.sRR,_xlpm.sGR,_xlpm.sRR+_xlpm.sOI+_xlpm.sOD,_xlpm.sExp,$Z$32+$AB$32*_xlpm.sRR+($AC$32+$Y$21)*_xlpm.sGR+$AD$32*_xlpm.sOR,_xlpm.opCF,_xlpm.sGR-_xlpm.sExp+$AA$32+$AF$32,_xlpm.opCF)+($Y$3*$Y$32*$K$13*(1-$Y$17)-$AG$32)</f>
        <v>#VALUE!</v>
      </c>
      <c r="Q143" t="e">
        <f t="shared" si="162"/>
        <v>#VALUE!</v>
      </c>
      <c r="R143" t="e">
        <f t="shared" si="163"/>
        <v>#VALUE!</v>
      </c>
      <c r="S143" t="e">
        <f t="shared" si="164"/>
        <v>#VALUE!</v>
      </c>
    </row>
    <row r="144" spans="2:19" hidden="1">
      <c r="B144" s="936"/>
      <c r="C144" s="936">
        <f t="shared" si="151"/>
        <v>0</v>
      </c>
      <c r="D144" s="936" t="e">
        <f t="shared" si="165"/>
        <v>#VALUE!</v>
      </c>
      <c r="E144" s="936" t="e">
        <f t="shared" si="166"/>
        <v>#VALUE!</v>
      </c>
      <c r="F144" s="936" t="e">
        <f t="shared" si="167"/>
        <v>#VALUE!</v>
      </c>
      <c r="G144" s="936" t="e">
        <f t="shared" si="168"/>
        <v>#VALUE!</v>
      </c>
      <c r="H144" s="936" t="e">
        <f t="shared" si="169"/>
        <v>#VALUE!</v>
      </c>
      <c r="I144" s="936" t="e">
        <f t="shared" si="170"/>
        <v>#VALUE!</v>
      </c>
      <c r="J144" s="936" t="e">
        <f t="shared" si="171"/>
        <v>#VALUE!</v>
      </c>
      <c r="K144" s="936">
        <f t="shared" si="172"/>
        <v>0</v>
      </c>
      <c r="L144" s="936">
        <f t="shared" si="173"/>
        <v>0</v>
      </c>
      <c r="M144" s="936">
        <f t="shared" si="174"/>
        <v>0</v>
      </c>
      <c r="N144" t="e" cm="1">
        <f t="array" ref="N144">$Y$39*(1+$Y$46)^(7-1)-SUMPRODUCT(D144:I144,(1+$Y$46)^_xlfn.SEQUENCE(1,7-1,7-2,-1))</f>
        <v>#VALUE!</v>
      </c>
      <c r="O144" t="e" cm="1">
        <f t="array" ref="O144">$Y$39*(1+$Y$47)^(7-1)-SUMPRODUCT(D144:I144,(1+$Y$47)^_xlfn.SEQUENCE(1,7-1,7-2,-1))</f>
        <v>#VALUE!</v>
      </c>
      <c r="P144" t="e">
        <f>_xlfn.LET(_xlpm.sRR,$Y$3*$Y$32,_xlpm.sOR,$Y$13*$Y$5*$Y$6,_xlpm.sOI,$AE$32*_xlpm.sOR,_xlpm.sOD,$Y$20*_xlpm.sRR,_xlpm.sGR,_xlpm.sRR+_xlpm.sOI+_xlpm.sOD,_xlpm.sExp,$Z$32+$AB$32*_xlpm.sRR+($AC$32+$Y$21)*_xlpm.sGR+$AD$32*_xlpm.sOR,_xlpm.opCF,_xlpm.sGR-_xlpm.sExp+$AA$32+$AF$32,_xlpm.opCF)+($Y$3*$Y$32*$K$14*(1-$Y$17)-$AG$32)</f>
        <v>#VALUE!</v>
      </c>
      <c r="Q144" t="e">
        <f t="shared" si="162"/>
        <v>#VALUE!</v>
      </c>
      <c r="R144" t="e">
        <f t="shared" si="163"/>
        <v>#VALUE!</v>
      </c>
      <c r="S144" t="e">
        <f t="shared" si="164"/>
        <v>#VALUE!</v>
      </c>
    </row>
    <row r="145" spans="2:19" hidden="1">
      <c r="B145" s="936"/>
      <c r="C145" s="936">
        <f t="shared" si="151"/>
        <v>0</v>
      </c>
      <c r="D145" s="936" t="e">
        <f t="shared" ref="D145:D151" si="175">IF(1&gt;S$18,0,IF(1&lt;S$18,$Y$40*_xlfn.LET(_xlpm.sRR,$Y$3*$Y$26,_xlpm.sOR,$Y$13*$Y$5*$Y$6,_xlpm.sOI,$AE$26*_xlpm.sOR,_xlpm.sOD,$Y$20*_xlpm.sRR,_xlpm.sGR,_xlpm.sRR+_xlpm.sOI+_xlpm.sOD,_xlpm.sExp,$Z$26+$AB$26*_xlpm.sRR+($AC$26+$Y$21)*_xlpm.sGR+$AD$26*_xlpm.sOR,_xlpm.sGR-_xlpm.sExp+$AA$26+$AF$26),IF(P145&lt;=0,$Y$38*P145,Q145+R145+S145)))</f>
        <v>#VALUE!</v>
      </c>
      <c r="E145" s="936" t="e">
        <f t="shared" ref="E145:E151" si="176">IF(2&gt;S$18,0,IF(2&lt;S$18,$Y$40*_xlfn.LET(_xlpm.sRR,$Y$3*$Y$27,_xlpm.sOR,$Y$13*$Y$5*$Y$6,_xlpm.sOI,$AE$27*_xlpm.sOR,_xlpm.sOD,$Y$20*_xlpm.sRR,_xlpm.sGR,_xlpm.sRR+_xlpm.sOI+_xlpm.sOD,_xlpm.sExp,$Z$27+$AB$27*_xlpm.sRR+($AC$27+$Y$21)*_xlpm.sGR+$AD$27*_xlpm.sOR,_xlpm.sGR-_xlpm.sExp+$AA$27+$AF$27),IF(P145&lt;=0,$Y$38*P145,Q145+R145+S145)))</f>
        <v>#VALUE!</v>
      </c>
      <c r="F145" s="936" t="e">
        <f t="shared" ref="F145:F151" si="177">IF(3&gt;S$18,0,IF(3&lt;S$18,$Y$40*_xlfn.LET(_xlpm.sRR,$Y$3*$Y$28,_xlpm.sOR,$Y$13*$Y$5*$Y$6,_xlpm.sOI,$AE$28*_xlpm.sOR,_xlpm.sOD,$Y$20*_xlpm.sRR,_xlpm.sGR,_xlpm.sRR+_xlpm.sOI+_xlpm.sOD,_xlpm.sExp,$Z$28+$AB$28*_xlpm.sRR+($AC$28+$Y$21)*_xlpm.sGR+$AD$28*_xlpm.sOR,_xlpm.sGR-_xlpm.sExp+$AA$28+$AF$28),IF(P145&lt;=0,$Y$38*P145,Q145+R145+S145)))</f>
        <v>#VALUE!</v>
      </c>
      <c r="G145" s="936" t="e">
        <f t="shared" ref="G145:G151" si="178">IF(4&gt;S$18,0,IF(4&lt;S$18,$Y$40*_xlfn.LET(_xlpm.sRR,$Y$3*$Y$29,_xlpm.sOR,$Y$13*$Y$5*$Y$6,_xlpm.sOI,$AE$29*_xlpm.sOR,_xlpm.sOD,$Y$20*_xlpm.sRR,_xlpm.sGR,_xlpm.sRR+_xlpm.sOI+_xlpm.sOD,_xlpm.sExp,$Z$29+$AB$29*_xlpm.sRR+($AC$29+$Y$21)*_xlpm.sGR+$AD$29*_xlpm.sOR,_xlpm.sGR-_xlpm.sExp+$AA$29+$AF$29),IF(P145&lt;=0,$Y$38*P145,Q145+R145+S145)))</f>
        <v>#VALUE!</v>
      </c>
      <c r="H145" s="936" t="e">
        <f t="shared" ref="H145:H151" si="179">IF(5&gt;S$18,0,IF(5&lt;S$18,$Y$40*_xlfn.LET(_xlpm.sRR,$Y$3*$Y$30,_xlpm.sOR,$Y$13*$Y$5*$Y$6,_xlpm.sOI,$AE$30*_xlpm.sOR,_xlpm.sOD,$Y$20*_xlpm.sRR,_xlpm.sGR,_xlpm.sRR+_xlpm.sOI+_xlpm.sOD,_xlpm.sExp,$Z$30+$AB$30*_xlpm.sRR+($AC$30+$Y$21)*_xlpm.sGR+$AD$30*_xlpm.sOR,_xlpm.sGR-_xlpm.sExp+$AA$30+$AF$30),IF(P145&lt;=0,$Y$38*P145,Q145+R145+S145)))</f>
        <v>#VALUE!</v>
      </c>
      <c r="I145" s="936" t="e">
        <f t="shared" ref="I145:I151" si="180">IF(6&gt;S$18,0,IF(6&lt;S$18,$Y$40*_xlfn.LET(_xlpm.sRR,$Y$3*$Y$31,_xlpm.sOR,$Y$13*$Y$5*$Y$6,_xlpm.sOI,$AE$31*_xlpm.sOR,_xlpm.sOD,$Y$20*_xlpm.sRR,_xlpm.sGR,_xlpm.sRR+_xlpm.sOI+_xlpm.sOD,_xlpm.sExp,$Z$31+$AB$31*_xlpm.sRR+($AC$31+$Y$21)*_xlpm.sGR+$AD$31*_xlpm.sOR,_xlpm.sGR-_xlpm.sExp+$AA$31+$AF$31),IF(P145&lt;=0,$Y$38*P145,Q145+R145+S145)))</f>
        <v>#VALUE!</v>
      </c>
      <c r="J145" s="936" t="e">
        <f t="shared" ref="J145:J151" si="181">IF(7&gt;S$18,0,IF(7&lt;S$18,$Y$40*_xlfn.LET(_xlpm.sRR,$Y$3*$Y$32,_xlpm.sOR,$Y$13*$Y$5*$Y$6,_xlpm.sOI,$AE$32*_xlpm.sOR,_xlpm.sOD,$Y$20*_xlpm.sRR,_xlpm.sGR,_xlpm.sRR+_xlpm.sOI+_xlpm.sOD,_xlpm.sExp,$Z$32+$AB$32*_xlpm.sRR+($AC$32+$Y$21)*_xlpm.sGR+$AD$32*_xlpm.sOR,_xlpm.sGR-_xlpm.sExp+$AA$32+$AF$32),IF(P145&lt;=0,$Y$38*P145,Q145+R145+S145)))</f>
        <v>#VALUE!</v>
      </c>
      <c r="K145" s="936" t="e">
        <f t="shared" ref="K145:K151" si="182">IF(8&gt;S$18,0,IF(8&lt;S$18,$Y$40*_xlfn.LET(_xlpm.sRR,$Y$3*$Y$33,_xlpm.sOR,$Y$13*$Y$5*$Y$6,_xlpm.sOI,$AE$33*_xlpm.sOR,_xlpm.sOD,$Y$20*_xlpm.sRR,_xlpm.sGR,_xlpm.sRR+_xlpm.sOI+_xlpm.sOD,_xlpm.sExp,$Z$33+$AB$33*_xlpm.sRR+($AC$33+$Y$21)*_xlpm.sGR+$AD$33*_xlpm.sOR,_xlpm.sGR-_xlpm.sExp+$AA$33+$AF$33),IF(P145&lt;=0,$Y$38*P145,Q145+R145+S145)))</f>
        <v>#VALUE!</v>
      </c>
      <c r="L145" s="936">
        <f t="shared" ref="L145:L151" si="183">IF(9&gt;S$18,0,IF(9&lt;S$18,$Y$40*_xlfn.LET(_xlpm.sRR,$Y$3*$Y$34,_xlpm.sOR,$Y$13*$Y$5*$Y$6,_xlpm.sOI,$AE$34*_xlpm.sOR,_xlpm.sOD,$Y$20*_xlpm.sRR,_xlpm.sGR,_xlpm.sRR+_xlpm.sOI+_xlpm.sOD,_xlpm.sExp,$Z$34+$AB$34*_xlpm.sRR+($AC$34+$Y$21)*_xlpm.sGR+$AD$34*_xlpm.sOR,_xlpm.sGR-_xlpm.sExp+$AA$34+$AF$34),IF(P145&lt;=0,$Y$38*P145,Q145+R145+S145)))</f>
        <v>0</v>
      </c>
      <c r="M145" s="936">
        <f t="shared" ref="M145:M151" si="184">IF(10&gt;S$18,0,IF(10&lt;S$18,$Y$40*_xlfn.LET(_xlpm.sRR,$Y$3*$Y$35,_xlpm.sOR,$Y$13*$Y$5*$Y$6,_xlpm.sOI,$AE$35*_xlpm.sOR,_xlpm.sOD,$Y$20*_xlpm.sRR,_xlpm.sGR,_xlpm.sRR+_xlpm.sOI+_xlpm.sOD,_xlpm.sExp,$Z$35+$AB$35*_xlpm.sRR+($AC$35+$Y$21)*_xlpm.sGR+$AD$35*_xlpm.sOR,_xlpm.sGR-_xlpm.sExp+$AA$35+$AF$35),IF(P145&lt;=0,$Y$38*P145,Q145+R145+S145)))</f>
        <v>0</v>
      </c>
      <c r="N145" t="e" cm="1">
        <f t="array" ref="N145">$Y$39*(1+$Y$46)^(8-1)-SUMPRODUCT(D145:J145,(1+$Y$46)^_xlfn.SEQUENCE(1,8-1,8-2,-1))</f>
        <v>#VALUE!</v>
      </c>
      <c r="O145" t="e" cm="1">
        <f t="array" ref="O145">$Y$39*(1+$Y$47)^(8-1)-SUMPRODUCT(D145:J145,(1+$Y$47)^_xlfn.SEQUENCE(1,8-1,8-2,-1))</f>
        <v>#VALUE!</v>
      </c>
      <c r="P145" t="e">
        <f>_xlfn.LET(_xlpm.sRR,$Y$3*$Y$33,_xlpm.sOR,$Y$13*$Y$5*$Y$6,_xlpm.sOI,$AE$33*_xlpm.sOR,_xlpm.sOD,$Y$20*_xlpm.sRR,_xlpm.sGR,_xlpm.sRR+_xlpm.sOI+_xlpm.sOD,_xlpm.sExp,$Z$33+$AB$33*_xlpm.sRR+($AC$33+$Y$21)*_xlpm.sGR+$AD$33*_xlpm.sOR,_xlpm.opCF,_xlpm.sGR-_xlpm.sExp+$AA$33+$AF$33,_xlpm.opCF)+($Y$3*$Y$33*$K$8*(1-$Y$17)-$AG$33)</f>
        <v>#VALUE!</v>
      </c>
      <c r="Q145" t="e">
        <f t="shared" si="162"/>
        <v>#VALUE!</v>
      </c>
      <c r="R145" t="e">
        <f t="shared" si="163"/>
        <v>#VALUE!</v>
      </c>
      <c r="S145" t="e">
        <f t="shared" si="164"/>
        <v>#VALUE!</v>
      </c>
    </row>
    <row r="146" spans="2:19" hidden="1">
      <c r="B146" s="936"/>
      <c r="C146" s="936">
        <f t="shared" si="151"/>
        <v>0</v>
      </c>
      <c r="D146" s="936" t="e">
        <f t="shared" si="175"/>
        <v>#VALUE!</v>
      </c>
      <c r="E146" s="936" t="e">
        <f t="shared" si="176"/>
        <v>#VALUE!</v>
      </c>
      <c r="F146" s="936" t="e">
        <f t="shared" si="177"/>
        <v>#VALUE!</v>
      </c>
      <c r="G146" s="936" t="e">
        <f t="shared" si="178"/>
        <v>#VALUE!</v>
      </c>
      <c r="H146" s="936" t="e">
        <f t="shared" si="179"/>
        <v>#VALUE!</v>
      </c>
      <c r="I146" s="936" t="e">
        <f t="shared" si="180"/>
        <v>#VALUE!</v>
      </c>
      <c r="J146" s="936" t="e">
        <f t="shared" si="181"/>
        <v>#VALUE!</v>
      </c>
      <c r="K146" s="936" t="e">
        <f t="shared" si="182"/>
        <v>#VALUE!</v>
      </c>
      <c r="L146" s="936">
        <f t="shared" si="183"/>
        <v>0</v>
      </c>
      <c r="M146" s="936">
        <f t="shared" si="184"/>
        <v>0</v>
      </c>
      <c r="N146" t="e" cm="1">
        <f t="array" ref="N146">$Y$39*(1+$Y$46)^(8-1)-SUMPRODUCT(D146:J146,(1+$Y$46)^_xlfn.SEQUENCE(1,8-1,8-2,-1))</f>
        <v>#VALUE!</v>
      </c>
      <c r="O146" t="e" cm="1">
        <f t="array" ref="O146">$Y$39*(1+$Y$47)^(8-1)-SUMPRODUCT(D146:J146,(1+$Y$47)^_xlfn.SEQUENCE(1,8-1,8-2,-1))</f>
        <v>#VALUE!</v>
      </c>
      <c r="P146" t="e">
        <f>_xlfn.LET(_xlpm.sRR,$Y$3*$Y$33,_xlpm.sOR,$Y$13*$Y$5*$Y$6,_xlpm.sOI,$AE$33*_xlpm.sOR,_xlpm.sOD,$Y$20*_xlpm.sRR,_xlpm.sGR,_xlpm.sRR+_xlpm.sOI+_xlpm.sOD,_xlpm.sExp,$Z$33+$AB$33*_xlpm.sRR+($AC$33+$Y$21)*_xlpm.sGR+$AD$33*_xlpm.sOR,_xlpm.opCF,_xlpm.sGR-_xlpm.sExp+$AA$33+$AF$33,_xlpm.opCF)+($Y$3*$Y$33*$K$9*(1-$Y$17)-$AG$33)</f>
        <v>#VALUE!</v>
      </c>
      <c r="Q146" t="e">
        <f t="shared" si="162"/>
        <v>#VALUE!</v>
      </c>
      <c r="R146" t="e">
        <f t="shared" si="163"/>
        <v>#VALUE!</v>
      </c>
      <c r="S146" t="e">
        <f t="shared" si="164"/>
        <v>#VALUE!</v>
      </c>
    </row>
    <row r="147" spans="2:19" hidden="1">
      <c r="B147" s="936"/>
      <c r="C147" s="936">
        <f t="shared" si="151"/>
        <v>0</v>
      </c>
      <c r="D147" s="936" t="e">
        <f t="shared" si="175"/>
        <v>#VALUE!</v>
      </c>
      <c r="E147" s="936" t="e">
        <f t="shared" si="176"/>
        <v>#VALUE!</v>
      </c>
      <c r="F147" s="936" t="e">
        <f t="shared" si="177"/>
        <v>#VALUE!</v>
      </c>
      <c r="G147" s="936" t="e">
        <f t="shared" si="178"/>
        <v>#VALUE!</v>
      </c>
      <c r="H147" s="936" t="e">
        <f t="shared" si="179"/>
        <v>#VALUE!</v>
      </c>
      <c r="I147" s="936" t="e">
        <f t="shared" si="180"/>
        <v>#VALUE!</v>
      </c>
      <c r="J147" s="936" t="e">
        <f t="shared" si="181"/>
        <v>#VALUE!</v>
      </c>
      <c r="K147" s="936" t="e">
        <f t="shared" si="182"/>
        <v>#VALUE!</v>
      </c>
      <c r="L147" s="936">
        <f t="shared" si="183"/>
        <v>0</v>
      </c>
      <c r="M147" s="936">
        <f t="shared" si="184"/>
        <v>0</v>
      </c>
      <c r="N147" t="e" cm="1">
        <f t="array" ref="N147">$Y$39*(1+$Y$46)^(8-1)-SUMPRODUCT(D147:J147,(1+$Y$46)^_xlfn.SEQUENCE(1,8-1,8-2,-1))</f>
        <v>#VALUE!</v>
      </c>
      <c r="O147" t="e" cm="1">
        <f t="array" ref="O147">$Y$39*(1+$Y$47)^(8-1)-SUMPRODUCT(D147:J147,(1+$Y$47)^_xlfn.SEQUENCE(1,8-1,8-2,-1))</f>
        <v>#VALUE!</v>
      </c>
      <c r="P147" t="e">
        <f>_xlfn.LET(_xlpm.sRR,$Y$3*$Y$33,_xlpm.sOR,$Y$13*$Y$5*$Y$6,_xlpm.sOI,$AE$33*_xlpm.sOR,_xlpm.sOD,$Y$20*_xlpm.sRR,_xlpm.sGR,_xlpm.sRR+_xlpm.sOI+_xlpm.sOD,_xlpm.sExp,$Z$33+$AB$33*_xlpm.sRR+($AC$33+$Y$21)*_xlpm.sGR+$AD$33*_xlpm.sOR,_xlpm.opCF,_xlpm.sGR-_xlpm.sExp+$AA$33+$AF$33,_xlpm.opCF)+($Y$3*$Y$33*$K$10*(1-$Y$17)-$AG$33)</f>
        <v>#VALUE!</v>
      </c>
      <c r="Q147" t="e">
        <f t="shared" si="162"/>
        <v>#VALUE!</v>
      </c>
      <c r="R147" t="e">
        <f t="shared" si="163"/>
        <v>#VALUE!</v>
      </c>
      <c r="S147" t="e">
        <f t="shared" si="164"/>
        <v>#VALUE!</v>
      </c>
    </row>
    <row r="148" spans="2:19" hidden="1">
      <c r="B148" s="936"/>
      <c r="C148" s="936">
        <f t="shared" si="151"/>
        <v>0</v>
      </c>
      <c r="D148" s="936" t="e">
        <f t="shared" si="175"/>
        <v>#VALUE!</v>
      </c>
      <c r="E148" s="936" t="e">
        <f t="shared" si="176"/>
        <v>#VALUE!</v>
      </c>
      <c r="F148" s="936" t="e">
        <f t="shared" si="177"/>
        <v>#VALUE!</v>
      </c>
      <c r="G148" s="936" t="e">
        <f t="shared" si="178"/>
        <v>#VALUE!</v>
      </c>
      <c r="H148" s="936" t="e">
        <f t="shared" si="179"/>
        <v>#VALUE!</v>
      </c>
      <c r="I148" s="936" t="e">
        <f t="shared" si="180"/>
        <v>#VALUE!</v>
      </c>
      <c r="J148" s="936" t="e">
        <f t="shared" si="181"/>
        <v>#VALUE!</v>
      </c>
      <c r="K148" s="936" t="e">
        <f t="shared" si="182"/>
        <v>#VALUE!</v>
      </c>
      <c r="L148" s="936">
        <f t="shared" si="183"/>
        <v>0</v>
      </c>
      <c r="M148" s="936">
        <f t="shared" si="184"/>
        <v>0</v>
      </c>
      <c r="N148" t="e" cm="1">
        <f t="array" ref="N148">$Y$39*(1+$Y$46)^(8-1)-SUMPRODUCT(D148:J148,(1+$Y$46)^_xlfn.SEQUENCE(1,8-1,8-2,-1))</f>
        <v>#VALUE!</v>
      </c>
      <c r="O148" t="e" cm="1">
        <f t="array" ref="O148">$Y$39*(1+$Y$47)^(8-1)-SUMPRODUCT(D148:J148,(1+$Y$47)^_xlfn.SEQUENCE(1,8-1,8-2,-1))</f>
        <v>#VALUE!</v>
      </c>
      <c r="P148" t="e">
        <f>_xlfn.LET(_xlpm.sRR,$Y$3*$Y$33,_xlpm.sOR,$Y$13*$Y$5*$Y$6,_xlpm.sOI,$AE$33*_xlpm.sOR,_xlpm.sOD,$Y$20*_xlpm.sRR,_xlpm.sGR,_xlpm.sRR+_xlpm.sOI+_xlpm.sOD,_xlpm.sExp,$Z$33+$AB$33*_xlpm.sRR+($AC$33+$Y$21)*_xlpm.sGR+$AD$33*_xlpm.sOR,_xlpm.opCF,_xlpm.sGR-_xlpm.sExp+$AA$33+$AF$33,_xlpm.opCF)+($Y$3*$Y$33*$K$11*(1-$Y$17)-$AG$33)</f>
        <v>#VALUE!</v>
      </c>
      <c r="Q148" t="e">
        <f t="shared" si="162"/>
        <v>#VALUE!</v>
      </c>
      <c r="R148" t="e">
        <f t="shared" si="163"/>
        <v>#VALUE!</v>
      </c>
      <c r="S148" t="e">
        <f t="shared" si="164"/>
        <v>#VALUE!</v>
      </c>
    </row>
    <row r="149" spans="2:19" hidden="1">
      <c r="B149" s="936"/>
      <c r="C149" s="936">
        <f t="shared" si="151"/>
        <v>0</v>
      </c>
      <c r="D149" s="936" t="e">
        <f t="shared" si="175"/>
        <v>#VALUE!</v>
      </c>
      <c r="E149" s="936" t="e">
        <f t="shared" si="176"/>
        <v>#VALUE!</v>
      </c>
      <c r="F149" s="936" t="e">
        <f t="shared" si="177"/>
        <v>#VALUE!</v>
      </c>
      <c r="G149" s="936" t="e">
        <f t="shared" si="178"/>
        <v>#VALUE!</v>
      </c>
      <c r="H149" s="936" t="e">
        <f t="shared" si="179"/>
        <v>#VALUE!</v>
      </c>
      <c r="I149" s="936" t="e">
        <f t="shared" si="180"/>
        <v>#VALUE!</v>
      </c>
      <c r="J149" s="936" t="e">
        <f t="shared" si="181"/>
        <v>#VALUE!</v>
      </c>
      <c r="K149" s="936" t="e">
        <f t="shared" si="182"/>
        <v>#VALUE!</v>
      </c>
      <c r="L149" s="936">
        <f t="shared" si="183"/>
        <v>0</v>
      </c>
      <c r="M149" s="936">
        <f t="shared" si="184"/>
        <v>0</v>
      </c>
      <c r="N149" t="e" cm="1">
        <f t="array" ref="N149">$Y$39*(1+$Y$46)^(8-1)-SUMPRODUCT(D149:J149,(1+$Y$46)^_xlfn.SEQUENCE(1,8-1,8-2,-1))</f>
        <v>#VALUE!</v>
      </c>
      <c r="O149" t="e" cm="1">
        <f t="array" ref="O149">$Y$39*(1+$Y$47)^(8-1)-SUMPRODUCT(D149:J149,(1+$Y$47)^_xlfn.SEQUENCE(1,8-1,8-2,-1))</f>
        <v>#VALUE!</v>
      </c>
      <c r="P149" t="e">
        <f>_xlfn.LET(_xlpm.sRR,$Y$3*$Y$33,_xlpm.sOR,$Y$13*$Y$5*$Y$6,_xlpm.sOI,$AE$33*_xlpm.sOR,_xlpm.sOD,$Y$20*_xlpm.sRR,_xlpm.sGR,_xlpm.sRR+_xlpm.sOI+_xlpm.sOD,_xlpm.sExp,$Z$33+$AB$33*_xlpm.sRR+($AC$33+$Y$21)*_xlpm.sGR+$AD$33*_xlpm.sOR,_xlpm.opCF,_xlpm.sGR-_xlpm.sExp+$AA$33+$AF$33,_xlpm.opCF)+($Y$3*$Y$33*$K$12*(1-$Y$17)-$AG$33)</f>
        <v>#VALUE!</v>
      </c>
      <c r="Q149" t="e">
        <f t="shared" si="162"/>
        <v>#VALUE!</v>
      </c>
      <c r="R149" t="e">
        <f t="shared" si="163"/>
        <v>#VALUE!</v>
      </c>
      <c r="S149" t="e">
        <f t="shared" si="164"/>
        <v>#VALUE!</v>
      </c>
    </row>
    <row r="150" spans="2:19" hidden="1">
      <c r="B150" s="936"/>
      <c r="C150" s="936">
        <f t="shared" si="151"/>
        <v>0</v>
      </c>
      <c r="D150" s="936" t="e">
        <f t="shared" si="175"/>
        <v>#VALUE!</v>
      </c>
      <c r="E150" s="936" t="e">
        <f t="shared" si="176"/>
        <v>#VALUE!</v>
      </c>
      <c r="F150" s="936" t="e">
        <f t="shared" si="177"/>
        <v>#VALUE!</v>
      </c>
      <c r="G150" s="936" t="e">
        <f t="shared" si="178"/>
        <v>#VALUE!</v>
      </c>
      <c r="H150" s="936" t="e">
        <f t="shared" si="179"/>
        <v>#VALUE!</v>
      </c>
      <c r="I150" s="936" t="e">
        <f t="shared" si="180"/>
        <v>#VALUE!</v>
      </c>
      <c r="J150" s="936" t="e">
        <f t="shared" si="181"/>
        <v>#VALUE!</v>
      </c>
      <c r="K150" s="936" t="e">
        <f t="shared" si="182"/>
        <v>#VALUE!</v>
      </c>
      <c r="L150" s="936">
        <f t="shared" si="183"/>
        <v>0</v>
      </c>
      <c r="M150" s="936">
        <f t="shared" si="184"/>
        <v>0</v>
      </c>
      <c r="N150" t="e" cm="1">
        <f t="array" ref="N150">$Y$39*(1+$Y$46)^(8-1)-SUMPRODUCT(D150:J150,(1+$Y$46)^_xlfn.SEQUENCE(1,8-1,8-2,-1))</f>
        <v>#VALUE!</v>
      </c>
      <c r="O150" t="e" cm="1">
        <f t="array" ref="O150">$Y$39*(1+$Y$47)^(8-1)-SUMPRODUCT(D150:J150,(1+$Y$47)^_xlfn.SEQUENCE(1,8-1,8-2,-1))</f>
        <v>#VALUE!</v>
      </c>
      <c r="P150" t="e">
        <f>_xlfn.LET(_xlpm.sRR,$Y$3*$Y$33,_xlpm.sOR,$Y$13*$Y$5*$Y$6,_xlpm.sOI,$AE$33*_xlpm.sOR,_xlpm.sOD,$Y$20*_xlpm.sRR,_xlpm.sGR,_xlpm.sRR+_xlpm.sOI+_xlpm.sOD,_xlpm.sExp,$Z$33+$AB$33*_xlpm.sRR+($AC$33+$Y$21)*_xlpm.sGR+$AD$33*_xlpm.sOR,_xlpm.opCF,_xlpm.sGR-_xlpm.sExp+$AA$33+$AF$33,_xlpm.opCF)+($Y$3*$Y$33*$K$13*(1-$Y$17)-$AG$33)</f>
        <v>#VALUE!</v>
      </c>
      <c r="Q150" t="e">
        <f t="shared" si="162"/>
        <v>#VALUE!</v>
      </c>
      <c r="R150" t="e">
        <f t="shared" si="163"/>
        <v>#VALUE!</v>
      </c>
      <c r="S150" t="e">
        <f t="shared" si="164"/>
        <v>#VALUE!</v>
      </c>
    </row>
    <row r="151" spans="2:19" hidden="1">
      <c r="B151" s="936"/>
      <c r="C151" s="936">
        <f t="shared" si="151"/>
        <v>0</v>
      </c>
      <c r="D151" s="936" t="e">
        <f t="shared" si="175"/>
        <v>#VALUE!</v>
      </c>
      <c r="E151" s="936" t="e">
        <f t="shared" si="176"/>
        <v>#VALUE!</v>
      </c>
      <c r="F151" s="936" t="e">
        <f t="shared" si="177"/>
        <v>#VALUE!</v>
      </c>
      <c r="G151" s="936" t="e">
        <f t="shared" si="178"/>
        <v>#VALUE!</v>
      </c>
      <c r="H151" s="936" t="e">
        <f t="shared" si="179"/>
        <v>#VALUE!</v>
      </c>
      <c r="I151" s="936" t="e">
        <f t="shared" si="180"/>
        <v>#VALUE!</v>
      </c>
      <c r="J151" s="936" t="e">
        <f t="shared" si="181"/>
        <v>#VALUE!</v>
      </c>
      <c r="K151" s="936" t="e">
        <f t="shared" si="182"/>
        <v>#VALUE!</v>
      </c>
      <c r="L151" s="936">
        <f t="shared" si="183"/>
        <v>0</v>
      </c>
      <c r="M151" s="936">
        <f t="shared" si="184"/>
        <v>0</v>
      </c>
      <c r="N151" t="e" cm="1">
        <f t="array" ref="N151">$Y$39*(1+$Y$46)^(8-1)-SUMPRODUCT(D151:J151,(1+$Y$46)^_xlfn.SEQUENCE(1,8-1,8-2,-1))</f>
        <v>#VALUE!</v>
      </c>
      <c r="O151" t="e" cm="1">
        <f t="array" ref="O151">$Y$39*(1+$Y$47)^(8-1)-SUMPRODUCT(D151:J151,(1+$Y$47)^_xlfn.SEQUENCE(1,8-1,8-2,-1))</f>
        <v>#VALUE!</v>
      </c>
      <c r="P151" t="e">
        <f>_xlfn.LET(_xlpm.sRR,$Y$3*$Y$33,_xlpm.sOR,$Y$13*$Y$5*$Y$6,_xlpm.sOI,$AE$33*_xlpm.sOR,_xlpm.sOD,$Y$20*_xlpm.sRR,_xlpm.sGR,_xlpm.sRR+_xlpm.sOI+_xlpm.sOD,_xlpm.sExp,$Z$33+$AB$33*_xlpm.sRR+($AC$33+$Y$21)*_xlpm.sGR+$AD$33*_xlpm.sOR,_xlpm.opCF,_xlpm.sGR-_xlpm.sExp+$AA$33+$AF$33,_xlpm.opCF)+($Y$3*$Y$33*$K$14*(1-$Y$17)-$AG$33)</f>
        <v>#VALUE!</v>
      </c>
      <c r="Q151" t="e">
        <f t="shared" si="162"/>
        <v>#VALUE!</v>
      </c>
      <c r="R151" t="e">
        <f t="shared" si="163"/>
        <v>#VALUE!</v>
      </c>
      <c r="S151" t="e">
        <f t="shared" si="164"/>
        <v>#VALUE!</v>
      </c>
    </row>
    <row r="152" spans="2:19" hidden="1">
      <c r="B152" s="936"/>
      <c r="C152" s="936">
        <f t="shared" si="151"/>
        <v>0</v>
      </c>
      <c r="D152" s="936" t="e">
        <f t="shared" ref="D152:D158" si="185">IF(1&gt;T$18,0,IF(1&lt;T$18,$Y$40*_xlfn.LET(_xlpm.sRR,$Y$3*$Y$26,_xlpm.sOR,$Y$13*$Y$5*$Y$6,_xlpm.sOI,$AE$26*_xlpm.sOR,_xlpm.sOD,$Y$20*_xlpm.sRR,_xlpm.sGR,_xlpm.sRR+_xlpm.sOI+_xlpm.sOD,_xlpm.sExp,$Z$26+$AB$26*_xlpm.sRR+($AC$26+$Y$21)*_xlpm.sGR+$AD$26*_xlpm.sOR,_xlpm.sGR-_xlpm.sExp+$AA$26+$AF$26),IF(P152&lt;=0,$Y$38*P152,Q152+R152+S152)))</f>
        <v>#VALUE!</v>
      </c>
      <c r="E152" s="936" t="e">
        <f t="shared" ref="E152:E158" si="186">IF(2&gt;T$18,0,IF(2&lt;T$18,$Y$40*_xlfn.LET(_xlpm.sRR,$Y$3*$Y$27,_xlpm.sOR,$Y$13*$Y$5*$Y$6,_xlpm.sOI,$AE$27*_xlpm.sOR,_xlpm.sOD,$Y$20*_xlpm.sRR,_xlpm.sGR,_xlpm.sRR+_xlpm.sOI+_xlpm.sOD,_xlpm.sExp,$Z$27+$AB$27*_xlpm.sRR+($AC$27+$Y$21)*_xlpm.sGR+$AD$27*_xlpm.sOR,_xlpm.sGR-_xlpm.sExp+$AA$27+$AF$27),IF(P152&lt;=0,$Y$38*P152,Q152+R152+S152)))</f>
        <v>#VALUE!</v>
      </c>
      <c r="F152" s="936" t="e">
        <f t="shared" ref="F152:F158" si="187">IF(3&gt;T$18,0,IF(3&lt;T$18,$Y$40*_xlfn.LET(_xlpm.sRR,$Y$3*$Y$28,_xlpm.sOR,$Y$13*$Y$5*$Y$6,_xlpm.sOI,$AE$28*_xlpm.sOR,_xlpm.sOD,$Y$20*_xlpm.sRR,_xlpm.sGR,_xlpm.sRR+_xlpm.sOI+_xlpm.sOD,_xlpm.sExp,$Z$28+$AB$28*_xlpm.sRR+($AC$28+$Y$21)*_xlpm.sGR+$AD$28*_xlpm.sOR,_xlpm.sGR-_xlpm.sExp+$AA$28+$AF$28),IF(P152&lt;=0,$Y$38*P152,Q152+R152+S152)))</f>
        <v>#VALUE!</v>
      </c>
      <c r="G152" s="936" t="e">
        <f t="shared" ref="G152:G158" si="188">IF(4&gt;T$18,0,IF(4&lt;T$18,$Y$40*_xlfn.LET(_xlpm.sRR,$Y$3*$Y$29,_xlpm.sOR,$Y$13*$Y$5*$Y$6,_xlpm.sOI,$AE$29*_xlpm.sOR,_xlpm.sOD,$Y$20*_xlpm.sRR,_xlpm.sGR,_xlpm.sRR+_xlpm.sOI+_xlpm.sOD,_xlpm.sExp,$Z$29+$AB$29*_xlpm.sRR+($AC$29+$Y$21)*_xlpm.sGR+$AD$29*_xlpm.sOR,_xlpm.sGR-_xlpm.sExp+$AA$29+$AF$29),IF(P152&lt;=0,$Y$38*P152,Q152+R152+S152)))</f>
        <v>#VALUE!</v>
      </c>
      <c r="H152" s="936" t="e">
        <f t="shared" ref="H152:H158" si="189">IF(5&gt;T$18,0,IF(5&lt;T$18,$Y$40*_xlfn.LET(_xlpm.sRR,$Y$3*$Y$30,_xlpm.sOR,$Y$13*$Y$5*$Y$6,_xlpm.sOI,$AE$30*_xlpm.sOR,_xlpm.sOD,$Y$20*_xlpm.sRR,_xlpm.sGR,_xlpm.sRR+_xlpm.sOI+_xlpm.sOD,_xlpm.sExp,$Z$30+$AB$30*_xlpm.sRR+($AC$30+$Y$21)*_xlpm.sGR+$AD$30*_xlpm.sOR,_xlpm.sGR-_xlpm.sExp+$AA$30+$AF$30),IF(P152&lt;=0,$Y$38*P152,Q152+R152+S152)))</f>
        <v>#VALUE!</v>
      </c>
      <c r="I152" s="936" t="e">
        <f t="shared" ref="I152:I158" si="190">IF(6&gt;T$18,0,IF(6&lt;T$18,$Y$40*_xlfn.LET(_xlpm.sRR,$Y$3*$Y$31,_xlpm.sOR,$Y$13*$Y$5*$Y$6,_xlpm.sOI,$AE$31*_xlpm.sOR,_xlpm.sOD,$Y$20*_xlpm.sRR,_xlpm.sGR,_xlpm.sRR+_xlpm.sOI+_xlpm.sOD,_xlpm.sExp,$Z$31+$AB$31*_xlpm.sRR+($AC$31+$Y$21)*_xlpm.sGR+$AD$31*_xlpm.sOR,_xlpm.sGR-_xlpm.sExp+$AA$31+$AF$31),IF(P152&lt;=0,$Y$38*P152,Q152+R152+S152)))</f>
        <v>#VALUE!</v>
      </c>
      <c r="J152" s="936" t="e">
        <f t="shared" ref="J152:J158" si="191">IF(7&gt;T$18,0,IF(7&lt;T$18,$Y$40*_xlfn.LET(_xlpm.sRR,$Y$3*$Y$32,_xlpm.sOR,$Y$13*$Y$5*$Y$6,_xlpm.sOI,$AE$32*_xlpm.sOR,_xlpm.sOD,$Y$20*_xlpm.sRR,_xlpm.sGR,_xlpm.sRR+_xlpm.sOI+_xlpm.sOD,_xlpm.sExp,$Z$32+$AB$32*_xlpm.sRR+($AC$32+$Y$21)*_xlpm.sGR+$AD$32*_xlpm.sOR,_xlpm.sGR-_xlpm.sExp+$AA$32+$AF$32),IF(P152&lt;=0,$Y$38*P152,Q152+R152+S152)))</f>
        <v>#VALUE!</v>
      </c>
      <c r="K152" s="936" t="e">
        <f t="shared" ref="K152:K158" si="192">IF(8&gt;T$18,0,IF(8&lt;T$18,$Y$40*_xlfn.LET(_xlpm.sRR,$Y$3*$Y$33,_xlpm.sOR,$Y$13*$Y$5*$Y$6,_xlpm.sOI,$AE$33*_xlpm.sOR,_xlpm.sOD,$Y$20*_xlpm.sRR,_xlpm.sGR,_xlpm.sRR+_xlpm.sOI+_xlpm.sOD,_xlpm.sExp,$Z$33+$AB$33*_xlpm.sRR+($AC$33+$Y$21)*_xlpm.sGR+$AD$33*_xlpm.sOR,_xlpm.sGR-_xlpm.sExp+$AA$33+$AF$33),IF(P152&lt;=0,$Y$38*P152,Q152+R152+S152)))</f>
        <v>#VALUE!</v>
      </c>
      <c r="L152" s="936" t="e">
        <f t="shared" ref="L152:L158" si="193">IF(9&gt;T$18,0,IF(9&lt;T$18,$Y$40*_xlfn.LET(_xlpm.sRR,$Y$3*$Y$34,_xlpm.sOR,$Y$13*$Y$5*$Y$6,_xlpm.sOI,$AE$34*_xlpm.sOR,_xlpm.sOD,$Y$20*_xlpm.sRR,_xlpm.sGR,_xlpm.sRR+_xlpm.sOI+_xlpm.sOD,_xlpm.sExp,$Z$34+$AB$34*_xlpm.sRR+($AC$34+$Y$21)*_xlpm.sGR+$AD$34*_xlpm.sOR,_xlpm.sGR-_xlpm.sExp+$AA$34+$AF$34),IF(P152&lt;=0,$Y$38*P152,Q152+R152+S152)))</f>
        <v>#VALUE!</v>
      </c>
      <c r="M152" s="936">
        <f t="shared" ref="M152:M158" si="194">IF(10&gt;T$18,0,IF(10&lt;T$18,$Y$40*_xlfn.LET(_xlpm.sRR,$Y$3*$Y$35,_xlpm.sOR,$Y$13*$Y$5*$Y$6,_xlpm.sOI,$AE$35*_xlpm.sOR,_xlpm.sOD,$Y$20*_xlpm.sRR,_xlpm.sGR,_xlpm.sRR+_xlpm.sOI+_xlpm.sOD,_xlpm.sExp,$Z$35+$AB$35*_xlpm.sRR+($AC$35+$Y$21)*_xlpm.sGR+$AD$35*_xlpm.sOR,_xlpm.sGR-_xlpm.sExp+$AA$35+$AF$35),IF(P152&lt;=0,$Y$38*P152,Q152+R152+S152)))</f>
        <v>0</v>
      </c>
      <c r="N152" t="e" cm="1">
        <f t="array" ref="N152">$Y$39*(1+$Y$46)^(9-1)-SUMPRODUCT(D152:K152,(1+$Y$46)^_xlfn.SEQUENCE(1,9-1,9-2,-1))</f>
        <v>#VALUE!</v>
      </c>
      <c r="O152" t="e" cm="1">
        <f t="array" ref="O152">$Y$39*(1+$Y$47)^(9-1)-SUMPRODUCT(D152:K152,(1+$Y$47)^_xlfn.SEQUENCE(1,9-1,9-2,-1))</f>
        <v>#VALUE!</v>
      </c>
      <c r="P152" t="e">
        <f>_xlfn.LET(_xlpm.sRR,$Y$3*$Y$34,_xlpm.sOR,$Y$13*$Y$5*$Y$6,_xlpm.sOI,$AE$34*_xlpm.sOR,_xlpm.sOD,$Y$20*_xlpm.sRR,_xlpm.sGR,_xlpm.sRR+_xlpm.sOI+_xlpm.sOD,_xlpm.sExp,$Z$34+$AB$34*_xlpm.sRR+($AC$34+$Y$21)*_xlpm.sGR+$AD$34*_xlpm.sOR,_xlpm.opCF,_xlpm.sGR-_xlpm.sExp+$AA$34+$AF$34,_xlpm.opCF)+($Y$3*$Y$34*$K$8*(1-$Y$17)-$AG$34)</f>
        <v>#VALUE!</v>
      </c>
      <c r="Q152" t="e">
        <f t="shared" si="162"/>
        <v>#VALUE!</v>
      </c>
      <c r="R152" t="e">
        <f t="shared" si="163"/>
        <v>#VALUE!</v>
      </c>
      <c r="S152" t="e">
        <f t="shared" si="164"/>
        <v>#VALUE!</v>
      </c>
    </row>
    <row r="153" spans="2:19" hidden="1">
      <c r="B153" s="936"/>
      <c r="C153" s="936">
        <f t="shared" si="151"/>
        <v>0</v>
      </c>
      <c r="D153" s="936" t="e">
        <f t="shared" si="185"/>
        <v>#VALUE!</v>
      </c>
      <c r="E153" s="936" t="e">
        <f t="shared" si="186"/>
        <v>#VALUE!</v>
      </c>
      <c r="F153" s="936" t="e">
        <f t="shared" si="187"/>
        <v>#VALUE!</v>
      </c>
      <c r="G153" s="936" t="e">
        <f t="shared" si="188"/>
        <v>#VALUE!</v>
      </c>
      <c r="H153" s="936" t="e">
        <f t="shared" si="189"/>
        <v>#VALUE!</v>
      </c>
      <c r="I153" s="936" t="e">
        <f t="shared" si="190"/>
        <v>#VALUE!</v>
      </c>
      <c r="J153" s="936" t="e">
        <f t="shared" si="191"/>
        <v>#VALUE!</v>
      </c>
      <c r="K153" s="936" t="e">
        <f t="shared" si="192"/>
        <v>#VALUE!</v>
      </c>
      <c r="L153" s="936" t="e">
        <f t="shared" si="193"/>
        <v>#VALUE!</v>
      </c>
      <c r="M153" s="936">
        <f t="shared" si="194"/>
        <v>0</v>
      </c>
      <c r="N153" t="e" cm="1">
        <f t="array" ref="N153">$Y$39*(1+$Y$46)^(9-1)-SUMPRODUCT(D153:K153,(1+$Y$46)^_xlfn.SEQUENCE(1,9-1,9-2,-1))</f>
        <v>#VALUE!</v>
      </c>
      <c r="O153" t="e" cm="1">
        <f t="array" ref="O153">$Y$39*(1+$Y$47)^(9-1)-SUMPRODUCT(D153:K153,(1+$Y$47)^_xlfn.SEQUENCE(1,9-1,9-2,-1))</f>
        <v>#VALUE!</v>
      </c>
      <c r="P153" t="e">
        <f>_xlfn.LET(_xlpm.sRR,$Y$3*$Y$34,_xlpm.sOR,$Y$13*$Y$5*$Y$6,_xlpm.sOI,$AE$34*_xlpm.sOR,_xlpm.sOD,$Y$20*_xlpm.sRR,_xlpm.sGR,_xlpm.sRR+_xlpm.sOI+_xlpm.sOD,_xlpm.sExp,$Z$34+$AB$34*_xlpm.sRR+($AC$34+$Y$21)*_xlpm.sGR+$AD$34*_xlpm.sOR,_xlpm.opCF,_xlpm.sGR-_xlpm.sExp+$AA$34+$AF$34,_xlpm.opCF)+($Y$3*$Y$34*$K$9*(1-$Y$17)-$AG$34)</f>
        <v>#VALUE!</v>
      </c>
      <c r="Q153" t="e">
        <f t="shared" si="162"/>
        <v>#VALUE!</v>
      </c>
      <c r="R153" t="e">
        <f t="shared" si="163"/>
        <v>#VALUE!</v>
      </c>
      <c r="S153" t="e">
        <f t="shared" si="164"/>
        <v>#VALUE!</v>
      </c>
    </row>
    <row r="154" spans="2:19" hidden="1">
      <c r="B154" s="936"/>
      <c r="C154" s="936">
        <f t="shared" si="151"/>
        <v>0</v>
      </c>
      <c r="D154" s="936" t="e">
        <f t="shared" si="185"/>
        <v>#VALUE!</v>
      </c>
      <c r="E154" s="936" t="e">
        <f t="shared" si="186"/>
        <v>#VALUE!</v>
      </c>
      <c r="F154" s="936" t="e">
        <f t="shared" si="187"/>
        <v>#VALUE!</v>
      </c>
      <c r="G154" s="936" t="e">
        <f t="shared" si="188"/>
        <v>#VALUE!</v>
      </c>
      <c r="H154" s="936" t="e">
        <f t="shared" si="189"/>
        <v>#VALUE!</v>
      </c>
      <c r="I154" s="936" t="e">
        <f t="shared" si="190"/>
        <v>#VALUE!</v>
      </c>
      <c r="J154" s="936" t="e">
        <f t="shared" si="191"/>
        <v>#VALUE!</v>
      </c>
      <c r="K154" s="936" t="e">
        <f t="shared" si="192"/>
        <v>#VALUE!</v>
      </c>
      <c r="L154" s="936" t="e">
        <f t="shared" si="193"/>
        <v>#VALUE!</v>
      </c>
      <c r="M154" s="936">
        <f t="shared" si="194"/>
        <v>0</v>
      </c>
      <c r="N154" t="e" cm="1">
        <f t="array" ref="N154">$Y$39*(1+$Y$46)^(9-1)-SUMPRODUCT(D154:K154,(1+$Y$46)^_xlfn.SEQUENCE(1,9-1,9-2,-1))</f>
        <v>#VALUE!</v>
      </c>
      <c r="O154" t="e" cm="1">
        <f t="array" ref="O154">$Y$39*(1+$Y$47)^(9-1)-SUMPRODUCT(D154:K154,(1+$Y$47)^_xlfn.SEQUENCE(1,9-1,9-2,-1))</f>
        <v>#VALUE!</v>
      </c>
      <c r="P154" t="e">
        <f>_xlfn.LET(_xlpm.sRR,$Y$3*$Y$34,_xlpm.sOR,$Y$13*$Y$5*$Y$6,_xlpm.sOI,$AE$34*_xlpm.sOR,_xlpm.sOD,$Y$20*_xlpm.sRR,_xlpm.sGR,_xlpm.sRR+_xlpm.sOI+_xlpm.sOD,_xlpm.sExp,$Z$34+$AB$34*_xlpm.sRR+($AC$34+$Y$21)*_xlpm.sGR+$AD$34*_xlpm.sOR,_xlpm.opCF,_xlpm.sGR-_xlpm.sExp+$AA$34+$AF$34,_xlpm.opCF)+($Y$3*$Y$34*$K$10*(1-$Y$17)-$AG$34)</f>
        <v>#VALUE!</v>
      </c>
      <c r="Q154" t="e">
        <f t="shared" si="162"/>
        <v>#VALUE!</v>
      </c>
      <c r="R154" t="e">
        <f t="shared" si="163"/>
        <v>#VALUE!</v>
      </c>
      <c r="S154" t="e">
        <f t="shared" si="164"/>
        <v>#VALUE!</v>
      </c>
    </row>
    <row r="155" spans="2:19" hidden="1">
      <c r="B155" s="936"/>
      <c r="C155" s="936">
        <f t="shared" si="151"/>
        <v>0</v>
      </c>
      <c r="D155" s="936" t="e">
        <f t="shared" si="185"/>
        <v>#VALUE!</v>
      </c>
      <c r="E155" s="936" t="e">
        <f t="shared" si="186"/>
        <v>#VALUE!</v>
      </c>
      <c r="F155" s="936" t="e">
        <f t="shared" si="187"/>
        <v>#VALUE!</v>
      </c>
      <c r="G155" s="936" t="e">
        <f t="shared" si="188"/>
        <v>#VALUE!</v>
      </c>
      <c r="H155" s="936" t="e">
        <f t="shared" si="189"/>
        <v>#VALUE!</v>
      </c>
      <c r="I155" s="936" t="e">
        <f t="shared" si="190"/>
        <v>#VALUE!</v>
      </c>
      <c r="J155" s="936" t="e">
        <f t="shared" si="191"/>
        <v>#VALUE!</v>
      </c>
      <c r="K155" s="936" t="e">
        <f t="shared" si="192"/>
        <v>#VALUE!</v>
      </c>
      <c r="L155" s="936" t="e">
        <f t="shared" si="193"/>
        <v>#VALUE!</v>
      </c>
      <c r="M155" s="936">
        <f t="shared" si="194"/>
        <v>0</v>
      </c>
      <c r="N155" t="e" cm="1">
        <f t="array" ref="N155">$Y$39*(1+$Y$46)^(9-1)-SUMPRODUCT(D155:K155,(1+$Y$46)^_xlfn.SEQUENCE(1,9-1,9-2,-1))</f>
        <v>#VALUE!</v>
      </c>
      <c r="O155" t="e" cm="1">
        <f t="array" ref="O155">$Y$39*(1+$Y$47)^(9-1)-SUMPRODUCT(D155:K155,(1+$Y$47)^_xlfn.SEQUENCE(1,9-1,9-2,-1))</f>
        <v>#VALUE!</v>
      </c>
      <c r="P155" t="e">
        <f>_xlfn.LET(_xlpm.sRR,$Y$3*$Y$34,_xlpm.sOR,$Y$13*$Y$5*$Y$6,_xlpm.sOI,$AE$34*_xlpm.sOR,_xlpm.sOD,$Y$20*_xlpm.sRR,_xlpm.sGR,_xlpm.sRR+_xlpm.sOI+_xlpm.sOD,_xlpm.sExp,$Z$34+$AB$34*_xlpm.sRR+($AC$34+$Y$21)*_xlpm.sGR+$AD$34*_xlpm.sOR,_xlpm.opCF,_xlpm.sGR-_xlpm.sExp+$AA$34+$AF$34,_xlpm.opCF)+($Y$3*$Y$34*$K$11*(1-$Y$17)-$AG$34)</f>
        <v>#VALUE!</v>
      </c>
      <c r="Q155" t="e">
        <f t="shared" si="162"/>
        <v>#VALUE!</v>
      </c>
      <c r="R155" t="e">
        <f t="shared" si="163"/>
        <v>#VALUE!</v>
      </c>
      <c r="S155" t="e">
        <f t="shared" si="164"/>
        <v>#VALUE!</v>
      </c>
    </row>
    <row r="156" spans="2:19" hidden="1">
      <c r="B156" s="936"/>
      <c r="C156" s="936">
        <f t="shared" si="151"/>
        <v>0</v>
      </c>
      <c r="D156" s="936" t="e">
        <f t="shared" si="185"/>
        <v>#VALUE!</v>
      </c>
      <c r="E156" s="936" t="e">
        <f t="shared" si="186"/>
        <v>#VALUE!</v>
      </c>
      <c r="F156" s="936" t="e">
        <f t="shared" si="187"/>
        <v>#VALUE!</v>
      </c>
      <c r="G156" s="936" t="e">
        <f t="shared" si="188"/>
        <v>#VALUE!</v>
      </c>
      <c r="H156" s="936" t="e">
        <f t="shared" si="189"/>
        <v>#VALUE!</v>
      </c>
      <c r="I156" s="936" t="e">
        <f t="shared" si="190"/>
        <v>#VALUE!</v>
      </c>
      <c r="J156" s="936" t="e">
        <f t="shared" si="191"/>
        <v>#VALUE!</v>
      </c>
      <c r="K156" s="936" t="e">
        <f t="shared" si="192"/>
        <v>#VALUE!</v>
      </c>
      <c r="L156" s="936" t="e">
        <f t="shared" si="193"/>
        <v>#VALUE!</v>
      </c>
      <c r="M156" s="936">
        <f t="shared" si="194"/>
        <v>0</v>
      </c>
      <c r="N156" t="e" cm="1">
        <f t="array" ref="N156">$Y$39*(1+$Y$46)^(9-1)-SUMPRODUCT(D156:K156,(1+$Y$46)^_xlfn.SEQUENCE(1,9-1,9-2,-1))</f>
        <v>#VALUE!</v>
      </c>
      <c r="O156" t="e" cm="1">
        <f t="array" ref="O156">$Y$39*(1+$Y$47)^(9-1)-SUMPRODUCT(D156:K156,(1+$Y$47)^_xlfn.SEQUENCE(1,9-1,9-2,-1))</f>
        <v>#VALUE!</v>
      </c>
      <c r="P156" t="e">
        <f>_xlfn.LET(_xlpm.sRR,$Y$3*$Y$34,_xlpm.sOR,$Y$13*$Y$5*$Y$6,_xlpm.sOI,$AE$34*_xlpm.sOR,_xlpm.sOD,$Y$20*_xlpm.sRR,_xlpm.sGR,_xlpm.sRR+_xlpm.sOI+_xlpm.sOD,_xlpm.sExp,$Z$34+$AB$34*_xlpm.sRR+($AC$34+$Y$21)*_xlpm.sGR+$AD$34*_xlpm.sOR,_xlpm.opCF,_xlpm.sGR-_xlpm.sExp+$AA$34+$AF$34,_xlpm.opCF)+($Y$3*$Y$34*$K$12*(1-$Y$17)-$AG$34)</f>
        <v>#VALUE!</v>
      </c>
      <c r="Q156" t="e">
        <f t="shared" si="162"/>
        <v>#VALUE!</v>
      </c>
      <c r="R156" t="e">
        <f t="shared" si="163"/>
        <v>#VALUE!</v>
      </c>
      <c r="S156" t="e">
        <f t="shared" si="164"/>
        <v>#VALUE!</v>
      </c>
    </row>
    <row r="157" spans="2:19" hidden="1">
      <c r="B157" s="936"/>
      <c r="C157" s="936">
        <f t="shared" si="151"/>
        <v>0</v>
      </c>
      <c r="D157" s="936" t="e">
        <f t="shared" si="185"/>
        <v>#VALUE!</v>
      </c>
      <c r="E157" s="936" t="e">
        <f t="shared" si="186"/>
        <v>#VALUE!</v>
      </c>
      <c r="F157" s="936" t="e">
        <f t="shared" si="187"/>
        <v>#VALUE!</v>
      </c>
      <c r="G157" s="936" t="e">
        <f t="shared" si="188"/>
        <v>#VALUE!</v>
      </c>
      <c r="H157" s="936" t="e">
        <f t="shared" si="189"/>
        <v>#VALUE!</v>
      </c>
      <c r="I157" s="936" t="e">
        <f t="shared" si="190"/>
        <v>#VALUE!</v>
      </c>
      <c r="J157" s="936" t="e">
        <f t="shared" si="191"/>
        <v>#VALUE!</v>
      </c>
      <c r="K157" s="936" t="e">
        <f t="shared" si="192"/>
        <v>#VALUE!</v>
      </c>
      <c r="L157" s="936" t="e">
        <f t="shared" si="193"/>
        <v>#VALUE!</v>
      </c>
      <c r="M157" s="936">
        <f t="shared" si="194"/>
        <v>0</v>
      </c>
      <c r="N157" t="e" cm="1">
        <f t="array" ref="N157">$Y$39*(1+$Y$46)^(9-1)-SUMPRODUCT(D157:K157,(1+$Y$46)^_xlfn.SEQUENCE(1,9-1,9-2,-1))</f>
        <v>#VALUE!</v>
      </c>
      <c r="O157" t="e" cm="1">
        <f t="array" ref="O157">$Y$39*(1+$Y$47)^(9-1)-SUMPRODUCT(D157:K157,(1+$Y$47)^_xlfn.SEQUENCE(1,9-1,9-2,-1))</f>
        <v>#VALUE!</v>
      </c>
      <c r="P157" t="e">
        <f>_xlfn.LET(_xlpm.sRR,$Y$3*$Y$34,_xlpm.sOR,$Y$13*$Y$5*$Y$6,_xlpm.sOI,$AE$34*_xlpm.sOR,_xlpm.sOD,$Y$20*_xlpm.sRR,_xlpm.sGR,_xlpm.sRR+_xlpm.sOI+_xlpm.sOD,_xlpm.sExp,$Z$34+$AB$34*_xlpm.sRR+($AC$34+$Y$21)*_xlpm.sGR+$AD$34*_xlpm.sOR,_xlpm.opCF,_xlpm.sGR-_xlpm.sExp+$AA$34+$AF$34,_xlpm.opCF)+($Y$3*$Y$34*$K$13*(1-$Y$17)-$AG$34)</f>
        <v>#VALUE!</v>
      </c>
      <c r="Q157" t="e">
        <f t="shared" si="162"/>
        <v>#VALUE!</v>
      </c>
      <c r="R157" t="e">
        <f t="shared" si="163"/>
        <v>#VALUE!</v>
      </c>
      <c r="S157" t="e">
        <f t="shared" si="164"/>
        <v>#VALUE!</v>
      </c>
    </row>
    <row r="158" spans="2:19" hidden="1">
      <c r="B158" s="936"/>
      <c r="C158" s="936">
        <f t="shared" si="151"/>
        <v>0</v>
      </c>
      <c r="D158" s="936" t="e">
        <f t="shared" si="185"/>
        <v>#VALUE!</v>
      </c>
      <c r="E158" s="936" t="e">
        <f t="shared" si="186"/>
        <v>#VALUE!</v>
      </c>
      <c r="F158" s="936" t="e">
        <f t="shared" si="187"/>
        <v>#VALUE!</v>
      </c>
      <c r="G158" s="936" t="e">
        <f t="shared" si="188"/>
        <v>#VALUE!</v>
      </c>
      <c r="H158" s="936" t="e">
        <f t="shared" si="189"/>
        <v>#VALUE!</v>
      </c>
      <c r="I158" s="936" t="e">
        <f t="shared" si="190"/>
        <v>#VALUE!</v>
      </c>
      <c r="J158" s="936" t="e">
        <f t="shared" si="191"/>
        <v>#VALUE!</v>
      </c>
      <c r="K158" s="936" t="e">
        <f t="shared" si="192"/>
        <v>#VALUE!</v>
      </c>
      <c r="L158" s="936" t="e">
        <f t="shared" si="193"/>
        <v>#VALUE!</v>
      </c>
      <c r="M158" s="936">
        <f t="shared" si="194"/>
        <v>0</v>
      </c>
      <c r="N158" t="e" cm="1">
        <f t="array" ref="N158">$Y$39*(1+$Y$46)^(9-1)-SUMPRODUCT(D158:K158,(1+$Y$46)^_xlfn.SEQUENCE(1,9-1,9-2,-1))</f>
        <v>#VALUE!</v>
      </c>
      <c r="O158" t="e" cm="1">
        <f t="array" ref="O158">$Y$39*(1+$Y$47)^(9-1)-SUMPRODUCT(D158:K158,(1+$Y$47)^_xlfn.SEQUENCE(1,9-1,9-2,-1))</f>
        <v>#VALUE!</v>
      </c>
      <c r="P158" t="e">
        <f>_xlfn.LET(_xlpm.sRR,$Y$3*$Y$34,_xlpm.sOR,$Y$13*$Y$5*$Y$6,_xlpm.sOI,$AE$34*_xlpm.sOR,_xlpm.sOD,$Y$20*_xlpm.sRR,_xlpm.sGR,_xlpm.sRR+_xlpm.sOI+_xlpm.sOD,_xlpm.sExp,$Z$34+$AB$34*_xlpm.sRR+($AC$34+$Y$21)*_xlpm.sGR+$AD$34*_xlpm.sOR,_xlpm.opCF,_xlpm.sGR-_xlpm.sExp+$AA$34+$AF$34,_xlpm.opCF)+($Y$3*$Y$34*$K$14*(1-$Y$17)-$AG$34)</f>
        <v>#VALUE!</v>
      </c>
      <c r="Q158" t="e">
        <f t="shared" si="162"/>
        <v>#VALUE!</v>
      </c>
      <c r="R158" t="e">
        <f t="shared" si="163"/>
        <v>#VALUE!</v>
      </c>
      <c r="S158" t="e">
        <f t="shared" si="164"/>
        <v>#VALUE!</v>
      </c>
    </row>
    <row r="159" spans="2:19" hidden="1">
      <c r="B159" s="936"/>
      <c r="C159" s="936">
        <f t="shared" si="151"/>
        <v>0</v>
      </c>
      <c r="D159" s="936" t="e">
        <f t="shared" ref="D159:D165" si="195">IF(1&gt;U$18,0,IF(1&lt;U$18,$Y$40*_xlfn.LET(_xlpm.sRR,$Y$3*$Y$26,_xlpm.sOR,$Y$13*$Y$5*$Y$6,_xlpm.sOI,$AE$26*_xlpm.sOR,_xlpm.sOD,$Y$20*_xlpm.sRR,_xlpm.sGR,_xlpm.sRR+_xlpm.sOI+_xlpm.sOD,_xlpm.sExp,$Z$26+$AB$26*_xlpm.sRR+($AC$26+$Y$21)*_xlpm.sGR+$AD$26*_xlpm.sOR,_xlpm.sGR-_xlpm.sExp+$AA$26+$AF$26),IF(P159&lt;=0,$Y$38*P159,Q159+R159+S159)))</f>
        <v>#VALUE!</v>
      </c>
      <c r="E159" s="936" t="e">
        <f t="shared" ref="E159:E165" si="196">IF(2&gt;U$18,0,IF(2&lt;U$18,$Y$40*_xlfn.LET(_xlpm.sRR,$Y$3*$Y$27,_xlpm.sOR,$Y$13*$Y$5*$Y$6,_xlpm.sOI,$AE$27*_xlpm.sOR,_xlpm.sOD,$Y$20*_xlpm.sRR,_xlpm.sGR,_xlpm.sRR+_xlpm.sOI+_xlpm.sOD,_xlpm.sExp,$Z$27+$AB$27*_xlpm.sRR+($AC$27+$Y$21)*_xlpm.sGR+$AD$27*_xlpm.sOR,_xlpm.sGR-_xlpm.sExp+$AA$27+$AF$27),IF(P159&lt;=0,$Y$38*P159,Q159+R159+S159)))</f>
        <v>#VALUE!</v>
      </c>
      <c r="F159" s="936" t="e">
        <f t="shared" ref="F159:F165" si="197">IF(3&gt;U$18,0,IF(3&lt;U$18,$Y$40*_xlfn.LET(_xlpm.sRR,$Y$3*$Y$28,_xlpm.sOR,$Y$13*$Y$5*$Y$6,_xlpm.sOI,$AE$28*_xlpm.sOR,_xlpm.sOD,$Y$20*_xlpm.sRR,_xlpm.sGR,_xlpm.sRR+_xlpm.sOI+_xlpm.sOD,_xlpm.sExp,$Z$28+$AB$28*_xlpm.sRR+($AC$28+$Y$21)*_xlpm.sGR+$AD$28*_xlpm.sOR,_xlpm.sGR-_xlpm.sExp+$AA$28+$AF$28),IF(P159&lt;=0,$Y$38*P159,Q159+R159+S159)))</f>
        <v>#VALUE!</v>
      </c>
      <c r="G159" s="936" t="e">
        <f t="shared" ref="G159:G165" si="198">IF(4&gt;U$18,0,IF(4&lt;U$18,$Y$40*_xlfn.LET(_xlpm.sRR,$Y$3*$Y$29,_xlpm.sOR,$Y$13*$Y$5*$Y$6,_xlpm.sOI,$AE$29*_xlpm.sOR,_xlpm.sOD,$Y$20*_xlpm.sRR,_xlpm.sGR,_xlpm.sRR+_xlpm.sOI+_xlpm.sOD,_xlpm.sExp,$Z$29+$AB$29*_xlpm.sRR+($AC$29+$Y$21)*_xlpm.sGR+$AD$29*_xlpm.sOR,_xlpm.sGR-_xlpm.sExp+$AA$29+$AF$29),IF(P159&lt;=0,$Y$38*P159,Q159+R159+S159)))</f>
        <v>#VALUE!</v>
      </c>
      <c r="H159" s="936" t="e">
        <f t="shared" ref="H159:H165" si="199">IF(5&gt;U$18,0,IF(5&lt;U$18,$Y$40*_xlfn.LET(_xlpm.sRR,$Y$3*$Y$30,_xlpm.sOR,$Y$13*$Y$5*$Y$6,_xlpm.sOI,$AE$30*_xlpm.sOR,_xlpm.sOD,$Y$20*_xlpm.sRR,_xlpm.sGR,_xlpm.sRR+_xlpm.sOI+_xlpm.sOD,_xlpm.sExp,$Z$30+$AB$30*_xlpm.sRR+($AC$30+$Y$21)*_xlpm.sGR+$AD$30*_xlpm.sOR,_xlpm.sGR-_xlpm.sExp+$AA$30+$AF$30),IF(P159&lt;=0,$Y$38*P159,Q159+R159+S159)))</f>
        <v>#VALUE!</v>
      </c>
      <c r="I159" s="936" t="e">
        <f t="shared" ref="I159:I165" si="200">IF(6&gt;U$18,0,IF(6&lt;U$18,$Y$40*_xlfn.LET(_xlpm.sRR,$Y$3*$Y$31,_xlpm.sOR,$Y$13*$Y$5*$Y$6,_xlpm.sOI,$AE$31*_xlpm.sOR,_xlpm.sOD,$Y$20*_xlpm.sRR,_xlpm.sGR,_xlpm.sRR+_xlpm.sOI+_xlpm.sOD,_xlpm.sExp,$Z$31+$AB$31*_xlpm.sRR+($AC$31+$Y$21)*_xlpm.sGR+$AD$31*_xlpm.sOR,_xlpm.sGR-_xlpm.sExp+$AA$31+$AF$31),IF(P159&lt;=0,$Y$38*P159,Q159+R159+S159)))</f>
        <v>#VALUE!</v>
      </c>
      <c r="J159" s="936" t="e">
        <f t="shared" ref="J159:J165" si="201">IF(7&gt;U$18,0,IF(7&lt;U$18,$Y$40*_xlfn.LET(_xlpm.sRR,$Y$3*$Y$32,_xlpm.sOR,$Y$13*$Y$5*$Y$6,_xlpm.sOI,$AE$32*_xlpm.sOR,_xlpm.sOD,$Y$20*_xlpm.sRR,_xlpm.sGR,_xlpm.sRR+_xlpm.sOI+_xlpm.sOD,_xlpm.sExp,$Z$32+$AB$32*_xlpm.sRR+($AC$32+$Y$21)*_xlpm.sGR+$AD$32*_xlpm.sOR,_xlpm.sGR-_xlpm.sExp+$AA$32+$AF$32),IF(P159&lt;=0,$Y$38*P159,Q159+R159+S159)))</f>
        <v>#VALUE!</v>
      </c>
      <c r="K159" s="936" t="e">
        <f t="shared" ref="K159:K165" si="202">IF(8&gt;U$18,0,IF(8&lt;U$18,$Y$40*_xlfn.LET(_xlpm.sRR,$Y$3*$Y$33,_xlpm.sOR,$Y$13*$Y$5*$Y$6,_xlpm.sOI,$AE$33*_xlpm.sOR,_xlpm.sOD,$Y$20*_xlpm.sRR,_xlpm.sGR,_xlpm.sRR+_xlpm.sOI+_xlpm.sOD,_xlpm.sExp,$Z$33+$AB$33*_xlpm.sRR+($AC$33+$Y$21)*_xlpm.sGR+$AD$33*_xlpm.sOR,_xlpm.sGR-_xlpm.sExp+$AA$33+$AF$33),IF(P159&lt;=0,$Y$38*P159,Q159+R159+S159)))</f>
        <v>#VALUE!</v>
      </c>
      <c r="L159" s="936" t="e">
        <f t="shared" ref="L159:L165" si="203">IF(9&gt;U$18,0,IF(9&lt;U$18,$Y$40*_xlfn.LET(_xlpm.sRR,$Y$3*$Y$34,_xlpm.sOR,$Y$13*$Y$5*$Y$6,_xlpm.sOI,$AE$34*_xlpm.sOR,_xlpm.sOD,$Y$20*_xlpm.sRR,_xlpm.sGR,_xlpm.sRR+_xlpm.sOI+_xlpm.sOD,_xlpm.sExp,$Z$34+$AB$34*_xlpm.sRR+($AC$34+$Y$21)*_xlpm.sGR+$AD$34*_xlpm.sOR,_xlpm.sGR-_xlpm.sExp+$AA$34+$AF$34),IF(P159&lt;=0,$Y$38*P159,Q159+R159+S159)))</f>
        <v>#VALUE!</v>
      </c>
      <c r="M159" s="936" t="e">
        <f t="shared" ref="M159:M165" si="204">IF(10&gt;U$18,0,IF(10&lt;U$18,$Y$40*_xlfn.LET(_xlpm.sRR,$Y$3*$Y$35,_xlpm.sOR,$Y$13*$Y$5*$Y$6,_xlpm.sOI,$AE$35*_xlpm.sOR,_xlpm.sOD,$Y$20*_xlpm.sRR,_xlpm.sGR,_xlpm.sRR+_xlpm.sOI+_xlpm.sOD,_xlpm.sExp,$Z$35+$AB$35*_xlpm.sRR+($AC$35+$Y$21)*_xlpm.sGR+$AD$35*_xlpm.sOR,_xlpm.sGR-_xlpm.sExp+$AA$35+$AF$35),IF(P159&lt;=0,$Y$38*P159,Q159+R159+S159)))</f>
        <v>#VALUE!</v>
      </c>
      <c r="N159" t="e" cm="1">
        <f t="array" ref="N159">$Y$39*(1+$Y$46)^(10-1)-SUMPRODUCT(D159:L159,(1+$Y$46)^_xlfn.SEQUENCE(1,10-1,10-2,-1))</f>
        <v>#VALUE!</v>
      </c>
      <c r="O159" t="e" cm="1">
        <f t="array" ref="O159">$Y$39*(1+$Y$47)^(10-1)-SUMPRODUCT(D159:L159,(1+$Y$47)^_xlfn.SEQUENCE(1,10-1,10-2,-1))</f>
        <v>#VALUE!</v>
      </c>
      <c r="P159" t="e">
        <f>_xlfn.LET(_xlpm.sRR,$Y$3*$Y$35,_xlpm.sOR,$Y$13*$Y$5*$Y$6,_xlpm.sOI,$AE$35*_xlpm.sOR,_xlpm.sOD,$Y$20*_xlpm.sRR,_xlpm.sGR,_xlpm.sRR+_xlpm.sOI+_xlpm.sOD,_xlpm.sExp,$Z$35+$AB$35*_xlpm.sRR+($AC$35+$Y$21)*_xlpm.sGR+$AD$35*_xlpm.sOR,_xlpm.opCF,_xlpm.sGR-_xlpm.sExp+$AA$35+$AF$35,_xlpm.opCF)+($Y$3*$Y$35*$K$8*(1-$Y$17)-$AG$35)</f>
        <v>#VALUE!</v>
      </c>
      <c r="Q159" t="e">
        <f t="shared" si="162"/>
        <v>#VALUE!</v>
      </c>
      <c r="R159" t="e">
        <f t="shared" si="163"/>
        <v>#VALUE!</v>
      </c>
      <c r="S159" t="e">
        <f t="shared" si="164"/>
        <v>#VALUE!</v>
      </c>
    </row>
    <row r="160" spans="2:19" hidden="1">
      <c r="B160" s="936"/>
      <c r="C160" s="936">
        <f t="shared" ref="C160:C165" si="205">-$Y$39</f>
        <v>0</v>
      </c>
      <c r="D160" s="936" t="e">
        <f t="shared" si="195"/>
        <v>#VALUE!</v>
      </c>
      <c r="E160" s="936" t="e">
        <f t="shared" si="196"/>
        <v>#VALUE!</v>
      </c>
      <c r="F160" s="936" t="e">
        <f t="shared" si="197"/>
        <v>#VALUE!</v>
      </c>
      <c r="G160" s="936" t="e">
        <f t="shared" si="198"/>
        <v>#VALUE!</v>
      </c>
      <c r="H160" s="936" t="e">
        <f t="shared" si="199"/>
        <v>#VALUE!</v>
      </c>
      <c r="I160" s="936" t="e">
        <f t="shared" si="200"/>
        <v>#VALUE!</v>
      </c>
      <c r="J160" s="936" t="e">
        <f t="shared" si="201"/>
        <v>#VALUE!</v>
      </c>
      <c r="K160" s="936" t="e">
        <f t="shared" si="202"/>
        <v>#VALUE!</v>
      </c>
      <c r="L160" s="936" t="e">
        <f t="shared" si="203"/>
        <v>#VALUE!</v>
      </c>
      <c r="M160" s="936" t="e">
        <f t="shared" si="204"/>
        <v>#VALUE!</v>
      </c>
      <c r="N160" t="e" cm="1">
        <f t="array" ref="N160">$Y$39*(1+$Y$46)^(10-1)-SUMPRODUCT(D160:L160,(1+$Y$46)^_xlfn.SEQUENCE(1,10-1,10-2,-1))</f>
        <v>#VALUE!</v>
      </c>
      <c r="O160" t="e" cm="1">
        <f t="array" ref="O160">$Y$39*(1+$Y$47)^(10-1)-SUMPRODUCT(D160:L160,(1+$Y$47)^_xlfn.SEQUENCE(1,10-1,10-2,-1))</f>
        <v>#VALUE!</v>
      </c>
      <c r="P160" t="e">
        <f>_xlfn.LET(_xlpm.sRR,$Y$3*$Y$35,_xlpm.sOR,$Y$13*$Y$5*$Y$6,_xlpm.sOI,$AE$35*_xlpm.sOR,_xlpm.sOD,$Y$20*_xlpm.sRR,_xlpm.sGR,_xlpm.sRR+_xlpm.sOI+_xlpm.sOD,_xlpm.sExp,$Z$35+$AB$35*_xlpm.sRR+($AC$35+$Y$21)*_xlpm.sGR+$AD$35*_xlpm.sOR,_xlpm.opCF,_xlpm.sGR-_xlpm.sExp+$AA$35+$AF$35,_xlpm.opCF)+($Y$3*$Y$35*$K$9*(1-$Y$17)-$AG$35)</f>
        <v>#VALUE!</v>
      </c>
      <c r="Q160" t="e">
        <f t="shared" si="162"/>
        <v>#VALUE!</v>
      </c>
      <c r="R160" t="e">
        <f t="shared" si="163"/>
        <v>#VALUE!</v>
      </c>
      <c r="S160" t="e">
        <f t="shared" si="164"/>
        <v>#VALUE!</v>
      </c>
    </row>
    <row r="161" spans="2:19" hidden="1">
      <c r="B161" s="936"/>
      <c r="C161" s="936">
        <f t="shared" si="205"/>
        <v>0</v>
      </c>
      <c r="D161" s="936" t="e">
        <f t="shared" si="195"/>
        <v>#VALUE!</v>
      </c>
      <c r="E161" s="936" t="e">
        <f t="shared" si="196"/>
        <v>#VALUE!</v>
      </c>
      <c r="F161" s="936" t="e">
        <f t="shared" si="197"/>
        <v>#VALUE!</v>
      </c>
      <c r="G161" s="936" t="e">
        <f t="shared" si="198"/>
        <v>#VALUE!</v>
      </c>
      <c r="H161" s="936" t="e">
        <f t="shared" si="199"/>
        <v>#VALUE!</v>
      </c>
      <c r="I161" s="936" t="e">
        <f t="shared" si="200"/>
        <v>#VALUE!</v>
      </c>
      <c r="J161" s="936" t="e">
        <f t="shared" si="201"/>
        <v>#VALUE!</v>
      </c>
      <c r="K161" s="936" t="e">
        <f t="shared" si="202"/>
        <v>#VALUE!</v>
      </c>
      <c r="L161" s="936" t="e">
        <f t="shared" si="203"/>
        <v>#VALUE!</v>
      </c>
      <c r="M161" s="936" t="e">
        <f t="shared" si="204"/>
        <v>#VALUE!</v>
      </c>
      <c r="N161" t="e" cm="1">
        <f t="array" ref="N161">$Y$39*(1+$Y$46)^(10-1)-SUMPRODUCT(D161:L161,(1+$Y$46)^_xlfn.SEQUENCE(1,10-1,10-2,-1))</f>
        <v>#VALUE!</v>
      </c>
      <c r="O161" t="e" cm="1">
        <f t="array" ref="O161">$Y$39*(1+$Y$47)^(10-1)-SUMPRODUCT(D161:L161,(1+$Y$47)^_xlfn.SEQUENCE(1,10-1,10-2,-1))</f>
        <v>#VALUE!</v>
      </c>
      <c r="P161" t="e">
        <f>_xlfn.LET(_xlpm.sRR,$Y$3*$Y$35,_xlpm.sOR,$Y$13*$Y$5*$Y$6,_xlpm.sOI,$AE$35*_xlpm.sOR,_xlpm.sOD,$Y$20*_xlpm.sRR,_xlpm.sGR,_xlpm.sRR+_xlpm.sOI+_xlpm.sOD,_xlpm.sExp,$Z$35+$AB$35*_xlpm.sRR+($AC$35+$Y$21)*_xlpm.sGR+$AD$35*_xlpm.sOR,_xlpm.opCF,_xlpm.sGR-_xlpm.sExp+$AA$35+$AF$35,_xlpm.opCF)+($Y$3*$Y$35*$K$10*(1-$Y$17)-$AG$35)</f>
        <v>#VALUE!</v>
      </c>
      <c r="Q161" t="e">
        <f t="shared" si="162"/>
        <v>#VALUE!</v>
      </c>
      <c r="R161" t="e">
        <f t="shared" si="163"/>
        <v>#VALUE!</v>
      </c>
      <c r="S161" t="e">
        <f t="shared" si="164"/>
        <v>#VALUE!</v>
      </c>
    </row>
    <row r="162" spans="2:19" hidden="1">
      <c r="B162" s="936"/>
      <c r="C162" s="936">
        <f t="shared" si="205"/>
        <v>0</v>
      </c>
      <c r="D162" s="936" t="e">
        <f t="shared" si="195"/>
        <v>#VALUE!</v>
      </c>
      <c r="E162" s="936" t="e">
        <f t="shared" si="196"/>
        <v>#VALUE!</v>
      </c>
      <c r="F162" s="936" t="e">
        <f t="shared" si="197"/>
        <v>#VALUE!</v>
      </c>
      <c r="G162" s="936" t="e">
        <f t="shared" si="198"/>
        <v>#VALUE!</v>
      </c>
      <c r="H162" s="936" t="e">
        <f t="shared" si="199"/>
        <v>#VALUE!</v>
      </c>
      <c r="I162" s="936" t="e">
        <f t="shared" si="200"/>
        <v>#VALUE!</v>
      </c>
      <c r="J162" s="936" t="e">
        <f t="shared" si="201"/>
        <v>#VALUE!</v>
      </c>
      <c r="K162" s="936" t="e">
        <f t="shared" si="202"/>
        <v>#VALUE!</v>
      </c>
      <c r="L162" s="936" t="e">
        <f t="shared" si="203"/>
        <v>#VALUE!</v>
      </c>
      <c r="M162" s="936" t="e">
        <f t="shared" si="204"/>
        <v>#VALUE!</v>
      </c>
      <c r="N162" t="e" cm="1">
        <f t="array" ref="N162">$Y$39*(1+$Y$46)^(10-1)-SUMPRODUCT(D162:L162,(1+$Y$46)^_xlfn.SEQUENCE(1,10-1,10-2,-1))</f>
        <v>#VALUE!</v>
      </c>
      <c r="O162" t="e" cm="1">
        <f t="array" ref="O162">$Y$39*(1+$Y$47)^(10-1)-SUMPRODUCT(D162:L162,(1+$Y$47)^_xlfn.SEQUENCE(1,10-1,10-2,-1))</f>
        <v>#VALUE!</v>
      </c>
      <c r="P162" t="e">
        <f>_xlfn.LET(_xlpm.sRR,$Y$3*$Y$35,_xlpm.sOR,$Y$13*$Y$5*$Y$6,_xlpm.sOI,$AE$35*_xlpm.sOR,_xlpm.sOD,$Y$20*_xlpm.sRR,_xlpm.sGR,_xlpm.sRR+_xlpm.sOI+_xlpm.sOD,_xlpm.sExp,$Z$35+$AB$35*_xlpm.sRR+($AC$35+$Y$21)*_xlpm.sGR+$AD$35*_xlpm.sOR,_xlpm.opCF,_xlpm.sGR-_xlpm.sExp+$AA$35+$AF$35,_xlpm.opCF)+($Y$3*$Y$35*$K$11*(1-$Y$17)-$AG$35)</f>
        <v>#VALUE!</v>
      </c>
      <c r="Q162" t="e">
        <f t="shared" si="162"/>
        <v>#VALUE!</v>
      </c>
      <c r="R162" t="e">
        <f t="shared" si="163"/>
        <v>#VALUE!</v>
      </c>
      <c r="S162" t="e">
        <f t="shared" si="164"/>
        <v>#VALUE!</v>
      </c>
    </row>
    <row r="163" spans="2:19" hidden="1">
      <c r="B163" s="936"/>
      <c r="C163" s="936">
        <f t="shared" si="205"/>
        <v>0</v>
      </c>
      <c r="D163" s="936" t="e">
        <f t="shared" si="195"/>
        <v>#VALUE!</v>
      </c>
      <c r="E163" s="936" t="e">
        <f t="shared" si="196"/>
        <v>#VALUE!</v>
      </c>
      <c r="F163" s="936" t="e">
        <f t="shared" si="197"/>
        <v>#VALUE!</v>
      </c>
      <c r="G163" s="936" t="e">
        <f t="shared" si="198"/>
        <v>#VALUE!</v>
      </c>
      <c r="H163" s="936" t="e">
        <f t="shared" si="199"/>
        <v>#VALUE!</v>
      </c>
      <c r="I163" s="936" t="e">
        <f t="shared" si="200"/>
        <v>#VALUE!</v>
      </c>
      <c r="J163" s="936" t="e">
        <f t="shared" si="201"/>
        <v>#VALUE!</v>
      </c>
      <c r="K163" s="936" t="e">
        <f t="shared" si="202"/>
        <v>#VALUE!</v>
      </c>
      <c r="L163" s="936" t="e">
        <f t="shared" si="203"/>
        <v>#VALUE!</v>
      </c>
      <c r="M163" s="936" t="e">
        <f t="shared" si="204"/>
        <v>#VALUE!</v>
      </c>
      <c r="N163" t="e" cm="1">
        <f t="array" ref="N163">$Y$39*(1+$Y$46)^(10-1)-SUMPRODUCT(D163:L163,(1+$Y$46)^_xlfn.SEQUENCE(1,10-1,10-2,-1))</f>
        <v>#VALUE!</v>
      </c>
      <c r="O163" t="e" cm="1">
        <f t="array" ref="O163">$Y$39*(1+$Y$47)^(10-1)-SUMPRODUCT(D163:L163,(1+$Y$47)^_xlfn.SEQUENCE(1,10-1,10-2,-1))</f>
        <v>#VALUE!</v>
      </c>
      <c r="P163" t="e">
        <f>_xlfn.LET(_xlpm.sRR,$Y$3*$Y$35,_xlpm.sOR,$Y$13*$Y$5*$Y$6,_xlpm.sOI,$AE$35*_xlpm.sOR,_xlpm.sOD,$Y$20*_xlpm.sRR,_xlpm.sGR,_xlpm.sRR+_xlpm.sOI+_xlpm.sOD,_xlpm.sExp,$Z$35+$AB$35*_xlpm.sRR+($AC$35+$Y$21)*_xlpm.sGR+$AD$35*_xlpm.sOR,_xlpm.opCF,_xlpm.sGR-_xlpm.sExp+$AA$35+$AF$35,_xlpm.opCF)+($Y$3*$Y$35*$K$12*(1-$Y$17)-$AG$35)</f>
        <v>#VALUE!</v>
      </c>
      <c r="Q163" t="e">
        <f t="shared" si="162"/>
        <v>#VALUE!</v>
      </c>
      <c r="R163" t="e">
        <f t="shared" si="163"/>
        <v>#VALUE!</v>
      </c>
      <c r="S163" t="e">
        <f t="shared" si="164"/>
        <v>#VALUE!</v>
      </c>
    </row>
    <row r="164" spans="2:19" hidden="1">
      <c r="B164" s="936"/>
      <c r="C164" s="936">
        <f t="shared" si="205"/>
        <v>0</v>
      </c>
      <c r="D164" s="936" t="e">
        <f t="shared" si="195"/>
        <v>#VALUE!</v>
      </c>
      <c r="E164" s="936" t="e">
        <f t="shared" si="196"/>
        <v>#VALUE!</v>
      </c>
      <c r="F164" s="936" t="e">
        <f t="shared" si="197"/>
        <v>#VALUE!</v>
      </c>
      <c r="G164" s="936" t="e">
        <f t="shared" si="198"/>
        <v>#VALUE!</v>
      </c>
      <c r="H164" s="936" t="e">
        <f t="shared" si="199"/>
        <v>#VALUE!</v>
      </c>
      <c r="I164" s="936" t="e">
        <f t="shared" si="200"/>
        <v>#VALUE!</v>
      </c>
      <c r="J164" s="936" t="e">
        <f t="shared" si="201"/>
        <v>#VALUE!</v>
      </c>
      <c r="K164" s="936" t="e">
        <f t="shared" si="202"/>
        <v>#VALUE!</v>
      </c>
      <c r="L164" s="936" t="e">
        <f t="shared" si="203"/>
        <v>#VALUE!</v>
      </c>
      <c r="M164" s="936" t="e">
        <f t="shared" si="204"/>
        <v>#VALUE!</v>
      </c>
      <c r="N164" t="e" cm="1">
        <f t="array" ref="N164">$Y$39*(1+$Y$46)^(10-1)-SUMPRODUCT(D164:L164,(1+$Y$46)^_xlfn.SEQUENCE(1,10-1,10-2,-1))</f>
        <v>#VALUE!</v>
      </c>
      <c r="O164" t="e" cm="1">
        <f t="array" ref="O164">$Y$39*(1+$Y$47)^(10-1)-SUMPRODUCT(D164:L164,(1+$Y$47)^_xlfn.SEQUENCE(1,10-1,10-2,-1))</f>
        <v>#VALUE!</v>
      </c>
      <c r="P164" t="e">
        <f>_xlfn.LET(_xlpm.sRR,$Y$3*$Y$35,_xlpm.sOR,$Y$13*$Y$5*$Y$6,_xlpm.sOI,$AE$35*_xlpm.sOR,_xlpm.sOD,$Y$20*_xlpm.sRR,_xlpm.sGR,_xlpm.sRR+_xlpm.sOI+_xlpm.sOD,_xlpm.sExp,$Z$35+$AB$35*_xlpm.sRR+($AC$35+$Y$21)*_xlpm.sGR+$AD$35*_xlpm.sOR,_xlpm.opCF,_xlpm.sGR-_xlpm.sExp+$AA$35+$AF$35,_xlpm.opCF)+($Y$3*$Y$35*$K$13*(1-$Y$17)-$AG$35)</f>
        <v>#VALUE!</v>
      </c>
      <c r="Q164" t="e">
        <f t="shared" si="162"/>
        <v>#VALUE!</v>
      </c>
      <c r="R164" t="e">
        <f t="shared" si="163"/>
        <v>#VALUE!</v>
      </c>
      <c r="S164" t="e">
        <f t="shared" si="164"/>
        <v>#VALUE!</v>
      </c>
    </row>
    <row r="165" spans="2:19" hidden="1">
      <c r="B165" s="936"/>
      <c r="C165" s="936">
        <f t="shared" si="205"/>
        <v>0</v>
      </c>
      <c r="D165" s="936" t="e">
        <f t="shared" si="195"/>
        <v>#VALUE!</v>
      </c>
      <c r="E165" s="936" t="e">
        <f t="shared" si="196"/>
        <v>#VALUE!</v>
      </c>
      <c r="F165" s="936" t="e">
        <f t="shared" si="197"/>
        <v>#VALUE!</v>
      </c>
      <c r="G165" s="936" t="e">
        <f t="shared" si="198"/>
        <v>#VALUE!</v>
      </c>
      <c r="H165" s="936" t="e">
        <f t="shared" si="199"/>
        <v>#VALUE!</v>
      </c>
      <c r="I165" s="936" t="e">
        <f t="shared" si="200"/>
        <v>#VALUE!</v>
      </c>
      <c r="J165" s="936" t="e">
        <f t="shared" si="201"/>
        <v>#VALUE!</v>
      </c>
      <c r="K165" s="936" t="e">
        <f t="shared" si="202"/>
        <v>#VALUE!</v>
      </c>
      <c r="L165" s="936" t="e">
        <f t="shared" si="203"/>
        <v>#VALUE!</v>
      </c>
      <c r="M165" s="936" t="e">
        <f t="shared" si="204"/>
        <v>#VALUE!</v>
      </c>
      <c r="N165" t="e" cm="1">
        <f t="array" ref="N165">$Y$39*(1+$Y$46)^(10-1)-SUMPRODUCT(D165:L165,(1+$Y$46)^_xlfn.SEQUENCE(1,10-1,10-2,-1))</f>
        <v>#VALUE!</v>
      </c>
      <c r="O165" t="e" cm="1">
        <f t="array" ref="O165">$Y$39*(1+$Y$47)^(10-1)-SUMPRODUCT(D165:L165,(1+$Y$47)^_xlfn.SEQUENCE(1,10-1,10-2,-1))</f>
        <v>#VALUE!</v>
      </c>
      <c r="P165" t="e">
        <f>_xlfn.LET(_xlpm.sRR,$Y$3*$Y$35,_xlpm.sOR,$Y$13*$Y$5*$Y$6,_xlpm.sOI,$AE$35*_xlpm.sOR,_xlpm.sOD,$Y$20*_xlpm.sRR,_xlpm.sGR,_xlpm.sRR+_xlpm.sOI+_xlpm.sOD,_xlpm.sExp,$Z$35+$AB$35*_xlpm.sRR+($AC$35+$Y$21)*_xlpm.sGR+$AD$35*_xlpm.sOR,_xlpm.opCF,_xlpm.sGR-_xlpm.sExp+$AA$35+$AF$35,_xlpm.opCF)+($Y$3*$Y$35*$K$14*(1-$Y$17)-$AG$35)</f>
        <v>#VALUE!</v>
      </c>
      <c r="Q165" t="e">
        <f t="shared" si="162"/>
        <v>#VALUE!</v>
      </c>
      <c r="R165" t="e">
        <f t="shared" si="163"/>
        <v>#VALUE!</v>
      </c>
      <c r="S165" t="e">
        <f t="shared" si="164"/>
        <v>#VALUE!</v>
      </c>
    </row>
    <row r="166" spans="2:19" hidden="1"/>
  </sheetData>
  <mergeCells count="7">
    <mergeCell ref="B2:R2"/>
    <mergeCell ref="K6:R6"/>
    <mergeCell ref="K17:R17"/>
    <mergeCell ref="K4:U4"/>
    <mergeCell ref="B4:I4"/>
    <mergeCell ref="B6:I6"/>
    <mergeCell ref="B17:I17"/>
  </mergeCells>
  <conditionalFormatting sqref="C8:I14">
    <cfRule type="colorScale" priority="6">
      <colorScale>
        <cfvo type="min"/>
        <cfvo type="percentile" val="50"/>
        <cfvo type="max"/>
        <color rgb="FFF8696B"/>
        <color rgb="FFFFEB84"/>
        <color rgb="FF63BE7B"/>
      </colorScale>
    </cfRule>
  </conditionalFormatting>
  <conditionalFormatting sqref="C19:I25">
    <cfRule type="colorScale" priority="7">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onditionalFormatting>
  <conditionalFormatting sqref="L8:U14">
    <cfRule type="colorScale" priority="4">
      <colorScale>
        <cfvo type="min"/>
        <cfvo type="percentile" val="50"/>
        <cfvo type="max"/>
        <color rgb="FFF8696B"/>
        <color rgb="FFFFEB84"/>
        <color rgb="FF63BE7B"/>
      </colorScale>
    </cfRule>
    <cfRule type="colorScale" priority="8">
      <colorScale>
        <cfvo type="min"/>
        <cfvo type="percentile" val="50"/>
        <cfvo type="max"/>
        <color rgb="FFF8696B"/>
        <color rgb="FFFFEB84"/>
        <color rgb="FF63BE7B"/>
      </colorScale>
    </cfRule>
  </conditionalFormatting>
  <conditionalFormatting sqref="L19:U25">
    <cfRule type="colorScale" priority="5">
      <colorScale>
        <cfvo type="min"/>
        <cfvo type="percentile" val="50"/>
        <cfvo type="max"/>
        <color rgb="FFF8696B"/>
        <color rgb="FFFFEB84"/>
        <color rgb="FF63BE7B"/>
      </colorScale>
    </cfRule>
    <cfRule type="colorScale" priority="9">
      <colorScale>
        <cfvo type="min"/>
        <cfvo type="percentile" val="50"/>
        <cfvo type="max"/>
        <color rgb="FFF8696B"/>
        <color rgb="FFFFEB84"/>
        <color rgb="FF63BE7B"/>
      </colorScale>
    </cfRule>
  </conditionalFormatting>
  <conditionalFormatting sqref="L30:U36">
    <cfRule type="colorScale" priority="10">
      <colorScale>
        <cfvo type="min"/>
        <cfvo type="percentile" val="50"/>
        <cfvo type="max"/>
        <color rgb="FFF8696B"/>
        <color rgb="FFFFEB84"/>
        <color rgb="FF63BE7B"/>
      </colorScale>
    </cfRule>
  </conditionalFormatting>
  <printOptions horizontalCentered="1"/>
  <pageMargins left="0.25" right="0.25" top="0.25" bottom="0.25" header="0" footer="0"/>
  <pageSetup paperSize="0" scale="55" orientation="landscape"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B1901-57B7-E24B-9237-D111E9CBF2F3}">
  <sheetPr>
    <tabColor theme="5" tint="0.59999389629810485"/>
    <pageSetUpPr fitToPage="1"/>
  </sheetPr>
  <dimension ref="B1:AG94"/>
  <sheetViews>
    <sheetView showGridLines="0" zoomScaleNormal="100" zoomScaleSheetLayoutView="110" workbookViewId="0">
      <selection activeCell="AH33" sqref="AH33"/>
    </sheetView>
  </sheetViews>
  <sheetFormatPr baseColWidth="10" defaultRowHeight="16" outlineLevelCol="1"/>
  <cols>
    <col min="1" max="1" width="4" customWidth="1"/>
    <col min="10" max="10" width="2.5" customWidth="1"/>
    <col min="12" max="13" width="13.33203125" customWidth="1" outlineLevel="1"/>
    <col min="19" max="19" width="13.33203125" customWidth="1"/>
    <col min="20" max="21" width="13.33203125" customWidth="1" outlineLevel="1"/>
    <col min="23" max="28" width="0" hidden="1" customWidth="1"/>
    <col min="29" max="32" width="10.83203125" hidden="1" customWidth="1" outlineLevel="1"/>
    <col min="33" max="33" width="0" hidden="1" customWidth="1" collapsed="1"/>
  </cols>
  <sheetData>
    <row r="1" spans="2:25" ht="5" customHeight="1">
      <c r="X1" s="842"/>
      <c r="Y1" s="842"/>
    </row>
    <row r="2" spans="2:25" s="415" customFormat="1" ht="28" customHeight="1" thickBot="1">
      <c r="B2" s="1198" t="s">
        <v>622</v>
      </c>
      <c r="C2" s="1199"/>
      <c r="D2" s="1199"/>
      <c r="E2" s="1199"/>
      <c r="F2" s="1199"/>
      <c r="G2" s="1199"/>
      <c r="H2" s="1199"/>
      <c r="I2" s="1199"/>
      <c r="J2" s="1199"/>
      <c r="K2" s="1199"/>
      <c r="L2" s="1199"/>
      <c r="M2" s="1199"/>
      <c r="N2" s="1199"/>
      <c r="O2" s="1199"/>
      <c r="P2" s="1199"/>
      <c r="Q2" s="1199"/>
      <c r="R2" s="1199"/>
      <c r="X2" s="889" t="s">
        <v>545</v>
      </c>
      <c r="Y2" s="890"/>
    </row>
    <row r="3" spans="2:25" ht="5" customHeight="1">
      <c r="X3" s="842" t="s">
        <v>546</v>
      </c>
      <c r="Y3" s="842" t="e" cm="1">
        <f t="array" ref="Y3">INDEX('PRO FORMA'!E17:W17,1,($Y$16-1)*2+1)</f>
        <v>#VALUE!</v>
      </c>
    </row>
    <row r="4" spans="2:25" ht="19" thickBot="1">
      <c r="B4" s="1209" t="s">
        <v>542</v>
      </c>
      <c r="C4" s="1210"/>
      <c r="D4" s="1210"/>
      <c r="E4" s="1210"/>
      <c r="F4" s="1210"/>
      <c r="G4" s="1210"/>
      <c r="H4" s="1210"/>
      <c r="I4" s="1210"/>
      <c r="K4" s="1209" t="s">
        <v>544</v>
      </c>
      <c r="L4" s="1209"/>
      <c r="M4" s="1209"/>
      <c r="N4" s="1209"/>
      <c r="O4" s="1209"/>
      <c r="P4" s="1209"/>
      <c r="Q4" s="1209"/>
      <c r="R4" s="1209"/>
      <c r="S4" s="1209"/>
      <c r="T4" s="1209"/>
      <c r="U4" s="1209"/>
      <c r="X4" s="842" t="s">
        <v>547</v>
      </c>
      <c r="Y4" s="842">
        <f>'PRO FORMA'!E22-'PRO FORMA'!E17</f>
        <v>0</v>
      </c>
    </row>
    <row r="5" spans="2:25" ht="5" customHeight="1">
      <c r="X5" s="842" t="s">
        <v>52</v>
      </c>
      <c r="Y5" s="842">
        <f>INPUTS!C7</f>
        <v>0</v>
      </c>
    </row>
    <row r="6" spans="2:25">
      <c r="B6" s="1201" t="s">
        <v>561</v>
      </c>
      <c r="C6" s="1207"/>
      <c r="D6" s="1207"/>
      <c r="E6" s="1207"/>
      <c r="F6" s="1207"/>
      <c r="G6" s="1207"/>
      <c r="H6" s="1207"/>
      <c r="I6" s="1207"/>
      <c r="K6" s="1201" t="s">
        <v>607</v>
      </c>
      <c r="L6" s="1201"/>
      <c r="M6" s="1201"/>
      <c r="N6" s="1201"/>
      <c r="O6" s="1201"/>
      <c r="P6" s="1201"/>
      <c r="Q6" s="1201"/>
      <c r="R6" s="1201"/>
      <c r="S6" s="893"/>
      <c r="T6" s="893"/>
      <c r="U6" s="893"/>
      <c r="X6" s="842" t="s">
        <v>548</v>
      </c>
      <c r="Y6" s="842">
        <v>365</v>
      </c>
    </row>
    <row r="7" spans="2:25">
      <c r="B7" s="897" t="str">
        <f>IFERROR(WATERFALL!F62,"NA")</f>
        <v>NA</v>
      </c>
      <c r="C7" s="910" t="e">
        <f>$Y$13-3*$C$41</f>
        <v>#VALUE!</v>
      </c>
      <c r="D7" s="910" t="e">
        <f>$Y$13-2*$C$41</f>
        <v>#VALUE!</v>
      </c>
      <c r="E7" s="910" t="e">
        <f>$Y$13-$C$41</f>
        <v>#VALUE!</v>
      </c>
      <c r="F7" s="911" t="e">
        <f>$Y$13</f>
        <v>#VALUE!</v>
      </c>
      <c r="G7" s="910" t="e">
        <f>$Y$13+$C$41</f>
        <v>#VALUE!</v>
      </c>
      <c r="H7" s="910" t="e">
        <f>$Y$13+2*$C$41</f>
        <v>#VALUE!</v>
      </c>
      <c r="I7" s="916" t="e">
        <f>$Y$13+3*$C$41</f>
        <v>#VALUE!</v>
      </c>
      <c r="K7" s="897" t="str">
        <f>IFERROR(WATERFALL!F62,"NA")</f>
        <v>NA</v>
      </c>
      <c r="L7" s="895">
        <v>1</v>
      </c>
      <c r="M7" s="895">
        <v>2</v>
      </c>
      <c r="N7" s="895">
        <v>3</v>
      </c>
      <c r="O7" s="895">
        <v>4</v>
      </c>
      <c r="P7" s="895">
        <v>5</v>
      </c>
      <c r="Q7" s="895">
        <v>6</v>
      </c>
      <c r="R7" s="895">
        <v>7</v>
      </c>
      <c r="S7" s="895">
        <v>8</v>
      </c>
      <c r="T7" s="895">
        <v>9</v>
      </c>
      <c r="U7" s="898">
        <v>10</v>
      </c>
      <c r="X7" s="842" t="s">
        <v>549</v>
      </c>
      <c r="Y7" s="842">
        <f>'PRO FORMA'!E30</f>
        <v>0</v>
      </c>
    </row>
    <row r="8" spans="2:25">
      <c r="B8" s="913" t="e">
        <f>$Y$14-3*$C$42</f>
        <v>#VALUE!</v>
      </c>
      <c r="C8" s="908" t="str">
        <f ca="1">IFERROR(IRR(C46:OFFSET(C46,0,$Y$16)),"Neg")</f>
        <v>Neg</v>
      </c>
      <c r="D8" s="908" t="str">
        <f ca="1">IFERROR(IRR(C53:OFFSET(C53,0,$Y$16)),"Neg")</f>
        <v>Neg</v>
      </c>
      <c r="E8" s="908" t="str">
        <f ca="1">IFERROR(IRR(C60:OFFSET(C60,0,$Y$16)),"Neg")</f>
        <v>Neg</v>
      </c>
      <c r="F8" s="908" t="str">
        <f ca="1">IFERROR(IRR(C67:OFFSET(C67,0,$Y$16)),"Neg")</f>
        <v>Neg</v>
      </c>
      <c r="G8" s="908" t="str">
        <f ca="1">IFERROR(IRR(C74:OFFSET(C74,0,$Y$16)),"Neg")</f>
        <v>Neg</v>
      </c>
      <c r="H8" s="908" t="str">
        <f ca="1">IFERROR(IRR(C81:OFFSET(C81,0,$Y$16)),"Neg")</f>
        <v>Neg</v>
      </c>
      <c r="I8" s="917" t="str">
        <f ca="1">IFERROR(IRR(C88:OFFSET(C88,0,$Y$16)),"Neg")</f>
        <v>Neg</v>
      </c>
      <c r="K8" s="1009">
        <f>$Y$15-3*$C$43</f>
        <v>-0.30000000000000004</v>
      </c>
      <c r="L8" s="894" t="str" cm="1">
        <f t="array" ref="L8">IFERROR(_xlfn.LET(_xlpm.hp,L$18,_xlpm.rrm,$K19,_xlpm.eq,$Y$12,_xlpm.sale,_xlpm.rrm*INDEX($Y$26:$Y$35,_xlpm.hp)*$Y$3*(1-$Y$17)-INDEX($AG$26:$AG$35,_xlpm.hp),_xlpm.n,_xlfn.SEQUENCE(_xlpm.hp+1,1,0),_xlpm.cfs,IF(_xlpm.n=0,-_xlpm.eq,IF(_xlpm.n&lt;_xlpm.hp,INDEX($AF$26:$AF$35,_xlpm.n),INDEX($AF$26:$AF$35,_xlpm.n)+_xlpm.sale)),IRR(_xlpm.cfs)),"NA")</f>
        <v>NA</v>
      </c>
      <c r="M8" s="894" t="str" cm="1">
        <f t="array" ref="M8">IFERROR(_xlfn.LET(_xlpm.hp,M$18,_xlpm.rrm,$K19,_xlpm.eq,$Y$12,_xlpm.sale,_xlpm.rrm*INDEX($Y$26:$Y$35,_xlpm.hp)*$Y$3*(1-$Y$17)-INDEX($AG$26:$AG$35,_xlpm.hp),_xlpm.n,_xlfn.SEQUENCE(_xlpm.hp+1,1,0),_xlpm.cfs,IF(_xlpm.n=0,-_xlpm.eq,IF(_xlpm.n&lt;_xlpm.hp,INDEX($AF$26:$AF$35,_xlpm.n),INDEX($AF$26:$AF$35,_xlpm.n)+_xlpm.sale)),IRR(_xlpm.cfs)),"NA")</f>
        <v>NA</v>
      </c>
      <c r="N8" s="894" t="str" cm="1">
        <f t="array" ref="N8">IFERROR(_xlfn.LET(_xlpm.hp,N$18,_xlpm.rrm,$K19,_xlpm.eq,$Y$12,_xlpm.sale,_xlpm.rrm*INDEX($Y$26:$Y$35,_xlpm.hp)*$Y$3*(1-$Y$17)-INDEX($AG$26:$AG$35,_xlpm.hp),_xlpm.n,_xlfn.SEQUENCE(_xlpm.hp+1,1,0),_xlpm.cfs,IF(_xlpm.n=0,-_xlpm.eq,IF(_xlpm.n&lt;_xlpm.hp,INDEX($AF$26:$AF$35,_xlpm.n),INDEX($AF$26:$AF$35,_xlpm.n)+_xlpm.sale)),IRR(_xlpm.cfs)),"NA")</f>
        <v>NA</v>
      </c>
      <c r="O8" s="894" t="str" cm="1">
        <f t="array" ref="O8">IFERROR(_xlfn.LET(_xlpm.hp,O$18,_xlpm.rrm,$K19,_xlpm.eq,$Y$12,_xlpm.sale,_xlpm.rrm*INDEX($Y$26:$Y$35,_xlpm.hp)*$Y$3*(1-$Y$17)-INDEX($AG$26:$AG$35,_xlpm.hp),_xlpm.n,_xlfn.SEQUENCE(_xlpm.hp+1,1,0),_xlpm.cfs,IF(_xlpm.n=0,-_xlpm.eq,IF(_xlpm.n&lt;_xlpm.hp,INDEX($AF$26:$AF$35,_xlpm.n),INDEX($AF$26:$AF$35,_xlpm.n)+_xlpm.sale)),IRR(_xlpm.cfs)),"NA")</f>
        <v>NA</v>
      </c>
      <c r="P8" s="894" t="str" cm="1">
        <f t="array" ref="P8">IFERROR(_xlfn.LET(_xlpm.hp,P$18,_xlpm.rrm,$K19,_xlpm.eq,$Y$12,_xlpm.sale,_xlpm.rrm*INDEX($Y$26:$Y$35,_xlpm.hp)*$Y$3*(1-$Y$17)-INDEX($AG$26:$AG$35,_xlpm.hp),_xlpm.n,_xlfn.SEQUENCE(_xlpm.hp+1,1,0),_xlpm.cfs,IF(_xlpm.n=0,-_xlpm.eq,IF(_xlpm.n&lt;_xlpm.hp,INDEX($AF$26:$AF$35,_xlpm.n),INDEX($AF$26:$AF$35,_xlpm.n)+_xlpm.sale)),IRR(_xlpm.cfs)),"NA")</f>
        <v>NA</v>
      </c>
      <c r="Q8" s="894" t="str" cm="1">
        <f t="array" ref="Q8">IFERROR(_xlfn.LET(_xlpm.hp,Q$18,_xlpm.rrm,$K19,_xlpm.eq,$Y$12,_xlpm.sale,_xlpm.rrm*INDEX($Y$26:$Y$35,_xlpm.hp)*$Y$3*(1-$Y$17)-INDEX($AG$26:$AG$35,_xlpm.hp),_xlpm.n,_xlfn.SEQUENCE(_xlpm.hp+1,1,0),_xlpm.cfs,IF(_xlpm.n=0,-_xlpm.eq,IF(_xlpm.n&lt;_xlpm.hp,INDEX($AF$26:$AF$35,_xlpm.n),INDEX($AF$26:$AF$35,_xlpm.n)+_xlpm.sale)),IRR(_xlpm.cfs)),"NA")</f>
        <v>NA</v>
      </c>
      <c r="R8" s="894" t="str" cm="1">
        <f t="array" ref="R8">IFERROR(_xlfn.LET(_xlpm.hp,R$18,_xlpm.rrm,$K19,_xlpm.eq,$Y$12,_xlpm.sale,_xlpm.rrm*INDEX($Y$26:$Y$35,_xlpm.hp)*$Y$3*(1-$Y$17)-INDEX($AG$26:$AG$35,_xlpm.hp),_xlpm.n,_xlfn.SEQUENCE(_xlpm.hp+1,1,0),_xlpm.cfs,IF(_xlpm.n=0,-_xlpm.eq,IF(_xlpm.n&lt;_xlpm.hp,INDEX($AF$26:$AF$35,_xlpm.n),INDEX($AF$26:$AF$35,_xlpm.n)+_xlpm.sale)),IRR(_xlpm.cfs)),"NA")</f>
        <v>NA</v>
      </c>
      <c r="S8" s="894" t="str" cm="1">
        <f t="array" ref="S8">IFERROR(_xlfn.LET(_xlpm.hp,S$18,_xlpm.rrm,$K19,_xlpm.eq,$Y$12,_xlpm.sale,_xlpm.rrm*INDEX($Y$26:$Y$35,_xlpm.hp)*$Y$3*(1-$Y$17)-INDEX($AG$26:$AG$35,_xlpm.hp),_xlpm.n,_xlfn.SEQUENCE(_xlpm.hp+1,1,0),_xlpm.cfs,IF(_xlpm.n=0,-_xlpm.eq,IF(_xlpm.n&lt;_xlpm.hp,INDEX($AF$26:$AF$35,_xlpm.n),INDEX($AF$26:$AF$35,_xlpm.n)+_xlpm.sale)),IRR(_xlpm.cfs)),"NA")</f>
        <v>NA</v>
      </c>
      <c r="T8" s="894" t="str" cm="1">
        <f t="array" ref="T8">IFERROR(_xlfn.LET(_xlpm.hp,T$18,_xlpm.rrm,$K19,_xlpm.eq,$Y$12,_xlpm.sale,_xlpm.rrm*INDEX($Y$26:$Y$35,_xlpm.hp)*$Y$3*(1-$Y$17)-INDEX($AG$26:$AG$35,_xlpm.hp),_xlpm.n,_xlfn.SEQUENCE(_xlpm.hp+1,1,0),_xlpm.cfs,IF(_xlpm.n=0,-_xlpm.eq,IF(_xlpm.n&lt;_xlpm.hp,INDEX($AF$26:$AF$35,_xlpm.n),INDEX($AF$26:$AF$35,_xlpm.n)+_xlpm.sale)),IRR(_xlpm.cfs)),"NA")</f>
        <v>NA</v>
      </c>
      <c r="U8" s="899" t="str" cm="1">
        <f t="array" ref="U8">IFERROR(_xlfn.LET(_xlpm.hp,U$18,_xlpm.rrm,$K19,_xlpm.eq,$Y$12,_xlpm.sale,_xlpm.rrm*INDEX($Y$26:$Y$35,_xlpm.hp)*$Y$3*(1-$Y$17)-INDEX($AG$26:$AG$35,_xlpm.hp),_xlpm.n,_xlfn.SEQUENCE(_xlpm.hp+1,1,0),_xlpm.cfs,IF(_xlpm.n=0,-_xlpm.eq,IF(_xlpm.n&lt;_xlpm.hp,INDEX($AF$26:$AF$35,_xlpm.n),INDEX($AF$26:$AF$35,_xlpm.n)+_xlpm.sale)),IRR(_xlpm.cfs)),"NA")</f>
        <v>NA</v>
      </c>
      <c r="X8" s="842" t="s">
        <v>550</v>
      </c>
      <c r="Y8" s="842">
        <f>'PRO FORMA'!E41</f>
        <v>0</v>
      </c>
    </row>
    <row r="9" spans="2:25">
      <c r="B9" s="913" t="e">
        <f>$Y$14-2*$C$42</f>
        <v>#VALUE!</v>
      </c>
      <c r="C9" s="908" t="str">
        <f ca="1">IFERROR(IRR(C47:OFFSET(C47,0,$Y$16)),"Neg")</f>
        <v>Neg</v>
      </c>
      <c r="D9" s="908" t="str">
        <f ca="1">IFERROR(IRR(C54:OFFSET(C54,0,$Y$16)),"Neg")</f>
        <v>Neg</v>
      </c>
      <c r="E9" s="908" t="str">
        <f ca="1">IFERROR(IRR(C61:OFFSET(C61,0,$Y$16)),"Neg")</f>
        <v>Neg</v>
      </c>
      <c r="F9" s="908" t="str">
        <f ca="1">IFERROR(IRR(C68:OFFSET(C68,0,$Y$16)),"Neg")</f>
        <v>Neg</v>
      </c>
      <c r="G9" s="908" t="str">
        <f ca="1">IFERROR(IRR(C75:OFFSET(C75,0,$Y$16)),"Neg")</f>
        <v>Neg</v>
      </c>
      <c r="H9" s="908" t="str">
        <f ca="1">IFERROR(IRR(C82:OFFSET(C82,0,$Y$16)),"Neg")</f>
        <v>Neg</v>
      </c>
      <c r="I9" s="917" t="str">
        <f ca="1">IFERROR(IRR(C89:OFFSET(C89,0,$Y$16)),"Neg")</f>
        <v>Neg</v>
      </c>
      <c r="K9" s="1009">
        <f>$Y$15-2*$C$43</f>
        <v>-0.2</v>
      </c>
      <c r="L9" s="894" t="str" cm="1">
        <f t="array" ref="L9">IFERROR(_xlfn.LET(_xlpm.hp,L$18,_xlpm.rrm,$K20,_xlpm.eq,$Y$12,_xlpm.sale,_xlpm.rrm*INDEX($Y$26:$Y$35,_xlpm.hp)*$Y$3*(1-$Y$17)-INDEX($AG$26:$AG$35,_xlpm.hp),_xlpm.n,_xlfn.SEQUENCE(_xlpm.hp+1,1,0),_xlpm.cfs,IF(_xlpm.n=0,-_xlpm.eq,IF(_xlpm.n&lt;_xlpm.hp,INDEX($AF$26:$AF$35,_xlpm.n),INDEX($AF$26:$AF$35,_xlpm.n)+_xlpm.sale)),IRR(_xlpm.cfs)),"NA")</f>
        <v>NA</v>
      </c>
      <c r="M9" s="894" t="str" cm="1">
        <f t="array" ref="M9">IFERROR(_xlfn.LET(_xlpm.hp,M$18,_xlpm.rrm,$K20,_xlpm.eq,$Y$12,_xlpm.sale,_xlpm.rrm*INDEX($Y$26:$Y$35,_xlpm.hp)*$Y$3*(1-$Y$17)-INDEX($AG$26:$AG$35,_xlpm.hp),_xlpm.n,_xlfn.SEQUENCE(_xlpm.hp+1,1,0),_xlpm.cfs,IF(_xlpm.n=0,-_xlpm.eq,IF(_xlpm.n&lt;_xlpm.hp,INDEX($AF$26:$AF$35,_xlpm.n),INDEX($AF$26:$AF$35,_xlpm.n)+_xlpm.sale)),IRR(_xlpm.cfs)),"NA")</f>
        <v>NA</v>
      </c>
      <c r="N9" s="894" t="str" cm="1">
        <f t="array" ref="N9">IFERROR(_xlfn.LET(_xlpm.hp,N$18,_xlpm.rrm,$K20,_xlpm.eq,$Y$12,_xlpm.sale,_xlpm.rrm*INDEX($Y$26:$Y$35,_xlpm.hp)*$Y$3*(1-$Y$17)-INDEX($AG$26:$AG$35,_xlpm.hp),_xlpm.n,_xlfn.SEQUENCE(_xlpm.hp+1,1,0),_xlpm.cfs,IF(_xlpm.n=0,-_xlpm.eq,IF(_xlpm.n&lt;_xlpm.hp,INDEX($AF$26:$AF$35,_xlpm.n),INDEX($AF$26:$AF$35,_xlpm.n)+_xlpm.sale)),IRR(_xlpm.cfs)),"NA")</f>
        <v>NA</v>
      </c>
      <c r="O9" s="894" t="str" cm="1">
        <f t="array" ref="O9">IFERROR(_xlfn.LET(_xlpm.hp,O$18,_xlpm.rrm,$K20,_xlpm.eq,$Y$12,_xlpm.sale,_xlpm.rrm*INDEX($Y$26:$Y$35,_xlpm.hp)*$Y$3*(1-$Y$17)-INDEX($AG$26:$AG$35,_xlpm.hp),_xlpm.n,_xlfn.SEQUENCE(_xlpm.hp+1,1,0),_xlpm.cfs,IF(_xlpm.n=0,-_xlpm.eq,IF(_xlpm.n&lt;_xlpm.hp,INDEX($AF$26:$AF$35,_xlpm.n),INDEX($AF$26:$AF$35,_xlpm.n)+_xlpm.sale)),IRR(_xlpm.cfs)),"NA")</f>
        <v>NA</v>
      </c>
      <c r="P9" s="894" t="str" cm="1">
        <f t="array" ref="P9">IFERROR(_xlfn.LET(_xlpm.hp,P$18,_xlpm.rrm,$K20,_xlpm.eq,$Y$12,_xlpm.sale,_xlpm.rrm*INDEX($Y$26:$Y$35,_xlpm.hp)*$Y$3*(1-$Y$17)-INDEX($AG$26:$AG$35,_xlpm.hp),_xlpm.n,_xlfn.SEQUENCE(_xlpm.hp+1,1,0),_xlpm.cfs,IF(_xlpm.n=0,-_xlpm.eq,IF(_xlpm.n&lt;_xlpm.hp,INDEX($AF$26:$AF$35,_xlpm.n),INDEX($AF$26:$AF$35,_xlpm.n)+_xlpm.sale)),IRR(_xlpm.cfs)),"NA")</f>
        <v>NA</v>
      </c>
      <c r="Q9" s="894" t="str" cm="1">
        <f t="array" ref="Q9">IFERROR(_xlfn.LET(_xlpm.hp,Q$18,_xlpm.rrm,$K20,_xlpm.eq,$Y$12,_xlpm.sale,_xlpm.rrm*INDEX($Y$26:$Y$35,_xlpm.hp)*$Y$3*(1-$Y$17)-INDEX($AG$26:$AG$35,_xlpm.hp),_xlpm.n,_xlfn.SEQUENCE(_xlpm.hp+1,1,0),_xlpm.cfs,IF(_xlpm.n=0,-_xlpm.eq,IF(_xlpm.n&lt;_xlpm.hp,INDEX($AF$26:$AF$35,_xlpm.n),INDEX($AF$26:$AF$35,_xlpm.n)+_xlpm.sale)),IRR(_xlpm.cfs)),"NA")</f>
        <v>NA</v>
      </c>
      <c r="R9" s="894" t="str" cm="1">
        <f t="array" ref="R9">IFERROR(_xlfn.LET(_xlpm.hp,R$18,_xlpm.rrm,$K20,_xlpm.eq,$Y$12,_xlpm.sale,_xlpm.rrm*INDEX($Y$26:$Y$35,_xlpm.hp)*$Y$3*(1-$Y$17)-INDEX($AG$26:$AG$35,_xlpm.hp),_xlpm.n,_xlfn.SEQUENCE(_xlpm.hp+1,1,0),_xlpm.cfs,IF(_xlpm.n=0,-_xlpm.eq,IF(_xlpm.n&lt;_xlpm.hp,INDEX($AF$26:$AF$35,_xlpm.n),INDEX($AF$26:$AF$35,_xlpm.n)+_xlpm.sale)),IRR(_xlpm.cfs)),"NA")</f>
        <v>NA</v>
      </c>
      <c r="S9" s="894" t="str" cm="1">
        <f t="array" ref="S9">IFERROR(_xlfn.LET(_xlpm.hp,S$18,_xlpm.rrm,$K20,_xlpm.eq,$Y$12,_xlpm.sale,_xlpm.rrm*INDEX($Y$26:$Y$35,_xlpm.hp)*$Y$3*(1-$Y$17)-INDEX($AG$26:$AG$35,_xlpm.hp),_xlpm.n,_xlfn.SEQUENCE(_xlpm.hp+1,1,0),_xlpm.cfs,IF(_xlpm.n=0,-_xlpm.eq,IF(_xlpm.n&lt;_xlpm.hp,INDEX($AF$26:$AF$35,_xlpm.n),INDEX($AF$26:$AF$35,_xlpm.n)+_xlpm.sale)),IRR(_xlpm.cfs)),"NA")</f>
        <v>NA</v>
      </c>
      <c r="T9" s="894" t="str" cm="1">
        <f t="array" ref="T9">IFERROR(_xlfn.LET(_xlpm.hp,T$18,_xlpm.rrm,$K20,_xlpm.eq,$Y$12,_xlpm.sale,_xlpm.rrm*INDEX($Y$26:$Y$35,_xlpm.hp)*$Y$3*(1-$Y$17)-INDEX($AG$26:$AG$35,_xlpm.hp),_xlpm.n,_xlfn.SEQUENCE(_xlpm.hp+1,1,0),_xlpm.cfs,IF(_xlpm.n=0,-_xlpm.eq,IF(_xlpm.n&lt;_xlpm.hp,INDEX($AF$26:$AF$35,_xlpm.n),INDEX($AF$26:$AF$35,_xlpm.n)+_xlpm.sale)),IRR(_xlpm.cfs)),"NA")</f>
        <v>NA</v>
      </c>
      <c r="U9" s="899" t="str" cm="1">
        <f t="array" ref="U9">IFERROR(_xlfn.LET(_xlpm.hp,U$18,_xlpm.rrm,$K20,_xlpm.eq,$Y$12,_xlpm.sale,_xlpm.rrm*INDEX($Y$26:$Y$35,_xlpm.hp)*$Y$3*(1-$Y$17)-INDEX($AG$26:$AG$35,_xlpm.hp),_xlpm.n,_xlfn.SEQUENCE(_xlpm.hp+1,1,0),_xlpm.cfs,IF(_xlpm.n=0,-_xlpm.eq,IF(_xlpm.n&lt;_xlpm.hp,INDEX($AF$26:$AF$35,_xlpm.n),INDEX($AF$26:$AF$35,_xlpm.n)+_xlpm.sale)),IRR(_xlpm.cfs)),"NA")</f>
        <v>NA</v>
      </c>
      <c r="X9" s="842" t="s">
        <v>551</v>
      </c>
      <c r="Y9" s="842">
        <f>'PRO FORMA'!E49</f>
        <v>0</v>
      </c>
    </row>
    <row r="10" spans="2:25">
      <c r="B10" s="913" t="e">
        <f>$Y$14-$C$42</f>
        <v>#VALUE!</v>
      </c>
      <c r="C10" s="908" t="str">
        <f ca="1">IFERROR(IRR(C48:OFFSET(C48,0,$Y$16)),"Neg")</f>
        <v>Neg</v>
      </c>
      <c r="D10" s="908" t="str">
        <f ca="1">IFERROR(IRR(C55:OFFSET(C55,0,$Y$16)),"Neg")</f>
        <v>Neg</v>
      </c>
      <c r="E10" s="908" t="str">
        <f ca="1">IFERROR(IRR(C62:OFFSET(C62,0,$Y$16)),"Neg")</f>
        <v>Neg</v>
      </c>
      <c r="F10" s="908" t="str">
        <f ca="1">IFERROR(IRR(C69:OFFSET(C69,0,$Y$16)),"Neg")</f>
        <v>Neg</v>
      </c>
      <c r="G10" s="908" t="str">
        <f ca="1">IFERROR(IRR(C76:OFFSET(C76,0,$Y$16)),"Neg")</f>
        <v>Neg</v>
      </c>
      <c r="H10" s="908" t="str">
        <f ca="1">IFERROR(IRR(C83:OFFSET(C83,0,$Y$16)),"Neg")</f>
        <v>Neg</v>
      </c>
      <c r="I10" s="917" t="str">
        <f ca="1">IFERROR(IRR(C90:OFFSET(C90,0,$Y$16)),"Neg")</f>
        <v>Neg</v>
      </c>
      <c r="K10" s="1009">
        <f>$Y$15-$C$43</f>
        <v>-0.1</v>
      </c>
      <c r="L10" s="894" t="str" cm="1">
        <f t="array" ref="L10">IFERROR(_xlfn.LET(_xlpm.hp,L$18,_xlpm.rrm,$K21,_xlpm.eq,$Y$12,_xlpm.sale,_xlpm.rrm*INDEX($Y$26:$Y$35,_xlpm.hp)*$Y$3*(1-$Y$17)-INDEX($AG$26:$AG$35,_xlpm.hp),_xlpm.n,_xlfn.SEQUENCE(_xlpm.hp+1,1,0),_xlpm.cfs,IF(_xlpm.n=0,-_xlpm.eq,IF(_xlpm.n&lt;_xlpm.hp,INDEX($AF$26:$AF$35,_xlpm.n),INDEX($AF$26:$AF$35,_xlpm.n)+_xlpm.sale)),IRR(_xlpm.cfs)),"NA")</f>
        <v>NA</v>
      </c>
      <c r="M10" s="894" t="str" cm="1">
        <f t="array" ref="M10">IFERROR(_xlfn.LET(_xlpm.hp,M$18,_xlpm.rrm,$K21,_xlpm.eq,$Y$12,_xlpm.sale,_xlpm.rrm*INDEX($Y$26:$Y$35,_xlpm.hp)*$Y$3*(1-$Y$17)-INDEX($AG$26:$AG$35,_xlpm.hp),_xlpm.n,_xlfn.SEQUENCE(_xlpm.hp+1,1,0),_xlpm.cfs,IF(_xlpm.n=0,-_xlpm.eq,IF(_xlpm.n&lt;_xlpm.hp,INDEX($AF$26:$AF$35,_xlpm.n),INDEX($AF$26:$AF$35,_xlpm.n)+_xlpm.sale)),IRR(_xlpm.cfs)),"NA")</f>
        <v>NA</v>
      </c>
      <c r="N10" s="894" t="str" cm="1">
        <f t="array" ref="N10">IFERROR(_xlfn.LET(_xlpm.hp,N$18,_xlpm.rrm,$K21,_xlpm.eq,$Y$12,_xlpm.sale,_xlpm.rrm*INDEX($Y$26:$Y$35,_xlpm.hp)*$Y$3*(1-$Y$17)-INDEX($AG$26:$AG$35,_xlpm.hp),_xlpm.n,_xlfn.SEQUENCE(_xlpm.hp+1,1,0),_xlpm.cfs,IF(_xlpm.n=0,-_xlpm.eq,IF(_xlpm.n&lt;_xlpm.hp,INDEX($AF$26:$AF$35,_xlpm.n),INDEX($AF$26:$AF$35,_xlpm.n)+_xlpm.sale)),IRR(_xlpm.cfs)),"NA")</f>
        <v>NA</v>
      </c>
      <c r="O10" s="894" t="str" cm="1">
        <f t="array" ref="O10">IFERROR(_xlfn.LET(_xlpm.hp,O$18,_xlpm.rrm,$K21,_xlpm.eq,$Y$12,_xlpm.sale,_xlpm.rrm*INDEX($Y$26:$Y$35,_xlpm.hp)*$Y$3*(1-$Y$17)-INDEX($AG$26:$AG$35,_xlpm.hp),_xlpm.n,_xlfn.SEQUENCE(_xlpm.hp+1,1,0),_xlpm.cfs,IF(_xlpm.n=0,-_xlpm.eq,IF(_xlpm.n&lt;_xlpm.hp,INDEX($AF$26:$AF$35,_xlpm.n),INDEX($AF$26:$AF$35,_xlpm.n)+_xlpm.sale)),IRR(_xlpm.cfs)),"NA")</f>
        <v>NA</v>
      </c>
      <c r="P10" s="894" t="str" cm="1">
        <f t="array" ref="P10">IFERROR(_xlfn.LET(_xlpm.hp,P$18,_xlpm.rrm,$K21,_xlpm.eq,$Y$12,_xlpm.sale,_xlpm.rrm*INDEX($Y$26:$Y$35,_xlpm.hp)*$Y$3*(1-$Y$17)-INDEX($AG$26:$AG$35,_xlpm.hp),_xlpm.n,_xlfn.SEQUENCE(_xlpm.hp+1,1,0),_xlpm.cfs,IF(_xlpm.n=0,-_xlpm.eq,IF(_xlpm.n&lt;_xlpm.hp,INDEX($AF$26:$AF$35,_xlpm.n),INDEX($AF$26:$AF$35,_xlpm.n)+_xlpm.sale)),IRR(_xlpm.cfs)),"NA")</f>
        <v>NA</v>
      </c>
      <c r="Q10" s="894" t="str" cm="1">
        <f t="array" ref="Q10">IFERROR(_xlfn.LET(_xlpm.hp,Q$18,_xlpm.rrm,$K21,_xlpm.eq,$Y$12,_xlpm.sale,_xlpm.rrm*INDEX($Y$26:$Y$35,_xlpm.hp)*$Y$3*(1-$Y$17)-INDEX($AG$26:$AG$35,_xlpm.hp),_xlpm.n,_xlfn.SEQUENCE(_xlpm.hp+1,1,0),_xlpm.cfs,IF(_xlpm.n=0,-_xlpm.eq,IF(_xlpm.n&lt;_xlpm.hp,INDEX($AF$26:$AF$35,_xlpm.n),INDEX($AF$26:$AF$35,_xlpm.n)+_xlpm.sale)),IRR(_xlpm.cfs)),"NA")</f>
        <v>NA</v>
      </c>
      <c r="R10" s="894" t="str" cm="1">
        <f t="array" ref="R10">IFERROR(_xlfn.LET(_xlpm.hp,R$18,_xlpm.rrm,$K21,_xlpm.eq,$Y$12,_xlpm.sale,_xlpm.rrm*INDEX($Y$26:$Y$35,_xlpm.hp)*$Y$3*(1-$Y$17)-INDEX($AG$26:$AG$35,_xlpm.hp),_xlpm.n,_xlfn.SEQUENCE(_xlpm.hp+1,1,0),_xlpm.cfs,IF(_xlpm.n=0,-_xlpm.eq,IF(_xlpm.n&lt;_xlpm.hp,INDEX($AF$26:$AF$35,_xlpm.n),INDEX($AF$26:$AF$35,_xlpm.n)+_xlpm.sale)),IRR(_xlpm.cfs)),"NA")</f>
        <v>NA</v>
      </c>
      <c r="S10" s="894" t="str" cm="1">
        <f t="array" ref="S10">IFERROR(_xlfn.LET(_xlpm.hp,S$18,_xlpm.rrm,$K21,_xlpm.eq,$Y$12,_xlpm.sale,_xlpm.rrm*INDEX($Y$26:$Y$35,_xlpm.hp)*$Y$3*(1-$Y$17)-INDEX($AG$26:$AG$35,_xlpm.hp),_xlpm.n,_xlfn.SEQUENCE(_xlpm.hp+1,1,0),_xlpm.cfs,IF(_xlpm.n=0,-_xlpm.eq,IF(_xlpm.n&lt;_xlpm.hp,INDEX($AF$26:$AF$35,_xlpm.n),INDEX($AF$26:$AF$35,_xlpm.n)+_xlpm.sale)),IRR(_xlpm.cfs)),"NA")</f>
        <v>NA</v>
      </c>
      <c r="T10" s="894" t="str" cm="1">
        <f t="array" ref="T10">IFERROR(_xlfn.LET(_xlpm.hp,T$18,_xlpm.rrm,$K21,_xlpm.eq,$Y$12,_xlpm.sale,_xlpm.rrm*INDEX($Y$26:$Y$35,_xlpm.hp)*$Y$3*(1-$Y$17)-INDEX($AG$26:$AG$35,_xlpm.hp),_xlpm.n,_xlfn.SEQUENCE(_xlpm.hp+1,1,0),_xlpm.cfs,IF(_xlpm.n=0,-_xlpm.eq,IF(_xlpm.n&lt;_xlpm.hp,INDEX($AF$26:$AF$35,_xlpm.n),INDEX($AF$26:$AF$35,_xlpm.n)+_xlpm.sale)),IRR(_xlpm.cfs)),"NA")</f>
        <v>NA</v>
      </c>
      <c r="U10" s="899" t="str" cm="1">
        <f t="array" ref="U10">IFERROR(_xlfn.LET(_xlpm.hp,U$18,_xlpm.rrm,$K21,_xlpm.eq,$Y$12,_xlpm.sale,_xlpm.rrm*INDEX($Y$26:$Y$35,_xlpm.hp)*$Y$3*(1-$Y$17)-INDEX($AG$26:$AG$35,_xlpm.hp),_xlpm.n,_xlfn.SEQUENCE(_xlpm.hp+1,1,0),_xlpm.cfs,IF(_xlpm.n=0,-_xlpm.eq,IF(_xlpm.n&lt;_xlpm.hp,INDEX($AF$26:$AF$35,_xlpm.n),INDEX($AF$26:$AF$35,_xlpm.n)+_xlpm.sale)),IRR(_xlpm.cfs)),"NA")</f>
        <v>NA</v>
      </c>
      <c r="X10" s="842" t="s">
        <v>552</v>
      </c>
      <c r="Y10" s="842">
        <f>'PRO FORMA'!E52+'PRO FORMA'!E53</f>
        <v>0</v>
      </c>
    </row>
    <row r="11" spans="2:25">
      <c r="B11" s="914" t="e">
        <f>$Y$14</f>
        <v>#VALUE!</v>
      </c>
      <c r="C11" s="908" t="str">
        <f ca="1">IFERROR(IRR(C49:OFFSET(C49,0,$Y$16)),"Neg")</f>
        <v>Neg</v>
      </c>
      <c r="D11" s="908" t="str">
        <f ca="1">IFERROR(IRR(C56:OFFSET(C56,0,$Y$16)),"Neg")</f>
        <v>Neg</v>
      </c>
      <c r="E11" s="908" t="str">
        <f ca="1">IFERROR(IRR(C63:OFFSET(C63,0,$Y$16)),"Neg")</f>
        <v>Neg</v>
      </c>
      <c r="F11" s="909" t="str">
        <f ca="1">IFERROR(IRR(C70:OFFSET(C70,0,$Y$16)),"Neg")</f>
        <v>Neg</v>
      </c>
      <c r="G11" s="908" t="str">
        <f ca="1">IFERROR(IRR(C77:OFFSET(C77,0,$Y$16)),"Neg")</f>
        <v>Neg</v>
      </c>
      <c r="H11" s="908" t="str">
        <f ca="1">IFERROR(IRR(C84:OFFSET(C84,0,$Y$16)),"Neg")</f>
        <v>Neg</v>
      </c>
      <c r="I11" s="917" t="str">
        <f ca="1">IFERROR(IRR(C91:OFFSET(C91,0,$Y$16)),"Neg")</f>
        <v>Neg</v>
      </c>
      <c r="K11" s="1010">
        <f>$Y$15</f>
        <v>0</v>
      </c>
      <c r="L11" s="894" t="str" cm="1">
        <f t="array" ref="L11">IFERROR(_xlfn.LET(_xlpm.hp,L$18,_xlpm.rrm,$K22,_xlpm.eq,$Y$12,_xlpm.sale,_xlpm.rrm*INDEX($Y$26:$Y$35,_xlpm.hp)*$Y$3*(1-$Y$17)-INDEX($AG$26:$AG$35,_xlpm.hp),_xlpm.n,_xlfn.SEQUENCE(_xlpm.hp+1,1,0),_xlpm.cfs,IF(_xlpm.n=0,-_xlpm.eq,IF(_xlpm.n&lt;_xlpm.hp,INDEX($AF$26:$AF$35,_xlpm.n),INDEX($AF$26:$AF$35,_xlpm.n)+_xlpm.sale)),IRR(_xlpm.cfs)),"NA")</f>
        <v>NA</v>
      </c>
      <c r="M11" s="894" t="str" cm="1">
        <f t="array" ref="M11">IFERROR(_xlfn.LET(_xlpm.hp,M$18,_xlpm.rrm,$K22,_xlpm.eq,$Y$12,_xlpm.sale,_xlpm.rrm*INDEX($Y$26:$Y$35,_xlpm.hp)*$Y$3*(1-$Y$17)-INDEX($AG$26:$AG$35,_xlpm.hp),_xlpm.n,_xlfn.SEQUENCE(_xlpm.hp+1,1,0),_xlpm.cfs,IF(_xlpm.n=0,-_xlpm.eq,IF(_xlpm.n&lt;_xlpm.hp,INDEX($AF$26:$AF$35,_xlpm.n),INDEX($AF$26:$AF$35,_xlpm.n)+_xlpm.sale)),IRR(_xlpm.cfs)),"NA")</f>
        <v>NA</v>
      </c>
      <c r="N11" s="894" t="str" cm="1">
        <f t="array" ref="N11">IFERROR(_xlfn.LET(_xlpm.hp,N$18,_xlpm.rrm,$K22,_xlpm.eq,$Y$12,_xlpm.sale,_xlpm.rrm*INDEX($Y$26:$Y$35,_xlpm.hp)*$Y$3*(1-$Y$17)-INDEX($AG$26:$AG$35,_xlpm.hp),_xlpm.n,_xlfn.SEQUENCE(_xlpm.hp+1,1,0),_xlpm.cfs,IF(_xlpm.n=0,-_xlpm.eq,IF(_xlpm.n&lt;_xlpm.hp,INDEX($AF$26:$AF$35,_xlpm.n),INDEX($AF$26:$AF$35,_xlpm.n)+_xlpm.sale)),IRR(_xlpm.cfs)),"NA")</f>
        <v>NA</v>
      </c>
      <c r="O11" s="894" t="str" cm="1">
        <f t="array" ref="O11">IFERROR(_xlfn.LET(_xlpm.hp,O$18,_xlpm.rrm,$K22,_xlpm.eq,$Y$12,_xlpm.sale,_xlpm.rrm*INDEX($Y$26:$Y$35,_xlpm.hp)*$Y$3*(1-$Y$17)-INDEX($AG$26:$AG$35,_xlpm.hp),_xlpm.n,_xlfn.SEQUENCE(_xlpm.hp+1,1,0),_xlpm.cfs,IF(_xlpm.n=0,-_xlpm.eq,IF(_xlpm.n&lt;_xlpm.hp,INDEX($AF$26:$AF$35,_xlpm.n),INDEX($AF$26:$AF$35,_xlpm.n)+_xlpm.sale)),IRR(_xlpm.cfs)),"NA")</f>
        <v>NA</v>
      </c>
      <c r="P11" s="894" t="str" cm="1">
        <f t="array" ref="P11">IFERROR(_xlfn.LET(_xlpm.hp,P$18,_xlpm.rrm,$K22,_xlpm.eq,$Y$12,_xlpm.sale,_xlpm.rrm*INDEX($Y$26:$Y$35,_xlpm.hp)*$Y$3*(1-$Y$17)-INDEX($AG$26:$AG$35,_xlpm.hp),_xlpm.n,_xlfn.SEQUENCE(_xlpm.hp+1,1,0),_xlpm.cfs,IF(_xlpm.n=0,-_xlpm.eq,IF(_xlpm.n&lt;_xlpm.hp,INDEX($AF$26:$AF$35,_xlpm.n),INDEX($AF$26:$AF$35,_xlpm.n)+_xlpm.sale)),IRR(_xlpm.cfs)),"NA")</f>
        <v>NA</v>
      </c>
      <c r="Q11" s="894" t="str" cm="1">
        <f t="array" ref="Q11">IFERROR(_xlfn.LET(_xlpm.hp,Q$18,_xlpm.rrm,$K22,_xlpm.eq,$Y$12,_xlpm.sale,_xlpm.rrm*INDEX($Y$26:$Y$35,_xlpm.hp)*$Y$3*(1-$Y$17)-INDEX($AG$26:$AG$35,_xlpm.hp),_xlpm.n,_xlfn.SEQUENCE(_xlpm.hp+1,1,0),_xlpm.cfs,IF(_xlpm.n=0,-_xlpm.eq,IF(_xlpm.n&lt;_xlpm.hp,INDEX($AF$26:$AF$35,_xlpm.n),INDEX($AF$26:$AF$35,_xlpm.n)+_xlpm.sale)),IRR(_xlpm.cfs)),"NA")</f>
        <v>NA</v>
      </c>
      <c r="R11" s="894" t="str" cm="1">
        <f t="array" ref="R11">IFERROR(_xlfn.LET(_xlpm.hp,R$18,_xlpm.rrm,$K22,_xlpm.eq,$Y$12,_xlpm.sale,_xlpm.rrm*INDEX($Y$26:$Y$35,_xlpm.hp)*$Y$3*(1-$Y$17)-INDEX($AG$26:$AG$35,_xlpm.hp),_xlpm.n,_xlfn.SEQUENCE(_xlpm.hp+1,1,0),_xlpm.cfs,IF(_xlpm.n=0,-_xlpm.eq,IF(_xlpm.n&lt;_xlpm.hp,INDEX($AF$26:$AF$35,_xlpm.n),INDEX($AF$26:$AF$35,_xlpm.n)+_xlpm.sale)),IRR(_xlpm.cfs)),"NA")</f>
        <v>NA</v>
      </c>
      <c r="S11" s="894" t="str" cm="1">
        <f t="array" ref="S11">IFERROR(_xlfn.LET(_xlpm.hp,S$18,_xlpm.rrm,$K22,_xlpm.eq,$Y$12,_xlpm.sale,_xlpm.rrm*INDEX($Y$26:$Y$35,_xlpm.hp)*$Y$3*(1-$Y$17)-INDEX($AG$26:$AG$35,_xlpm.hp),_xlpm.n,_xlfn.SEQUENCE(_xlpm.hp+1,1,0),_xlpm.cfs,IF(_xlpm.n=0,-_xlpm.eq,IF(_xlpm.n&lt;_xlpm.hp,INDEX($AF$26:$AF$35,_xlpm.n),INDEX($AF$26:$AF$35,_xlpm.n)+_xlpm.sale)),IRR(_xlpm.cfs)),"NA")</f>
        <v>NA</v>
      </c>
      <c r="T11" s="894" t="str" cm="1">
        <f t="array" ref="T11">IFERROR(_xlfn.LET(_xlpm.hp,T$18,_xlpm.rrm,$K22,_xlpm.eq,$Y$12,_xlpm.sale,_xlpm.rrm*INDEX($Y$26:$Y$35,_xlpm.hp)*$Y$3*(1-$Y$17)-INDEX($AG$26:$AG$35,_xlpm.hp),_xlpm.n,_xlfn.SEQUENCE(_xlpm.hp+1,1,0),_xlpm.cfs,IF(_xlpm.n=0,-_xlpm.eq,IF(_xlpm.n&lt;_xlpm.hp,INDEX($AF$26:$AF$35,_xlpm.n),INDEX($AF$26:$AF$35,_xlpm.n)+_xlpm.sale)),IRR(_xlpm.cfs)),"NA")</f>
        <v>NA</v>
      </c>
      <c r="U11" s="900" t="str" cm="1">
        <f t="array" ref="U11">IFERROR(_xlfn.LET(_xlpm.hp,U$18,_xlpm.rrm,$K22,_xlpm.eq,$Y$12,_xlpm.sale,_xlpm.rrm*INDEX($Y$26:$Y$35,_xlpm.hp)*$Y$3*(1-$Y$17)-INDEX($AG$26:$AG$35,_xlpm.hp),_xlpm.n,_xlfn.SEQUENCE(_xlpm.hp+1,1,0),_xlpm.cfs,IF(_xlpm.n=0,-_xlpm.eq,IF(_xlpm.n&lt;_xlpm.hp,INDEX($AF$26:$AF$35,_xlpm.n),INDEX($AF$26:$AF$35,_xlpm.n)+_xlpm.sale)),IRR(_xlpm.cfs)),"NA")</f>
        <v>NA</v>
      </c>
      <c r="X11" s="842" t="s">
        <v>244</v>
      </c>
      <c r="Y11" s="842">
        <f>'PRO FORMA'!E56+'PRO FORMA'!E58</f>
        <v>0</v>
      </c>
    </row>
    <row r="12" spans="2:25">
      <c r="B12" s="913" t="e">
        <f>$Y$14+$C$42</f>
        <v>#VALUE!</v>
      </c>
      <c r="C12" s="908" t="str">
        <f ca="1">IFERROR(IRR(C50:OFFSET(C50,0,$Y$16)),"Neg")</f>
        <v>Neg</v>
      </c>
      <c r="D12" s="908" t="str">
        <f ca="1">IFERROR(IRR(C57:OFFSET(C57,0,$Y$16)),"Neg")</f>
        <v>Neg</v>
      </c>
      <c r="E12" s="908" t="str">
        <f ca="1">IFERROR(IRR(C64:OFFSET(C64,0,$Y$16)),"Neg")</f>
        <v>Neg</v>
      </c>
      <c r="F12" s="908" t="str">
        <f ca="1">IFERROR(IRR(C71:OFFSET(C71,0,$Y$16)),"Neg")</f>
        <v>Neg</v>
      </c>
      <c r="G12" s="908" t="str">
        <f ca="1">IFERROR(IRR(C78:OFFSET(C78,0,$Y$16)),"Neg")</f>
        <v>Neg</v>
      </c>
      <c r="H12" s="908" t="str">
        <f ca="1">IFERROR(IRR(C85:OFFSET(C85,0,$Y$16)),"Neg")</f>
        <v>Neg</v>
      </c>
      <c r="I12" s="917" t="str">
        <f ca="1">IFERROR(IRR(C92:OFFSET(C92,0,$Y$16)),"Neg")</f>
        <v>Neg</v>
      </c>
      <c r="K12" s="1009">
        <f>$Y$15+$C$43</f>
        <v>0.1</v>
      </c>
      <c r="L12" s="894" t="str" cm="1">
        <f t="array" ref="L12">IFERROR(_xlfn.LET(_xlpm.hp,L$18,_xlpm.rrm,$K23,_xlpm.eq,$Y$12,_xlpm.sale,_xlpm.rrm*INDEX($Y$26:$Y$35,_xlpm.hp)*$Y$3*(1-$Y$17)-INDEX($AG$26:$AG$35,_xlpm.hp),_xlpm.n,_xlfn.SEQUENCE(_xlpm.hp+1,1,0),_xlpm.cfs,IF(_xlpm.n=0,-_xlpm.eq,IF(_xlpm.n&lt;_xlpm.hp,INDEX($AF$26:$AF$35,_xlpm.n),INDEX($AF$26:$AF$35,_xlpm.n)+_xlpm.sale)),IRR(_xlpm.cfs)),"NA")</f>
        <v>NA</v>
      </c>
      <c r="M12" s="894" t="str" cm="1">
        <f t="array" ref="M12">IFERROR(_xlfn.LET(_xlpm.hp,M$18,_xlpm.rrm,$K23,_xlpm.eq,$Y$12,_xlpm.sale,_xlpm.rrm*INDEX($Y$26:$Y$35,_xlpm.hp)*$Y$3*(1-$Y$17)-INDEX($AG$26:$AG$35,_xlpm.hp),_xlpm.n,_xlfn.SEQUENCE(_xlpm.hp+1,1,0),_xlpm.cfs,IF(_xlpm.n=0,-_xlpm.eq,IF(_xlpm.n&lt;_xlpm.hp,INDEX($AF$26:$AF$35,_xlpm.n),INDEX($AF$26:$AF$35,_xlpm.n)+_xlpm.sale)),IRR(_xlpm.cfs)),"NA")</f>
        <v>NA</v>
      </c>
      <c r="N12" s="894" t="str" cm="1">
        <f t="array" ref="N12">IFERROR(_xlfn.LET(_xlpm.hp,N$18,_xlpm.rrm,$K23,_xlpm.eq,$Y$12,_xlpm.sale,_xlpm.rrm*INDEX($Y$26:$Y$35,_xlpm.hp)*$Y$3*(1-$Y$17)-INDEX($AG$26:$AG$35,_xlpm.hp),_xlpm.n,_xlfn.SEQUENCE(_xlpm.hp+1,1,0),_xlpm.cfs,IF(_xlpm.n=0,-_xlpm.eq,IF(_xlpm.n&lt;_xlpm.hp,INDEX($AF$26:$AF$35,_xlpm.n),INDEX($AF$26:$AF$35,_xlpm.n)+_xlpm.sale)),IRR(_xlpm.cfs)),"NA")</f>
        <v>NA</v>
      </c>
      <c r="O12" s="894" t="str" cm="1">
        <f t="array" ref="O12">IFERROR(_xlfn.LET(_xlpm.hp,O$18,_xlpm.rrm,$K23,_xlpm.eq,$Y$12,_xlpm.sale,_xlpm.rrm*INDEX($Y$26:$Y$35,_xlpm.hp)*$Y$3*(1-$Y$17)-INDEX($AG$26:$AG$35,_xlpm.hp),_xlpm.n,_xlfn.SEQUENCE(_xlpm.hp+1,1,0),_xlpm.cfs,IF(_xlpm.n=0,-_xlpm.eq,IF(_xlpm.n&lt;_xlpm.hp,INDEX($AF$26:$AF$35,_xlpm.n),INDEX($AF$26:$AF$35,_xlpm.n)+_xlpm.sale)),IRR(_xlpm.cfs)),"NA")</f>
        <v>NA</v>
      </c>
      <c r="P12" s="894" t="str" cm="1">
        <f t="array" ref="P12">IFERROR(_xlfn.LET(_xlpm.hp,P$18,_xlpm.rrm,$K23,_xlpm.eq,$Y$12,_xlpm.sale,_xlpm.rrm*INDEX($Y$26:$Y$35,_xlpm.hp)*$Y$3*(1-$Y$17)-INDEX($AG$26:$AG$35,_xlpm.hp),_xlpm.n,_xlfn.SEQUENCE(_xlpm.hp+1,1,0),_xlpm.cfs,IF(_xlpm.n=0,-_xlpm.eq,IF(_xlpm.n&lt;_xlpm.hp,INDEX($AF$26:$AF$35,_xlpm.n),INDEX($AF$26:$AF$35,_xlpm.n)+_xlpm.sale)),IRR(_xlpm.cfs)),"NA")</f>
        <v>NA</v>
      </c>
      <c r="Q12" s="894" t="str" cm="1">
        <f t="array" ref="Q12">IFERROR(_xlfn.LET(_xlpm.hp,Q$18,_xlpm.rrm,$K23,_xlpm.eq,$Y$12,_xlpm.sale,_xlpm.rrm*INDEX($Y$26:$Y$35,_xlpm.hp)*$Y$3*(1-$Y$17)-INDEX($AG$26:$AG$35,_xlpm.hp),_xlpm.n,_xlfn.SEQUENCE(_xlpm.hp+1,1,0),_xlpm.cfs,IF(_xlpm.n=0,-_xlpm.eq,IF(_xlpm.n&lt;_xlpm.hp,INDEX($AF$26:$AF$35,_xlpm.n),INDEX($AF$26:$AF$35,_xlpm.n)+_xlpm.sale)),IRR(_xlpm.cfs)),"NA")</f>
        <v>NA</v>
      </c>
      <c r="R12" s="894" t="str" cm="1">
        <f t="array" ref="R12">IFERROR(_xlfn.LET(_xlpm.hp,R$18,_xlpm.rrm,$K23,_xlpm.eq,$Y$12,_xlpm.sale,_xlpm.rrm*INDEX($Y$26:$Y$35,_xlpm.hp)*$Y$3*(1-$Y$17)-INDEX($AG$26:$AG$35,_xlpm.hp),_xlpm.n,_xlfn.SEQUENCE(_xlpm.hp+1,1,0),_xlpm.cfs,IF(_xlpm.n=0,-_xlpm.eq,IF(_xlpm.n&lt;_xlpm.hp,INDEX($AF$26:$AF$35,_xlpm.n),INDEX($AF$26:$AF$35,_xlpm.n)+_xlpm.sale)),IRR(_xlpm.cfs)),"NA")</f>
        <v>NA</v>
      </c>
      <c r="S12" s="894" t="str" cm="1">
        <f t="array" ref="S12">IFERROR(_xlfn.LET(_xlpm.hp,S$18,_xlpm.rrm,$K23,_xlpm.eq,$Y$12,_xlpm.sale,_xlpm.rrm*INDEX($Y$26:$Y$35,_xlpm.hp)*$Y$3*(1-$Y$17)-INDEX($AG$26:$AG$35,_xlpm.hp),_xlpm.n,_xlfn.SEQUENCE(_xlpm.hp+1,1,0),_xlpm.cfs,IF(_xlpm.n=0,-_xlpm.eq,IF(_xlpm.n&lt;_xlpm.hp,INDEX($AF$26:$AF$35,_xlpm.n),INDEX($AF$26:$AF$35,_xlpm.n)+_xlpm.sale)),IRR(_xlpm.cfs)),"NA")</f>
        <v>NA</v>
      </c>
      <c r="T12" s="894" t="str" cm="1">
        <f t="array" ref="T12">IFERROR(_xlfn.LET(_xlpm.hp,T$18,_xlpm.rrm,$K23,_xlpm.eq,$Y$12,_xlpm.sale,_xlpm.rrm*INDEX($Y$26:$Y$35,_xlpm.hp)*$Y$3*(1-$Y$17)-INDEX($AG$26:$AG$35,_xlpm.hp),_xlpm.n,_xlfn.SEQUENCE(_xlpm.hp+1,1,0),_xlpm.cfs,IF(_xlpm.n=0,-_xlpm.eq,IF(_xlpm.n&lt;_xlpm.hp,INDEX($AF$26:$AF$35,_xlpm.n),INDEX($AF$26:$AF$35,_xlpm.n)+_xlpm.sale)),IRR(_xlpm.cfs)),"NA")</f>
        <v>NA</v>
      </c>
      <c r="U12" s="899" t="str" cm="1">
        <f t="array" ref="U12">IFERROR(_xlfn.LET(_xlpm.hp,U$18,_xlpm.rrm,$K23,_xlpm.eq,$Y$12,_xlpm.sale,_xlpm.rrm*INDEX($Y$26:$Y$35,_xlpm.hp)*$Y$3*(1-$Y$17)-INDEX($AG$26:$AG$35,_xlpm.hp),_xlpm.n,_xlfn.SEQUENCE(_xlpm.hp+1,1,0),_xlpm.cfs,IF(_xlpm.n=0,-_xlpm.eq,IF(_xlpm.n&lt;_xlpm.hp,INDEX($AF$26:$AF$35,_xlpm.n),INDEX($AF$26:$AF$35,_xlpm.n)+_xlpm.sale)),IRR(_xlpm.cfs)),"NA")</f>
        <v>NA</v>
      </c>
      <c r="X12" s="842" t="s">
        <v>434</v>
      </c>
      <c r="Y12" s="842">
        <f>WATERFALL!D12</f>
        <v>0</v>
      </c>
    </row>
    <row r="13" spans="2:25">
      <c r="B13" s="913" t="e">
        <f>$Y$14+2*$C$42</f>
        <v>#VALUE!</v>
      </c>
      <c r="C13" s="908" t="str">
        <f ca="1">IFERROR(IRR(C51:OFFSET(C51,0,$Y$16)),"Neg")</f>
        <v>Neg</v>
      </c>
      <c r="D13" s="908" t="str">
        <f ca="1">IFERROR(IRR(C58:OFFSET(C58,0,$Y$16)),"Neg")</f>
        <v>Neg</v>
      </c>
      <c r="E13" s="908" t="str">
        <f ca="1">IFERROR(IRR(C65:OFFSET(C65,0,$Y$16)),"Neg")</f>
        <v>Neg</v>
      </c>
      <c r="F13" s="908" t="str">
        <f ca="1">IFERROR(IRR(C72:OFFSET(C72,0,$Y$16)),"Neg")</f>
        <v>Neg</v>
      </c>
      <c r="G13" s="908" t="str">
        <f ca="1">IFERROR(IRR(C79:OFFSET(C79,0,$Y$16)),"Neg")</f>
        <v>Neg</v>
      </c>
      <c r="H13" s="908" t="str">
        <f ca="1">IFERROR(IRR(C86:OFFSET(C86,0,$Y$16)),"Neg")</f>
        <v>Neg</v>
      </c>
      <c r="I13" s="917" t="str">
        <f ca="1">IFERROR(IRR(C93:OFFSET(C93,0,$Y$16)),"Neg")</f>
        <v>Neg</v>
      </c>
      <c r="K13" s="1009">
        <f>$Y$15+2*$C$43</f>
        <v>0.2</v>
      </c>
      <c r="L13" s="894" t="str" cm="1">
        <f t="array" ref="L13">IFERROR(_xlfn.LET(_xlpm.hp,L$18,_xlpm.rrm,$K24,_xlpm.eq,$Y$12,_xlpm.sale,_xlpm.rrm*INDEX($Y$26:$Y$35,_xlpm.hp)*$Y$3*(1-$Y$17)-INDEX($AG$26:$AG$35,_xlpm.hp),_xlpm.n,_xlfn.SEQUENCE(_xlpm.hp+1,1,0),_xlpm.cfs,IF(_xlpm.n=0,-_xlpm.eq,IF(_xlpm.n&lt;_xlpm.hp,INDEX($AF$26:$AF$35,_xlpm.n),INDEX($AF$26:$AF$35,_xlpm.n)+_xlpm.sale)),IRR(_xlpm.cfs)),"NA")</f>
        <v>NA</v>
      </c>
      <c r="M13" s="894" t="str" cm="1">
        <f t="array" ref="M13">IFERROR(_xlfn.LET(_xlpm.hp,M$18,_xlpm.rrm,$K24,_xlpm.eq,$Y$12,_xlpm.sale,_xlpm.rrm*INDEX($Y$26:$Y$35,_xlpm.hp)*$Y$3*(1-$Y$17)-INDEX($AG$26:$AG$35,_xlpm.hp),_xlpm.n,_xlfn.SEQUENCE(_xlpm.hp+1,1,0),_xlpm.cfs,IF(_xlpm.n=0,-_xlpm.eq,IF(_xlpm.n&lt;_xlpm.hp,INDEX($AF$26:$AF$35,_xlpm.n),INDEX($AF$26:$AF$35,_xlpm.n)+_xlpm.sale)),IRR(_xlpm.cfs)),"NA")</f>
        <v>NA</v>
      </c>
      <c r="N13" s="894" t="str" cm="1">
        <f t="array" ref="N13">IFERROR(_xlfn.LET(_xlpm.hp,N$18,_xlpm.rrm,$K24,_xlpm.eq,$Y$12,_xlpm.sale,_xlpm.rrm*INDEX($Y$26:$Y$35,_xlpm.hp)*$Y$3*(1-$Y$17)-INDEX($AG$26:$AG$35,_xlpm.hp),_xlpm.n,_xlfn.SEQUENCE(_xlpm.hp+1,1,0),_xlpm.cfs,IF(_xlpm.n=0,-_xlpm.eq,IF(_xlpm.n&lt;_xlpm.hp,INDEX($AF$26:$AF$35,_xlpm.n),INDEX($AF$26:$AF$35,_xlpm.n)+_xlpm.sale)),IRR(_xlpm.cfs)),"NA")</f>
        <v>NA</v>
      </c>
      <c r="O13" s="894" t="str" cm="1">
        <f t="array" ref="O13">IFERROR(_xlfn.LET(_xlpm.hp,O$18,_xlpm.rrm,$K24,_xlpm.eq,$Y$12,_xlpm.sale,_xlpm.rrm*INDEX($Y$26:$Y$35,_xlpm.hp)*$Y$3*(1-$Y$17)-INDEX($AG$26:$AG$35,_xlpm.hp),_xlpm.n,_xlfn.SEQUENCE(_xlpm.hp+1,1,0),_xlpm.cfs,IF(_xlpm.n=0,-_xlpm.eq,IF(_xlpm.n&lt;_xlpm.hp,INDEX($AF$26:$AF$35,_xlpm.n),INDEX($AF$26:$AF$35,_xlpm.n)+_xlpm.sale)),IRR(_xlpm.cfs)),"NA")</f>
        <v>NA</v>
      </c>
      <c r="P13" s="894" t="str" cm="1">
        <f t="array" ref="P13">IFERROR(_xlfn.LET(_xlpm.hp,P$18,_xlpm.rrm,$K24,_xlpm.eq,$Y$12,_xlpm.sale,_xlpm.rrm*INDEX($Y$26:$Y$35,_xlpm.hp)*$Y$3*(1-$Y$17)-INDEX($AG$26:$AG$35,_xlpm.hp),_xlpm.n,_xlfn.SEQUENCE(_xlpm.hp+1,1,0),_xlpm.cfs,IF(_xlpm.n=0,-_xlpm.eq,IF(_xlpm.n&lt;_xlpm.hp,INDEX($AF$26:$AF$35,_xlpm.n),INDEX($AF$26:$AF$35,_xlpm.n)+_xlpm.sale)),IRR(_xlpm.cfs)),"NA")</f>
        <v>NA</v>
      </c>
      <c r="Q13" s="894" t="str" cm="1">
        <f t="array" ref="Q13">IFERROR(_xlfn.LET(_xlpm.hp,Q$18,_xlpm.rrm,$K24,_xlpm.eq,$Y$12,_xlpm.sale,_xlpm.rrm*INDEX($Y$26:$Y$35,_xlpm.hp)*$Y$3*(1-$Y$17)-INDEX($AG$26:$AG$35,_xlpm.hp),_xlpm.n,_xlfn.SEQUENCE(_xlpm.hp+1,1,0),_xlpm.cfs,IF(_xlpm.n=0,-_xlpm.eq,IF(_xlpm.n&lt;_xlpm.hp,INDEX($AF$26:$AF$35,_xlpm.n),INDEX($AF$26:$AF$35,_xlpm.n)+_xlpm.sale)),IRR(_xlpm.cfs)),"NA")</f>
        <v>NA</v>
      </c>
      <c r="R13" s="894" t="str" cm="1">
        <f t="array" ref="R13">IFERROR(_xlfn.LET(_xlpm.hp,R$18,_xlpm.rrm,$K24,_xlpm.eq,$Y$12,_xlpm.sale,_xlpm.rrm*INDEX($Y$26:$Y$35,_xlpm.hp)*$Y$3*(1-$Y$17)-INDEX($AG$26:$AG$35,_xlpm.hp),_xlpm.n,_xlfn.SEQUENCE(_xlpm.hp+1,1,0),_xlpm.cfs,IF(_xlpm.n=0,-_xlpm.eq,IF(_xlpm.n&lt;_xlpm.hp,INDEX($AF$26:$AF$35,_xlpm.n),INDEX($AF$26:$AF$35,_xlpm.n)+_xlpm.sale)),IRR(_xlpm.cfs)),"NA")</f>
        <v>NA</v>
      </c>
      <c r="S13" s="894" t="str" cm="1">
        <f t="array" ref="S13">IFERROR(_xlfn.LET(_xlpm.hp,S$18,_xlpm.rrm,$K24,_xlpm.eq,$Y$12,_xlpm.sale,_xlpm.rrm*INDEX($Y$26:$Y$35,_xlpm.hp)*$Y$3*(1-$Y$17)-INDEX($AG$26:$AG$35,_xlpm.hp),_xlpm.n,_xlfn.SEQUENCE(_xlpm.hp+1,1,0),_xlpm.cfs,IF(_xlpm.n=0,-_xlpm.eq,IF(_xlpm.n&lt;_xlpm.hp,INDEX($AF$26:$AF$35,_xlpm.n),INDEX($AF$26:$AF$35,_xlpm.n)+_xlpm.sale)),IRR(_xlpm.cfs)),"NA")</f>
        <v>NA</v>
      </c>
      <c r="T13" s="894" t="str" cm="1">
        <f t="array" ref="T13">IFERROR(_xlfn.LET(_xlpm.hp,T$18,_xlpm.rrm,$K24,_xlpm.eq,$Y$12,_xlpm.sale,_xlpm.rrm*INDEX($Y$26:$Y$35,_xlpm.hp)*$Y$3*(1-$Y$17)-INDEX($AG$26:$AG$35,_xlpm.hp),_xlpm.n,_xlfn.SEQUENCE(_xlpm.hp+1,1,0),_xlpm.cfs,IF(_xlpm.n=0,-_xlpm.eq,IF(_xlpm.n&lt;_xlpm.hp,INDEX($AF$26:$AF$35,_xlpm.n),INDEX($AF$26:$AF$35,_xlpm.n)+_xlpm.sale)),IRR(_xlpm.cfs)),"NA")</f>
        <v>NA</v>
      </c>
      <c r="U13" s="899" t="str" cm="1">
        <f t="array" ref="U13">IFERROR(_xlfn.LET(_xlpm.hp,U$18,_xlpm.rrm,$K24,_xlpm.eq,$Y$12,_xlpm.sale,_xlpm.rrm*INDEX($Y$26:$Y$35,_xlpm.hp)*$Y$3*(1-$Y$17)-INDEX($AG$26:$AG$35,_xlpm.hp),_xlpm.n,_xlfn.SEQUENCE(_xlpm.hp+1,1,0),_xlpm.cfs,IF(_xlpm.n=0,-_xlpm.eq,IF(_xlpm.n&lt;_xlpm.hp,INDEX($AF$26:$AF$35,_xlpm.n),INDEX($AF$26:$AF$35,_xlpm.n)+_xlpm.sale)),IRR(_xlpm.cfs)),"NA")</f>
        <v>NA</v>
      </c>
      <c r="X13" s="842" t="s">
        <v>553</v>
      </c>
      <c r="Y13" s="842" t="e" cm="1">
        <f t="array" ref="Y13">INDEX(PROJECTIONS!$J$6:$AB$6,1,($Y$16-1)*2+1)</f>
        <v>#VALUE!</v>
      </c>
    </row>
    <row r="14" spans="2:25">
      <c r="B14" s="915" t="e">
        <f>$Y$14+3*$C$42</f>
        <v>#VALUE!</v>
      </c>
      <c r="C14" s="912" t="str">
        <f ca="1">IFERROR(IRR(C52:OFFSET(C52,0,$Y$16)),"Neg")</f>
        <v>Neg</v>
      </c>
      <c r="D14" s="912" t="str">
        <f ca="1">IFERROR(IRR(C59:OFFSET(C59,0,$Y$16)),"Neg")</f>
        <v>Neg</v>
      </c>
      <c r="E14" s="912" t="str">
        <f ca="1">IFERROR(IRR(C66:OFFSET(C66,0,$Y$16)),"Neg")</f>
        <v>Neg</v>
      </c>
      <c r="F14" s="912" t="str">
        <f ca="1">IFERROR(IRR(C73:OFFSET(C73,0,$Y$16)),"Neg")</f>
        <v>Neg</v>
      </c>
      <c r="G14" s="912" t="str">
        <f ca="1">IFERROR(IRR(C80:OFFSET(C80,0,$Y$16)),"Neg")</f>
        <v>Neg</v>
      </c>
      <c r="H14" s="912" t="str">
        <f ca="1">IFERROR(IRR(C87:OFFSET(C87,0,$Y$16)),"Neg")</f>
        <v>Neg</v>
      </c>
      <c r="I14" s="918" t="str">
        <f ca="1">IFERROR(IRR(C94:OFFSET(C94,0,$Y$16)),"Neg")</f>
        <v>Neg</v>
      </c>
      <c r="K14" s="1011">
        <f>$Y$15+3*$C$43</f>
        <v>0.30000000000000004</v>
      </c>
      <c r="L14" s="896" t="str" cm="1">
        <f t="array" ref="L14">IFERROR(_xlfn.LET(_xlpm.hp,L$18,_xlpm.rrm,$K25,_xlpm.eq,$Y$12,_xlpm.sale,_xlpm.rrm*INDEX($Y$26:$Y$35,_xlpm.hp)*$Y$3*(1-$Y$17)-INDEX($AG$26:$AG$35,_xlpm.hp),_xlpm.n,_xlfn.SEQUENCE(_xlpm.hp+1,1,0),_xlpm.cfs,IF(_xlpm.n=0,-_xlpm.eq,IF(_xlpm.n&lt;_xlpm.hp,INDEX($AF$26:$AF$35,_xlpm.n),INDEX($AF$26:$AF$35,_xlpm.n)+_xlpm.sale)),IRR(_xlpm.cfs)),"NA")</f>
        <v>NA</v>
      </c>
      <c r="M14" s="896" t="str" cm="1">
        <f t="array" ref="M14">IFERROR(_xlfn.LET(_xlpm.hp,M$18,_xlpm.rrm,$K25,_xlpm.eq,$Y$12,_xlpm.sale,_xlpm.rrm*INDEX($Y$26:$Y$35,_xlpm.hp)*$Y$3*(1-$Y$17)-INDEX($AG$26:$AG$35,_xlpm.hp),_xlpm.n,_xlfn.SEQUENCE(_xlpm.hp+1,1,0),_xlpm.cfs,IF(_xlpm.n=0,-_xlpm.eq,IF(_xlpm.n&lt;_xlpm.hp,INDEX($AF$26:$AF$35,_xlpm.n),INDEX($AF$26:$AF$35,_xlpm.n)+_xlpm.sale)),IRR(_xlpm.cfs)),"NA")</f>
        <v>NA</v>
      </c>
      <c r="N14" s="896" t="str" cm="1">
        <f t="array" ref="N14">IFERROR(_xlfn.LET(_xlpm.hp,N$18,_xlpm.rrm,$K25,_xlpm.eq,$Y$12,_xlpm.sale,_xlpm.rrm*INDEX($Y$26:$Y$35,_xlpm.hp)*$Y$3*(1-$Y$17)-INDEX($AG$26:$AG$35,_xlpm.hp),_xlpm.n,_xlfn.SEQUENCE(_xlpm.hp+1,1,0),_xlpm.cfs,IF(_xlpm.n=0,-_xlpm.eq,IF(_xlpm.n&lt;_xlpm.hp,INDEX($AF$26:$AF$35,_xlpm.n),INDEX($AF$26:$AF$35,_xlpm.n)+_xlpm.sale)),IRR(_xlpm.cfs)),"NA")</f>
        <v>NA</v>
      </c>
      <c r="O14" s="896" t="str" cm="1">
        <f t="array" ref="O14">IFERROR(_xlfn.LET(_xlpm.hp,O$18,_xlpm.rrm,$K25,_xlpm.eq,$Y$12,_xlpm.sale,_xlpm.rrm*INDEX($Y$26:$Y$35,_xlpm.hp)*$Y$3*(1-$Y$17)-INDEX($AG$26:$AG$35,_xlpm.hp),_xlpm.n,_xlfn.SEQUENCE(_xlpm.hp+1,1,0),_xlpm.cfs,IF(_xlpm.n=0,-_xlpm.eq,IF(_xlpm.n&lt;_xlpm.hp,INDEX($AF$26:$AF$35,_xlpm.n),INDEX($AF$26:$AF$35,_xlpm.n)+_xlpm.sale)),IRR(_xlpm.cfs)),"NA")</f>
        <v>NA</v>
      </c>
      <c r="P14" s="896" t="str" cm="1">
        <f t="array" ref="P14">IFERROR(_xlfn.LET(_xlpm.hp,P$18,_xlpm.rrm,$K25,_xlpm.eq,$Y$12,_xlpm.sale,_xlpm.rrm*INDEX($Y$26:$Y$35,_xlpm.hp)*$Y$3*(1-$Y$17)-INDEX($AG$26:$AG$35,_xlpm.hp),_xlpm.n,_xlfn.SEQUENCE(_xlpm.hp+1,1,0),_xlpm.cfs,IF(_xlpm.n=0,-_xlpm.eq,IF(_xlpm.n&lt;_xlpm.hp,INDEX($AF$26:$AF$35,_xlpm.n),INDEX($AF$26:$AF$35,_xlpm.n)+_xlpm.sale)),IRR(_xlpm.cfs)),"NA")</f>
        <v>NA</v>
      </c>
      <c r="Q14" s="896" t="str" cm="1">
        <f t="array" ref="Q14">IFERROR(_xlfn.LET(_xlpm.hp,Q$18,_xlpm.rrm,$K25,_xlpm.eq,$Y$12,_xlpm.sale,_xlpm.rrm*INDEX($Y$26:$Y$35,_xlpm.hp)*$Y$3*(1-$Y$17)-INDEX($AG$26:$AG$35,_xlpm.hp),_xlpm.n,_xlfn.SEQUENCE(_xlpm.hp+1,1,0),_xlpm.cfs,IF(_xlpm.n=0,-_xlpm.eq,IF(_xlpm.n&lt;_xlpm.hp,INDEX($AF$26:$AF$35,_xlpm.n),INDEX($AF$26:$AF$35,_xlpm.n)+_xlpm.sale)),IRR(_xlpm.cfs)),"NA")</f>
        <v>NA</v>
      </c>
      <c r="R14" s="896" t="str" cm="1">
        <f t="array" ref="R14">IFERROR(_xlfn.LET(_xlpm.hp,R$18,_xlpm.rrm,$K25,_xlpm.eq,$Y$12,_xlpm.sale,_xlpm.rrm*INDEX($Y$26:$Y$35,_xlpm.hp)*$Y$3*(1-$Y$17)-INDEX($AG$26:$AG$35,_xlpm.hp),_xlpm.n,_xlfn.SEQUENCE(_xlpm.hp+1,1,0),_xlpm.cfs,IF(_xlpm.n=0,-_xlpm.eq,IF(_xlpm.n&lt;_xlpm.hp,INDEX($AF$26:$AF$35,_xlpm.n),INDEX($AF$26:$AF$35,_xlpm.n)+_xlpm.sale)),IRR(_xlpm.cfs)),"NA")</f>
        <v>NA</v>
      </c>
      <c r="S14" s="896" t="str" cm="1">
        <f t="array" ref="S14">IFERROR(_xlfn.LET(_xlpm.hp,S$18,_xlpm.rrm,$K25,_xlpm.eq,$Y$12,_xlpm.sale,_xlpm.rrm*INDEX($Y$26:$Y$35,_xlpm.hp)*$Y$3*(1-$Y$17)-INDEX($AG$26:$AG$35,_xlpm.hp),_xlpm.n,_xlfn.SEQUENCE(_xlpm.hp+1,1,0),_xlpm.cfs,IF(_xlpm.n=0,-_xlpm.eq,IF(_xlpm.n&lt;_xlpm.hp,INDEX($AF$26:$AF$35,_xlpm.n),INDEX($AF$26:$AF$35,_xlpm.n)+_xlpm.sale)),IRR(_xlpm.cfs)),"NA")</f>
        <v>NA</v>
      </c>
      <c r="T14" s="896" t="str" cm="1">
        <f t="array" ref="T14">IFERROR(_xlfn.LET(_xlpm.hp,T$18,_xlpm.rrm,$K25,_xlpm.eq,$Y$12,_xlpm.sale,_xlpm.rrm*INDEX($Y$26:$Y$35,_xlpm.hp)*$Y$3*(1-$Y$17)-INDEX($AG$26:$AG$35,_xlpm.hp),_xlpm.n,_xlfn.SEQUENCE(_xlpm.hp+1,1,0),_xlpm.cfs,IF(_xlpm.n=0,-_xlpm.eq,IF(_xlpm.n&lt;_xlpm.hp,INDEX($AF$26:$AF$35,_xlpm.n),INDEX($AF$26:$AF$35,_xlpm.n)+_xlpm.sale)),IRR(_xlpm.cfs)),"NA")</f>
        <v>NA</v>
      </c>
      <c r="U14" s="901" t="str" cm="1">
        <f t="array" ref="U14">IFERROR(_xlfn.LET(_xlpm.hp,U$18,_xlpm.rrm,$K25,_xlpm.eq,$Y$12,_xlpm.sale,_xlpm.rrm*INDEX($Y$26:$Y$35,_xlpm.hp)*$Y$3*(1-$Y$17)-INDEX($AG$26:$AG$35,_xlpm.hp),_xlpm.n,_xlfn.SEQUENCE(_xlpm.hp+1,1,0),_xlpm.cfs,IF(_xlpm.n=0,-_xlpm.eq,IF(_xlpm.n&lt;_xlpm.hp,INDEX($AF$26:$AF$35,_xlpm.n),INDEX($AF$26:$AF$35,_xlpm.n)+_xlpm.sale)),IRR(_xlpm.cfs)),"NA")</f>
        <v>NA</v>
      </c>
      <c r="X14" s="842" t="s">
        <v>554</v>
      </c>
      <c r="Y14" s="842" t="e" cm="1">
        <f t="array" ref="Y14">INDEX(PROJECTIONS!$J$9:$AB$9,1,($Y$16-1)*2+1)</f>
        <v>#VALUE!</v>
      </c>
    </row>
    <row r="15" spans="2:25" ht="8" customHeight="1">
      <c r="B15" s="841"/>
      <c r="C15" s="841"/>
      <c r="D15" s="841"/>
      <c r="E15" s="841"/>
      <c r="F15" s="841"/>
      <c r="G15" s="841"/>
      <c r="H15" s="841"/>
      <c r="I15" s="841"/>
      <c r="K15" s="841"/>
      <c r="L15" s="841"/>
      <c r="M15" s="841"/>
      <c r="N15" s="841"/>
      <c r="O15" s="841"/>
      <c r="P15" s="841"/>
      <c r="Q15" s="841"/>
      <c r="R15" s="841"/>
      <c r="X15" s="842" t="s">
        <v>555</v>
      </c>
      <c r="Y15" s="842">
        <f>INPUTS!I11</f>
        <v>0</v>
      </c>
    </row>
    <row r="16" spans="2:25" ht="8" customHeight="1">
      <c r="B16" s="841"/>
      <c r="C16" s="841"/>
      <c r="D16" s="841"/>
      <c r="E16" s="841"/>
      <c r="F16" s="841"/>
      <c r="G16" s="841"/>
      <c r="H16" s="841"/>
      <c r="I16" s="841"/>
      <c r="K16" s="841"/>
      <c r="L16" s="841"/>
      <c r="M16" s="841"/>
      <c r="N16" s="841"/>
      <c r="O16" s="841"/>
      <c r="P16" s="841"/>
      <c r="Q16" s="841"/>
      <c r="R16" s="841"/>
      <c r="X16" s="842" t="s">
        <v>178</v>
      </c>
      <c r="Y16" s="842">
        <f>INPUTS!I13</f>
        <v>0</v>
      </c>
    </row>
    <row r="17" spans="2:33">
      <c r="B17" s="1201" t="s">
        <v>634</v>
      </c>
      <c r="C17" s="1207"/>
      <c r="D17" s="1207"/>
      <c r="E17" s="1207"/>
      <c r="F17" s="1207"/>
      <c r="G17" s="1207"/>
      <c r="H17" s="1207"/>
      <c r="I17" s="1207"/>
      <c r="K17" s="1201" t="s">
        <v>635</v>
      </c>
      <c r="L17" s="1201"/>
      <c r="M17" s="1201"/>
      <c r="N17" s="1201"/>
      <c r="O17" s="1201"/>
      <c r="P17" s="1201"/>
      <c r="Q17" s="1201"/>
      <c r="R17" s="1201"/>
      <c r="S17" s="893"/>
      <c r="T17" s="893"/>
      <c r="U17" s="893"/>
      <c r="X17" s="842" t="s">
        <v>556</v>
      </c>
      <c r="Y17" s="891">
        <f>INPUTS!I12+INPUTS!I14</f>
        <v>0</v>
      </c>
    </row>
    <row r="18" spans="2:33">
      <c r="B18" s="904" t="e">
        <f>WATERFALL!F63</f>
        <v>#DIV/0!</v>
      </c>
      <c r="C18" s="910" t="e">
        <f>$Y$13-3*$C$41</f>
        <v>#VALUE!</v>
      </c>
      <c r="D18" s="910" t="e">
        <f>$Y$13-2*$C$41</f>
        <v>#VALUE!</v>
      </c>
      <c r="E18" s="910" t="e">
        <f>$Y$13-$C$41</f>
        <v>#VALUE!</v>
      </c>
      <c r="F18" s="911" t="e">
        <f>$Y$13</f>
        <v>#VALUE!</v>
      </c>
      <c r="G18" s="910" t="e">
        <f>$Y$13+$C$41</f>
        <v>#VALUE!</v>
      </c>
      <c r="H18" s="910" t="e">
        <f>$Y$13+2*$C$41</f>
        <v>#VALUE!</v>
      </c>
      <c r="I18" s="916" t="e">
        <f>$Y$13+3*$C$41</f>
        <v>#VALUE!</v>
      </c>
      <c r="K18" s="904" t="e">
        <f>WATERFALL!F63</f>
        <v>#DIV/0!</v>
      </c>
      <c r="L18" s="895">
        <v>1</v>
      </c>
      <c r="M18" s="895">
        <v>2</v>
      </c>
      <c r="N18" s="895">
        <v>3</v>
      </c>
      <c r="O18" s="895">
        <v>4</v>
      </c>
      <c r="P18" s="895">
        <v>5</v>
      </c>
      <c r="Q18" s="895">
        <v>6</v>
      </c>
      <c r="R18" s="895">
        <v>7</v>
      </c>
      <c r="S18" s="895">
        <v>8</v>
      </c>
      <c r="T18" s="895">
        <v>9</v>
      </c>
      <c r="U18" s="898">
        <v>10</v>
      </c>
      <c r="X18" s="842" t="s">
        <v>557</v>
      </c>
      <c r="Y18" s="842" t="e">
        <f>'PRO FORMA'!E37/'PRO FORMA'!E17</f>
        <v>#DIV/0!</v>
      </c>
    </row>
    <row r="19" spans="2:33">
      <c r="B19" s="913" t="e">
        <f>$Y$14-3*$C$42</f>
        <v>#VALUE!</v>
      </c>
      <c r="C19" s="919">
        <f t="shared" ref="C19:C25" si="0">IFERROR(SUMIF(C46:M46,"&gt;0")/-SUMIF(C46:M46,"&lt;0"),0)</f>
        <v>0</v>
      </c>
      <c r="D19" s="919">
        <f t="shared" ref="D19:D25" si="1">IFERROR(SUMIF(C53:M53,"&gt;0")/-SUMIF(C53:M53,"&lt;0"),0)</f>
        <v>0</v>
      </c>
      <c r="E19" s="919">
        <f t="shared" ref="E19:E25" si="2">IFERROR(SUMIF(C60:M60,"&gt;0")/-SUMIF(C60:M60,"&lt;0"),0)</f>
        <v>0</v>
      </c>
      <c r="F19" s="919">
        <f t="shared" ref="F19:F25" si="3">IFERROR(SUMIF(C67:M67,"&gt;0")/-SUMIF(C67:M67,"&lt;0"),0)</f>
        <v>0</v>
      </c>
      <c r="G19" s="919">
        <f t="shared" ref="G19:G25" si="4">IFERROR(SUMIF(C74:M74,"&gt;0")/-SUMIF(C74:M74,"&lt;0"),0)</f>
        <v>0</v>
      </c>
      <c r="H19" s="919">
        <f t="shared" ref="H19:H25" si="5">IFERROR(SUMIF(C81:M81,"&gt;0")/-SUMIF(C81:M81,"&lt;0"),0)</f>
        <v>0</v>
      </c>
      <c r="I19" s="922">
        <f t="shared" ref="I19:I25" si="6">IFERROR(SUMIF(C88:M88,"&gt;0")/-SUMIF(C88:M88,"&lt;0"),0)</f>
        <v>0</v>
      </c>
      <c r="K19" s="1009">
        <f>$Y$15-3*$C$43</f>
        <v>-0.30000000000000004</v>
      </c>
      <c r="L19" s="902" cm="1">
        <f t="array" aca="1" ref="L19" ca="1">IFERROR((SUM(OFFSET($AF$26,0,0,L$18,1))+$K19*INDEX($Y$26:$Y$35,L$18)*$Y$3*(1-$Y$17)-INDEX($AG$26:$AG$35,L$18))/$Y$12,0)</f>
        <v>0</v>
      </c>
      <c r="M19" s="902" cm="1">
        <f t="array" aca="1" ref="M19" ca="1">IFERROR((SUM(OFFSET($AF$26,0,0,M$18,1))+$K19*INDEX($Y$26:$Y$35,M$18)*$Y$3*(1-$Y$17)-INDEX($AG$26:$AG$35,M$18))/$Y$12,0)</f>
        <v>0</v>
      </c>
      <c r="N19" s="902" cm="1">
        <f t="array" aca="1" ref="N19" ca="1">IFERROR((SUM(OFFSET($AF$26,0,0,N$18,1))+$K19*INDEX($Y$26:$Y$35,N$18)*$Y$3*(1-$Y$17)-INDEX($AG$26:$AG$35,N$18))/$Y$12,0)</f>
        <v>0</v>
      </c>
      <c r="O19" s="902" cm="1">
        <f t="array" aca="1" ref="O19" ca="1">IFERROR((SUM(OFFSET($AF$26,0,0,O$18,1))+$K19*INDEX($Y$26:$Y$35,O$18)*$Y$3*(1-$Y$17)-INDEX($AG$26:$AG$35,O$18))/$Y$12,0)</f>
        <v>0</v>
      </c>
      <c r="P19" s="902" cm="1">
        <f t="array" aca="1" ref="P19" ca="1">IFERROR((SUM(OFFSET($AF$26,0,0,P$18,1))+$K19*INDEX($Y$26:$Y$35,P$18)*$Y$3*(1-$Y$17)-INDEX($AG$26:$AG$35,P$18))/$Y$12,0)</f>
        <v>0</v>
      </c>
      <c r="Q19" s="902" cm="1">
        <f t="array" aca="1" ref="Q19" ca="1">IFERROR((SUM(OFFSET($AF$26,0,0,Q$18,1))+$K19*INDEX($Y$26:$Y$35,Q$18)*$Y$3*(1-$Y$17)-INDEX($AG$26:$AG$35,Q$18))/$Y$12,0)</f>
        <v>0</v>
      </c>
      <c r="R19" s="902" cm="1">
        <f t="array" aca="1" ref="R19" ca="1">IFERROR((SUM(OFFSET($AF$26,0,0,R$18,1))+$K19*INDEX($Y$26:$Y$35,R$18)*$Y$3*(1-$Y$17)-INDEX($AG$26:$AG$35,R$18))/$Y$12,0)</f>
        <v>0</v>
      </c>
      <c r="S19" s="902" cm="1">
        <f t="array" aca="1" ref="S19" ca="1">IFERROR((SUM(OFFSET($AF$26,0,0,S$18,1))+$K19*INDEX($Y$26:$Y$35,S$18)*$Y$3*(1-$Y$17)-INDEX($AG$26:$AG$35,S$18))/$Y$12,0)</f>
        <v>0</v>
      </c>
      <c r="T19" s="902" cm="1">
        <f t="array" aca="1" ref="T19" ca="1">IFERROR((SUM(OFFSET($AF$26,0,0,T$18,1))+$K19*INDEX($Y$26:$Y$35,T$18)*$Y$3*(1-$Y$17)-INDEX($AG$26:$AG$35,T$18))/$Y$12,0)</f>
        <v>0</v>
      </c>
      <c r="U19" s="905" cm="1">
        <f t="array" aca="1" ref="U19" ca="1">IFERROR((SUM(OFFSET($AF$26,0,0,U$18,1))+$K19*INDEX($Y$26:$Y$35,U$18)*$Y$3*(1-$Y$17)-INDEX($AG$26:$AG$35,U$18))/$Y$12,0)</f>
        <v>0</v>
      </c>
      <c r="X19" s="842" t="s">
        <v>558</v>
      </c>
      <c r="Y19" s="842" t="e">
        <f>'PRO FORMA'!E35/'PRO FORMA'!E22</f>
        <v>#DIV/0!</v>
      </c>
    </row>
    <row r="20" spans="2:33">
      <c r="B20" s="913" t="e">
        <f>$Y$14-2*$C$42</f>
        <v>#VALUE!</v>
      </c>
      <c r="C20" s="919">
        <f t="shared" si="0"/>
        <v>0</v>
      </c>
      <c r="D20" s="919">
        <f t="shared" si="1"/>
        <v>0</v>
      </c>
      <c r="E20" s="919">
        <f t="shared" si="2"/>
        <v>0</v>
      </c>
      <c r="F20" s="919">
        <f t="shared" si="3"/>
        <v>0</v>
      </c>
      <c r="G20" s="919">
        <f t="shared" si="4"/>
        <v>0</v>
      </c>
      <c r="H20" s="919">
        <f t="shared" si="5"/>
        <v>0</v>
      </c>
      <c r="I20" s="922">
        <f t="shared" si="6"/>
        <v>0</v>
      </c>
      <c r="K20" s="1009">
        <f>$Y$15-2*$C$43</f>
        <v>-0.2</v>
      </c>
      <c r="L20" s="902" cm="1">
        <f t="array" aca="1" ref="L20" ca="1">IFERROR((SUM(OFFSET($AF$26,0,0,L$18,1))+$K20*INDEX($Y$26:$Y$35,L$18)*$Y$3*(1-$Y$17)-INDEX($AG$26:$AG$35,L$18))/$Y$12,0)</f>
        <v>0</v>
      </c>
      <c r="M20" s="902" cm="1">
        <f t="array" aca="1" ref="M20" ca="1">IFERROR((SUM(OFFSET($AF$26,0,0,M$18,1))+$K20*INDEX($Y$26:$Y$35,M$18)*$Y$3*(1-$Y$17)-INDEX($AG$26:$AG$35,M$18))/$Y$12,0)</f>
        <v>0</v>
      </c>
      <c r="N20" s="902" cm="1">
        <f t="array" aca="1" ref="N20" ca="1">IFERROR((SUM(OFFSET($AF$26,0,0,N$18,1))+$K20*INDEX($Y$26:$Y$35,N$18)*$Y$3*(1-$Y$17)-INDEX($AG$26:$AG$35,N$18))/$Y$12,0)</f>
        <v>0</v>
      </c>
      <c r="O20" s="902" cm="1">
        <f t="array" aca="1" ref="O20" ca="1">IFERROR((SUM(OFFSET($AF$26,0,0,O$18,1))+$K20*INDEX($Y$26:$Y$35,O$18)*$Y$3*(1-$Y$17)-INDEX($AG$26:$AG$35,O$18))/$Y$12,0)</f>
        <v>0</v>
      </c>
      <c r="P20" s="902" cm="1">
        <f t="array" aca="1" ref="P20" ca="1">IFERROR((SUM(OFFSET($AF$26,0,0,P$18,1))+$K20*INDEX($Y$26:$Y$35,P$18)*$Y$3*(1-$Y$17)-INDEX($AG$26:$AG$35,P$18))/$Y$12,0)</f>
        <v>0</v>
      </c>
      <c r="Q20" s="902" cm="1">
        <f t="array" aca="1" ref="Q20" ca="1">IFERROR((SUM(OFFSET($AF$26,0,0,Q$18,1))+$K20*INDEX($Y$26:$Y$35,Q$18)*$Y$3*(1-$Y$17)-INDEX($AG$26:$AG$35,Q$18))/$Y$12,0)</f>
        <v>0</v>
      </c>
      <c r="R20" s="902" cm="1">
        <f t="array" aca="1" ref="R20" ca="1">IFERROR((SUM(OFFSET($AF$26,0,0,R$18,1))+$K20*INDEX($Y$26:$Y$35,R$18)*$Y$3*(1-$Y$17)-INDEX($AG$26:$AG$35,R$18))/$Y$12,0)</f>
        <v>0</v>
      </c>
      <c r="S20" s="902" cm="1">
        <f t="array" aca="1" ref="S20" ca="1">IFERROR((SUM(OFFSET($AF$26,0,0,S$18,1))+$K20*INDEX($Y$26:$Y$35,S$18)*$Y$3*(1-$Y$17)-INDEX($AG$26:$AG$35,S$18))/$Y$12,0)</f>
        <v>0</v>
      </c>
      <c r="T20" s="902" cm="1">
        <f t="array" aca="1" ref="T20" ca="1">IFERROR((SUM(OFFSET($AF$26,0,0,T$18,1))+$K20*INDEX($Y$26:$Y$35,T$18)*$Y$3*(1-$Y$17)-INDEX($AG$26:$AG$35,T$18))/$Y$12,0)</f>
        <v>0</v>
      </c>
      <c r="U20" s="905" cm="1">
        <f t="array" aca="1" ref="U20" ca="1">IFERROR((SUM(OFFSET($AF$26,0,0,U$18,1))+$K20*INDEX($Y$26:$Y$35,U$18)*$Y$3*(1-$Y$17)-INDEX($AG$26:$AG$35,U$18))/$Y$12,0)</f>
        <v>0</v>
      </c>
      <c r="X20" s="842" t="s">
        <v>559</v>
      </c>
      <c r="Y20" s="842" t="e">
        <f>('PRO FORMA'!E30+'PRO FORMA'!E37+'PRO FORMA'!E35)/'PRO FORMA'!E22</f>
        <v>#DIV/0!</v>
      </c>
    </row>
    <row r="21" spans="2:33">
      <c r="B21" s="913" t="e">
        <f>$Y$14-$C$42</f>
        <v>#VALUE!</v>
      </c>
      <c r="C21" s="919">
        <f t="shared" si="0"/>
        <v>0</v>
      </c>
      <c r="D21" s="919">
        <f t="shared" si="1"/>
        <v>0</v>
      </c>
      <c r="E21" s="919">
        <f t="shared" si="2"/>
        <v>0</v>
      </c>
      <c r="F21" s="919">
        <f t="shared" si="3"/>
        <v>0</v>
      </c>
      <c r="G21" s="919">
        <f t="shared" si="4"/>
        <v>0</v>
      </c>
      <c r="H21" s="919">
        <f t="shared" si="5"/>
        <v>0</v>
      </c>
      <c r="I21" s="922">
        <f t="shared" si="6"/>
        <v>0</v>
      </c>
      <c r="K21" s="1009">
        <f>$Y$15-$C$43</f>
        <v>-0.1</v>
      </c>
      <c r="L21" s="902" cm="1">
        <f t="array" aca="1" ref="L21" ca="1">IFERROR((SUM(OFFSET($AF$26,0,0,L$18,1))+$K21*INDEX($Y$26:$Y$35,L$18)*$Y$3*(1-$Y$17)-INDEX($AG$26:$AG$35,L$18))/$Y$12,0)</f>
        <v>0</v>
      </c>
      <c r="M21" s="902" cm="1">
        <f t="array" aca="1" ref="M21" ca="1">IFERROR((SUM(OFFSET($AF$26,0,0,M$18,1))+$K21*INDEX($Y$26:$Y$35,M$18)*$Y$3*(1-$Y$17)-INDEX($AG$26:$AG$35,M$18))/$Y$12,0)</f>
        <v>0</v>
      </c>
      <c r="N21" s="902" cm="1">
        <f t="array" aca="1" ref="N21" ca="1">IFERROR((SUM(OFFSET($AF$26,0,0,N$18,1))+$K21*INDEX($Y$26:$Y$35,N$18)*$Y$3*(1-$Y$17)-INDEX($AG$26:$AG$35,N$18))/$Y$12,0)</f>
        <v>0</v>
      </c>
      <c r="O21" s="902" cm="1">
        <f t="array" aca="1" ref="O21" ca="1">IFERROR((SUM(OFFSET($AF$26,0,0,O$18,1))+$K21*INDEX($Y$26:$Y$35,O$18)*$Y$3*(1-$Y$17)-INDEX($AG$26:$AG$35,O$18))/$Y$12,0)</f>
        <v>0</v>
      </c>
      <c r="P21" s="902" cm="1">
        <f t="array" aca="1" ref="P21" ca="1">IFERROR((SUM(OFFSET($AF$26,0,0,P$18,1))+$K21*INDEX($Y$26:$Y$35,P$18)*$Y$3*(1-$Y$17)-INDEX($AG$26:$AG$35,P$18))/$Y$12,0)</f>
        <v>0</v>
      </c>
      <c r="Q21" s="902" cm="1">
        <f t="array" aca="1" ref="Q21" ca="1">IFERROR((SUM(OFFSET($AF$26,0,0,Q$18,1))+$K21*INDEX($Y$26:$Y$35,Q$18)*$Y$3*(1-$Y$17)-INDEX($AG$26:$AG$35,Q$18))/$Y$12,0)</f>
        <v>0</v>
      </c>
      <c r="R21" s="902" cm="1">
        <f t="array" aca="1" ref="R21" ca="1">IFERROR((SUM(OFFSET($AF$26,0,0,R$18,1))+$K21*INDEX($Y$26:$Y$35,R$18)*$Y$3*(1-$Y$17)-INDEX($AG$26:$AG$35,R$18))/$Y$12,0)</f>
        <v>0</v>
      </c>
      <c r="S21" s="902" cm="1">
        <f t="array" aca="1" ref="S21" ca="1">IFERROR((SUM(OFFSET($AF$26,0,0,S$18,1))+$K21*INDEX($Y$26:$Y$35,S$18)*$Y$3*(1-$Y$17)-INDEX($AG$26:$AG$35,S$18))/$Y$12,0)</f>
        <v>0</v>
      </c>
      <c r="T21" s="902" cm="1">
        <f t="array" aca="1" ref="T21" ca="1">IFERROR((SUM(OFFSET($AF$26,0,0,T$18,1))+$K21*INDEX($Y$26:$Y$35,T$18)*$Y$3*(1-$Y$17)-INDEX($AG$26:$AG$35,T$18))/$Y$12,0)</f>
        <v>0</v>
      </c>
      <c r="U21" s="905" cm="1">
        <f t="array" aca="1" ref="U21" ca="1">IFERROR((SUM(OFFSET($AF$26,0,0,U$18,1))+$K21*INDEX($Y$26:$Y$35,U$18)*$Y$3*(1-$Y$17)-INDEX($AG$26:$AG$35,U$18))/$Y$12,0)</f>
        <v>0</v>
      </c>
      <c r="X21" s="842" t="s">
        <v>399</v>
      </c>
      <c r="Y21" s="842">
        <f>('PRO FORMA'!E41+'PRO FORMA'!E49)-('PRO FORMA'!E37+'PRO FORMA'!E35)</f>
        <v>0</v>
      </c>
    </row>
    <row r="22" spans="2:33">
      <c r="B22" s="914" t="e">
        <f>$Y$14</f>
        <v>#VALUE!</v>
      </c>
      <c r="C22" s="919">
        <f t="shared" si="0"/>
        <v>0</v>
      </c>
      <c r="D22" s="919">
        <f t="shared" si="1"/>
        <v>0</v>
      </c>
      <c r="E22" s="919">
        <f t="shared" si="2"/>
        <v>0</v>
      </c>
      <c r="F22" s="920">
        <f t="shared" si="3"/>
        <v>0</v>
      </c>
      <c r="G22" s="919">
        <f t="shared" si="4"/>
        <v>0</v>
      </c>
      <c r="H22" s="919">
        <f t="shared" si="5"/>
        <v>0</v>
      </c>
      <c r="I22" s="922">
        <f t="shared" si="6"/>
        <v>0</v>
      </c>
      <c r="K22" s="1010">
        <f>$Y$15</f>
        <v>0</v>
      </c>
      <c r="L22" s="902" cm="1">
        <f t="array" aca="1" ref="L22" ca="1">IFERROR((SUM(OFFSET($AF$26,0,0,L$18,1))+$K22*INDEX($Y$26:$Y$35,L$18)*$Y$3*(1-$Y$17)-INDEX($AG$26:$AG$35,L$18))/$Y$12,0)</f>
        <v>0</v>
      </c>
      <c r="M22" s="902" cm="1">
        <f t="array" aca="1" ref="M22" ca="1">IFERROR((SUM(OFFSET($AF$26,0,0,M$18,1))+$K22*INDEX($Y$26:$Y$35,M$18)*$Y$3*(1-$Y$17)-INDEX($AG$26:$AG$35,M$18))/$Y$12,0)</f>
        <v>0</v>
      </c>
      <c r="N22" s="902" cm="1">
        <f t="array" aca="1" ref="N22" ca="1">IFERROR((SUM(OFFSET($AF$26,0,0,N$18,1))+$K22*INDEX($Y$26:$Y$35,N$18)*$Y$3*(1-$Y$17)-INDEX($AG$26:$AG$35,N$18))/$Y$12,0)</f>
        <v>0</v>
      </c>
      <c r="O22" s="902" cm="1">
        <f t="array" aca="1" ref="O22" ca="1">IFERROR((SUM(OFFSET($AF$26,0,0,O$18,1))+$K22*INDEX($Y$26:$Y$35,O$18)*$Y$3*(1-$Y$17)-INDEX($AG$26:$AG$35,O$18))/$Y$12,0)</f>
        <v>0</v>
      </c>
      <c r="P22" s="902" cm="1">
        <f t="array" aca="1" ref="P22" ca="1">IFERROR((SUM(OFFSET($AF$26,0,0,P$18,1))+$K22*INDEX($Y$26:$Y$35,P$18)*$Y$3*(1-$Y$17)-INDEX($AG$26:$AG$35,P$18))/$Y$12,0)</f>
        <v>0</v>
      </c>
      <c r="Q22" s="902" cm="1">
        <f t="array" aca="1" ref="Q22" ca="1">IFERROR((SUM(OFFSET($AF$26,0,0,Q$18,1))+$K22*INDEX($Y$26:$Y$35,Q$18)*$Y$3*(1-$Y$17)-INDEX($AG$26:$AG$35,Q$18))/$Y$12,0)</f>
        <v>0</v>
      </c>
      <c r="R22" s="902" cm="1">
        <f t="array" aca="1" ref="R22" ca="1">IFERROR((SUM(OFFSET($AF$26,0,0,R$18,1))+$K22*INDEX($Y$26:$Y$35,R$18)*$Y$3*(1-$Y$17)-INDEX($AG$26:$AG$35,R$18))/$Y$12,0)</f>
        <v>0</v>
      </c>
      <c r="S22" s="902" cm="1">
        <f t="array" aca="1" ref="S22" ca="1">IFERROR((SUM(OFFSET($AF$26,0,0,S$18,1))+$K22*INDEX($Y$26:$Y$35,S$18)*$Y$3*(1-$Y$17)-INDEX($AG$26:$AG$35,S$18))/$Y$12,0)</f>
        <v>0</v>
      </c>
      <c r="T22" s="902" cm="1">
        <f t="array" aca="1" ref="T22" ca="1">IFERROR((SUM(OFFSET($AF$26,0,0,T$18,1))+$K22*INDEX($Y$26:$Y$35,T$18)*$Y$3*(1-$Y$17)-INDEX($AG$26:$AG$35,T$18))/$Y$12,0)</f>
        <v>0</v>
      </c>
      <c r="U22" s="906" cm="1">
        <f t="array" aca="1" ref="U22" ca="1">IFERROR((SUM(OFFSET($AF$26,0,0,U$18,1))+$K22*INDEX($Y$26:$Y$35,U$18)*$Y$3*(1-$Y$17)-INDEX($AG$26:$AG$35,U$18))/$Y$12,0)</f>
        <v>0</v>
      </c>
      <c r="X22" s="842" t="s">
        <v>560</v>
      </c>
      <c r="Y22" s="842" cm="1">
        <f t="array" ref="Y22">IFERROR(IF(AND(INPUTS!C33&lt;&gt;"",INPUTS!C33&lt;INPUTS!I13),INDEX(DEBT!V19:V379,MATCH((INPUTS!I13-INPUTS!C33)*12,DEBT!R19:R379,0))-INDEX(DEBT!Y19:Y379,MATCH((INPUTS!I13-INPUTS!C33)*12,DEBT!R19:R379,0)),INDEX(DEBT!G19:G379,MATCH(INPUTS!I13*12,DEBT!C19:C379,0))-INDEX(DEBT!J19:J379,MATCH(INPUTS!I13*12,DEBT!C19:C379,0))),0)+IF(AND(INPUTS!C24="Yes",OR(INPUTS!C33="",INPUTS!C33&gt;=INPUTS!I13)),IFERROR(INDEX(DEBT!$AO$21:$AO$30,INPUTS!I13),0),0)</f>
        <v>0</v>
      </c>
    </row>
    <row r="23" spans="2:33">
      <c r="B23" s="913" t="e">
        <f>$Y$14+$C$42</f>
        <v>#VALUE!</v>
      </c>
      <c r="C23" s="919">
        <f t="shared" si="0"/>
        <v>0</v>
      </c>
      <c r="D23" s="919">
        <f t="shared" si="1"/>
        <v>0</v>
      </c>
      <c r="E23" s="919">
        <f t="shared" si="2"/>
        <v>0</v>
      </c>
      <c r="F23" s="919">
        <f t="shared" si="3"/>
        <v>0</v>
      </c>
      <c r="G23" s="919">
        <f t="shared" si="4"/>
        <v>0</v>
      </c>
      <c r="H23" s="919">
        <f t="shared" si="5"/>
        <v>0</v>
      </c>
      <c r="I23" s="922">
        <f t="shared" si="6"/>
        <v>0</v>
      </c>
      <c r="K23" s="1009">
        <f>$Y$15+$C$43</f>
        <v>0.1</v>
      </c>
      <c r="L23" s="902" cm="1">
        <f t="array" aca="1" ref="L23" ca="1">IFERROR((SUM(OFFSET($AF$26,0,0,L$18,1))+$K23*INDEX($Y$26:$Y$35,L$18)*$Y$3*(1-$Y$17)-INDEX($AG$26:$AG$35,L$18))/$Y$12,0)</f>
        <v>0</v>
      </c>
      <c r="M23" s="902" cm="1">
        <f t="array" aca="1" ref="M23" ca="1">IFERROR((SUM(OFFSET($AF$26,0,0,M$18,1))+$K23*INDEX($Y$26:$Y$35,M$18)*$Y$3*(1-$Y$17)-INDEX($AG$26:$AG$35,M$18))/$Y$12,0)</f>
        <v>0</v>
      </c>
      <c r="N23" s="902" cm="1">
        <f t="array" aca="1" ref="N23" ca="1">IFERROR((SUM(OFFSET($AF$26,0,0,N$18,1))+$K23*INDEX($Y$26:$Y$35,N$18)*$Y$3*(1-$Y$17)-INDEX($AG$26:$AG$35,N$18))/$Y$12,0)</f>
        <v>0</v>
      </c>
      <c r="O23" s="902" cm="1">
        <f t="array" aca="1" ref="O23" ca="1">IFERROR((SUM(OFFSET($AF$26,0,0,O$18,1))+$K23*INDEX($Y$26:$Y$35,O$18)*$Y$3*(1-$Y$17)-INDEX($AG$26:$AG$35,O$18))/$Y$12,0)</f>
        <v>0</v>
      </c>
      <c r="P23" s="902" cm="1">
        <f t="array" aca="1" ref="P23" ca="1">IFERROR((SUM(OFFSET($AF$26,0,0,P$18,1))+$K23*INDEX($Y$26:$Y$35,P$18)*$Y$3*(1-$Y$17)-INDEX($AG$26:$AG$35,P$18))/$Y$12,0)</f>
        <v>0</v>
      </c>
      <c r="Q23" s="902" cm="1">
        <f t="array" aca="1" ref="Q23" ca="1">IFERROR((SUM(OFFSET($AF$26,0,0,Q$18,1))+$K23*INDEX($Y$26:$Y$35,Q$18)*$Y$3*(1-$Y$17)-INDEX($AG$26:$AG$35,Q$18))/$Y$12,0)</f>
        <v>0</v>
      </c>
      <c r="R23" s="902" cm="1">
        <f t="array" aca="1" ref="R23" ca="1">IFERROR((SUM(OFFSET($AF$26,0,0,R$18,1))+$K23*INDEX($Y$26:$Y$35,R$18)*$Y$3*(1-$Y$17)-INDEX($AG$26:$AG$35,R$18))/$Y$12,0)</f>
        <v>0</v>
      </c>
      <c r="S23" s="902" cm="1">
        <f t="array" aca="1" ref="S23" ca="1">IFERROR((SUM(OFFSET($AF$26,0,0,S$18,1))+$K23*INDEX($Y$26:$Y$35,S$18)*$Y$3*(1-$Y$17)-INDEX($AG$26:$AG$35,S$18))/$Y$12,0)</f>
        <v>0</v>
      </c>
      <c r="T23" s="902" cm="1">
        <f t="array" aca="1" ref="T23" ca="1">IFERROR((SUM(OFFSET($AF$26,0,0,T$18,1))+$K23*INDEX($Y$26:$Y$35,T$18)*$Y$3*(1-$Y$17)-INDEX($AG$26:$AG$35,T$18))/$Y$12,0)</f>
        <v>0</v>
      </c>
      <c r="U23" s="905" cm="1">
        <f t="array" aca="1" ref="U23" ca="1">IFERROR((SUM(OFFSET($AF$26,0,0,U$18,1))+$K23*INDEX($Y$26:$Y$35,U$18)*$Y$3*(1-$Y$17)-INDEX($AG$26:$AG$35,U$18))/$Y$12,0)</f>
        <v>0</v>
      </c>
      <c r="X23" s="842"/>
      <c r="Y23" s="842">
        <f>PROJECTIONS!J27</f>
        <v>0</v>
      </c>
    </row>
    <row r="24" spans="2:33">
      <c r="B24" s="913" t="e">
        <f>$Y$14+2*$C$42</f>
        <v>#VALUE!</v>
      </c>
      <c r="C24" s="919">
        <f t="shared" si="0"/>
        <v>0</v>
      </c>
      <c r="D24" s="919">
        <f t="shared" si="1"/>
        <v>0</v>
      </c>
      <c r="E24" s="919">
        <f t="shared" si="2"/>
        <v>0</v>
      </c>
      <c r="F24" s="919">
        <f t="shared" si="3"/>
        <v>0</v>
      </c>
      <c r="G24" s="919">
        <f t="shared" si="4"/>
        <v>0</v>
      </c>
      <c r="H24" s="919">
        <f t="shared" si="5"/>
        <v>0</v>
      </c>
      <c r="I24" s="922">
        <f t="shared" si="6"/>
        <v>0</v>
      </c>
      <c r="K24" s="1009">
        <f>$Y$15+2*$C$43</f>
        <v>0.2</v>
      </c>
      <c r="L24" s="902" cm="1">
        <f t="array" aca="1" ref="L24" ca="1">IFERROR((SUM(OFFSET($AF$26,0,0,L$18,1))+$K24*INDEX($Y$26:$Y$35,L$18)*$Y$3*(1-$Y$17)-INDEX($AG$26:$AG$35,L$18))/$Y$12,0)</f>
        <v>0</v>
      </c>
      <c r="M24" s="902" cm="1">
        <f t="array" aca="1" ref="M24" ca="1">IFERROR((SUM(OFFSET($AF$26,0,0,M$18,1))+$K24*INDEX($Y$26:$Y$35,M$18)*$Y$3*(1-$Y$17)-INDEX($AG$26:$AG$35,M$18))/$Y$12,0)</f>
        <v>0</v>
      </c>
      <c r="N24" s="902" cm="1">
        <f t="array" aca="1" ref="N24" ca="1">IFERROR((SUM(OFFSET($AF$26,0,0,N$18,1))+$K24*INDEX($Y$26:$Y$35,N$18)*$Y$3*(1-$Y$17)-INDEX($AG$26:$AG$35,N$18))/$Y$12,0)</f>
        <v>0</v>
      </c>
      <c r="O24" s="902" cm="1">
        <f t="array" aca="1" ref="O24" ca="1">IFERROR((SUM(OFFSET($AF$26,0,0,O$18,1))+$K24*INDEX($Y$26:$Y$35,O$18)*$Y$3*(1-$Y$17)-INDEX($AG$26:$AG$35,O$18))/$Y$12,0)</f>
        <v>0</v>
      </c>
      <c r="P24" s="902" cm="1">
        <f t="array" aca="1" ref="P24" ca="1">IFERROR((SUM(OFFSET($AF$26,0,0,P$18,1))+$K24*INDEX($Y$26:$Y$35,P$18)*$Y$3*(1-$Y$17)-INDEX($AG$26:$AG$35,P$18))/$Y$12,0)</f>
        <v>0</v>
      </c>
      <c r="Q24" s="902" cm="1">
        <f t="array" aca="1" ref="Q24" ca="1">IFERROR((SUM(OFFSET($AF$26,0,0,Q$18,1))+$K24*INDEX($Y$26:$Y$35,Q$18)*$Y$3*(1-$Y$17)-INDEX($AG$26:$AG$35,Q$18))/$Y$12,0)</f>
        <v>0</v>
      </c>
      <c r="R24" s="902" cm="1">
        <f t="array" aca="1" ref="R24" ca="1">IFERROR((SUM(OFFSET($AF$26,0,0,R$18,1))+$K24*INDEX($Y$26:$Y$35,R$18)*$Y$3*(1-$Y$17)-INDEX($AG$26:$AG$35,R$18))/$Y$12,0)</f>
        <v>0</v>
      </c>
      <c r="S24" s="902" cm="1">
        <f t="array" aca="1" ref="S24" ca="1">IFERROR((SUM(OFFSET($AF$26,0,0,S$18,1))+$K24*INDEX($Y$26:$Y$35,S$18)*$Y$3*(1-$Y$17)-INDEX($AG$26:$AG$35,S$18))/$Y$12,0)</f>
        <v>0</v>
      </c>
      <c r="T24" s="902" cm="1">
        <f t="array" aca="1" ref="T24" ca="1">IFERROR((SUM(OFFSET($AF$26,0,0,T$18,1))+$K24*INDEX($Y$26:$Y$35,T$18)*$Y$3*(1-$Y$17)-INDEX($AG$26:$AG$35,T$18))/$Y$12,0)</f>
        <v>0</v>
      </c>
      <c r="U24" s="905" cm="1">
        <f t="array" aca="1" ref="U24" ca="1">IFERROR((SUM(OFFSET($AF$26,0,0,U$18,1))+$K24*INDEX($Y$26:$Y$35,U$18)*$Y$3*(1-$Y$17)-INDEX($AG$26:$AG$35,U$18))/$Y$12,0)</f>
        <v>0</v>
      </c>
      <c r="X24" s="927" t="s">
        <v>608</v>
      </c>
      <c r="Y24" s="928" t="e">
        <f>'PRO FORMA'!W67-'PRO FORMA'!W57+'PRO FORMA'!W61-'PRO FORMA'!W63</f>
        <v>#VALUE!</v>
      </c>
      <c r="Z24" s="928"/>
      <c r="AA24" s="928"/>
      <c r="AB24" s="928"/>
    </row>
    <row r="25" spans="2:33">
      <c r="B25" s="915" t="e">
        <f>$Y$14+3*$C$42</f>
        <v>#VALUE!</v>
      </c>
      <c r="C25" s="921">
        <f t="shared" si="0"/>
        <v>0</v>
      </c>
      <c r="D25" s="921">
        <f t="shared" si="1"/>
        <v>0</v>
      </c>
      <c r="E25" s="921">
        <f t="shared" si="2"/>
        <v>0</v>
      </c>
      <c r="F25" s="921">
        <f t="shared" si="3"/>
        <v>0</v>
      </c>
      <c r="G25" s="921">
        <f t="shared" si="4"/>
        <v>0</v>
      </c>
      <c r="H25" s="921">
        <f t="shared" si="5"/>
        <v>0</v>
      </c>
      <c r="I25" s="923">
        <f t="shared" si="6"/>
        <v>0</v>
      </c>
      <c r="K25" s="1011">
        <f>$Y$15+3*$C$43</f>
        <v>0.30000000000000004</v>
      </c>
      <c r="L25" s="903" cm="1">
        <f t="array" aca="1" ref="L25" ca="1">IFERROR((SUM(OFFSET($AF$26,0,0,L$18,1))+$K25*INDEX($Y$26:$Y$35,L$18)*$Y$3*(1-$Y$17)-INDEX($AG$26:$AG$35,L$18))/$Y$12,0)</f>
        <v>0</v>
      </c>
      <c r="M25" s="903" cm="1">
        <f t="array" aca="1" ref="M25" ca="1">IFERROR((SUM(OFFSET($AF$26,0,0,M$18,1))+$K25*INDEX($Y$26:$Y$35,M$18)*$Y$3*(1-$Y$17)-INDEX($AG$26:$AG$35,M$18))/$Y$12,0)</f>
        <v>0</v>
      </c>
      <c r="N25" s="903" cm="1">
        <f t="array" aca="1" ref="N25" ca="1">IFERROR((SUM(OFFSET($AF$26,0,0,N$18,1))+$K25*INDEX($Y$26:$Y$35,N$18)*$Y$3*(1-$Y$17)-INDEX($AG$26:$AG$35,N$18))/$Y$12,0)</f>
        <v>0</v>
      </c>
      <c r="O25" s="903" cm="1">
        <f t="array" aca="1" ref="O25" ca="1">IFERROR((SUM(OFFSET($AF$26,0,0,O$18,1))+$K25*INDEX($Y$26:$Y$35,O$18)*$Y$3*(1-$Y$17)-INDEX($AG$26:$AG$35,O$18))/$Y$12,0)</f>
        <v>0</v>
      </c>
      <c r="P25" s="903" cm="1">
        <f t="array" aca="1" ref="P25" ca="1">IFERROR((SUM(OFFSET($AF$26,0,0,P$18,1))+$K25*INDEX($Y$26:$Y$35,P$18)*$Y$3*(1-$Y$17)-INDEX($AG$26:$AG$35,P$18))/$Y$12,0)</f>
        <v>0</v>
      </c>
      <c r="Q25" s="903" cm="1">
        <f t="array" aca="1" ref="Q25" ca="1">IFERROR((SUM(OFFSET($AF$26,0,0,Q$18,1))+$K25*INDEX($Y$26:$Y$35,Q$18)*$Y$3*(1-$Y$17)-INDEX($AG$26:$AG$35,Q$18))/$Y$12,0)</f>
        <v>0</v>
      </c>
      <c r="R25" s="903" cm="1">
        <f t="array" aca="1" ref="R25" ca="1">IFERROR((SUM(OFFSET($AF$26,0,0,R$18,1))+$K25*INDEX($Y$26:$Y$35,R$18)*$Y$3*(1-$Y$17)-INDEX($AG$26:$AG$35,R$18))/$Y$12,0)</f>
        <v>0</v>
      </c>
      <c r="S25" s="903" cm="1">
        <f t="array" aca="1" ref="S25" ca="1">IFERROR((SUM(OFFSET($AF$26,0,0,S$18,1))+$K25*INDEX($Y$26:$Y$35,S$18)*$Y$3*(1-$Y$17)-INDEX($AG$26:$AG$35,S$18))/$Y$12,0)</f>
        <v>0</v>
      </c>
      <c r="T25" s="903" cm="1">
        <f t="array" aca="1" ref="T25" ca="1">IFERROR((SUM(OFFSET($AF$26,0,0,T$18,1))+$K25*INDEX($Y$26:$Y$35,T$18)*$Y$3*(1-$Y$17)-INDEX($AG$26:$AG$35,T$18))/$Y$12,0)</f>
        <v>0</v>
      </c>
      <c r="U25" s="907" cm="1">
        <f t="array" aca="1" ref="U25" ca="1">IFERROR((SUM(OFFSET($AF$26,0,0,U$18,1))+$K25*INDEX($Y$26:$Y$35,U$18)*$Y$3*(1-$Y$17)-INDEX($AG$26:$AG$35,U$18))/$Y$12,0)</f>
        <v>0</v>
      </c>
      <c r="X25" s="924" t="s">
        <v>67</v>
      </c>
      <c r="Y25" s="925" t="s">
        <v>609</v>
      </c>
      <c r="Z25" s="924" t="s">
        <v>750</v>
      </c>
      <c r="AA25" s="924" t="s">
        <v>244</v>
      </c>
      <c r="AB25" s="924" t="s">
        <v>751</v>
      </c>
      <c r="AC25" s="924" t="s">
        <v>752</v>
      </c>
      <c r="AD25" s="924" t="s">
        <v>754</v>
      </c>
      <c r="AE25" s="924" t="s">
        <v>755</v>
      </c>
      <c r="AF25" s="924" t="s">
        <v>732</v>
      </c>
      <c r="AG25" t="s">
        <v>672</v>
      </c>
    </row>
    <row r="26" spans="2:33" ht="8" customHeight="1">
      <c r="B26" s="841"/>
      <c r="C26" s="841"/>
      <c r="D26" s="841"/>
      <c r="E26" s="841"/>
      <c r="F26" s="841"/>
      <c r="G26" s="841"/>
      <c r="H26" s="841"/>
      <c r="I26" s="841"/>
      <c r="K26" s="841"/>
      <c r="L26" s="841"/>
      <c r="M26" s="841"/>
      <c r="N26" s="841"/>
      <c r="O26" s="841"/>
      <c r="P26" s="841"/>
      <c r="Q26" s="841"/>
      <c r="R26" s="841"/>
      <c r="X26" s="892">
        <v>1</v>
      </c>
      <c r="Y26" s="929" cm="1">
        <f t="array" ref="Y26">IF(1&gt;$Y$16,0,IFERROR('PRO FORMA'!E17/INDEX('PRO FORMA'!E17:W17,1,($Y$16-1)*2+1),0))</f>
        <v>0</v>
      </c>
      <c r="Z26" s="930">
        <f>IF(1&gt;$Y$16,0,PROJECTIONS!J46+PROJECTIONS!J52+PROJECTIONS!J61+PROJECTIONS!J64+PROJECTIONS!J68+PROJECTIONS!J71+PROJECTIONS!J74+PROJECTIONS!J77)</f>
        <v>0</v>
      </c>
      <c r="AA26" s="931">
        <f>IF(1&gt;$Y$16,0,'PRO FORMA'!E56+'PRO FORMA'!E58)</f>
        <v>0</v>
      </c>
      <c r="AB26" s="930">
        <f>IF(1&gt;$Y$16,0,PROJECTIONS!J34+PROJECTIONS!J56)</f>
        <v>0</v>
      </c>
      <c r="AC26" s="1000">
        <f>IF(1&gt;$Y$16,0,PROJECTIONS!J43+PROJECTIONS!J50+PROJECTIONS!J81+PROJECTIONS!J84)</f>
        <v>0</v>
      </c>
      <c r="AD26" s="964">
        <f>IF(1&gt;$Y$16,0,PROJECTIONS!J58/($Y$13*$Y$6*$Y$5))</f>
        <v>0</v>
      </c>
      <c r="AE26" s="964">
        <f>IF(1&gt;$Y$16,0,PROJECTIONS!J20/($Y$13*$Y$6*$Y$5))</f>
        <v>0</v>
      </c>
      <c r="AF26" s="964">
        <f>IF(1&gt;$Y$16,0,'PRO FORMA'!E67-IF('PRO FORMA'!E63="",0,'PRO FORMA'!E63)-IF('PRO FORMA'!E64="",0,'PRO FORMA'!E64))</f>
        <v>0</v>
      </c>
      <c r="AG26">
        <f>IFERROR(IF(AND(INPUTS!C33&lt;&gt;"",INPUTS!C33&lt;1),INDEX(DEBT!V19:V379,MATCH((1-INPUTS!C33)*12,DEBT!R19:R379,0))-INDEX(DEBT!Y19:Y379,MATCH((1-INPUTS!C33)*12,DEBT!R19:R379,0)),INDEX(DEBT!G19:G379,MATCH(1*12,DEBT!C19:C379,0))-INDEX(DEBT!J19:J379,MATCH(1*12,DEBT!C19:C379,0))),0)+IF(AND(INPUTS!C24="Yes",OR(INPUTS!C33="",INPUTS!C33&gt;=1)),IFERROR(INDEX(DEBT!$AO$21:$AO$30,1),0),0)</f>
        <v>0</v>
      </c>
    </row>
    <row r="27" spans="2:33" ht="8" customHeight="1">
      <c r="B27" s="841"/>
      <c r="C27" s="841"/>
      <c r="D27" s="841"/>
      <c r="E27" s="841"/>
      <c r="F27" s="841"/>
      <c r="G27" s="841"/>
      <c r="H27" s="841"/>
      <c r="I27" s="841"/>
      <c r="K27" s="841"/>
      <c r="L27" s="841"/>
      <c r="M27" s="841"/>
      <c r="N27" s="841"/>
      <c r="O27" s="841"/>
      <c r="P27" s="841"/>
      <c r="Q27" s="841"/>
      <c r="R27" s="841"/>
      <c r="X27" s="892">
        <v>2</v>
      </c>
      <c r="Y27" s="929" cm="1">
        <f t="array" ref="Y27">IF(2&gt;$Y$16,0,IFERROR('PRO FORMA'!G17/INDEX('PRO FORMA'!E17:W17,1,($Y$16-1)*2+1),0))</f>
        <v>0</v>
      </c>
      <c r="Z27" s="930">
        <f>IF(2&gt;$Y$16,0,PROJECTIONS!L46+PROJECTIONS!L52+PROJECTIONS!L61+PROJECTIONS!L64+PROJECTIONS!L68+PROJECTIONS!L71+PROJECTIONS!L74+PROJECTIONS!L77)</f>
        <v>0</v>
      </c>
      <c r="AA27" s="931">
        <f>IF(2&gt;$Y$16,0,'PRO FORMA'!G56+'PRO FORMA'!G58)</f>
        <v>0</v>
      </c>
      <c r="AB27" s="930">
        <f>IF(2&gt;$Y$16,0,PROJECTIONS!L34+PROJECTIONS!L56)</f>
        <v>0</v>
      </c>
      <c r="AC27" s="1000">
        <f>IF(2&gt;$Y$16,0,PROJECTIONS!L43+PROJECTIONS!L50+PROJECTIONS!L81+PROJECTIONS!L84)</f>
        <v>0</v>
      </c>
      <c r="AD27" s="964">
        <f>IF(2&gt;$Y$16,0,PROJECTIONS!L58/($Y$13*$Y$6*$Y$5))</f>
        <v>0</v>
      </c>
      <c r="AE27" s="964">
        <f>IF(2&gt;$Y$16,0,PROJECTIONS!L20/($Y$13*$Y$6*$Y$5))</f>
        <v>0</v>
      </c>
      <c r="AF27" s="964">
        <f>IF(2&gt;$Y$16,0,'PRO FORMA'!G67-IF('PRO FORMA'!G63="",0,'PRO FORMA'!G63)-IF('PRO FORMA'!G64="",0,'PRO FORMA'!G64))</f>
        <v>0</v>
      </c>
      <c r="AG27">
        <f>IFERROR(IF(AND(INPUTS!C33&lt;&gt;"",INPUTS!C33&lt;2),INDEX(DEBT!V19:V379,MATCH((2-INPUTS!C33)*12,DEBT!R19:R379,0))-INDEX(DEBT!Y19:Y379,MATCH((2-INPUTS!C33)*12,DEBT!R19:R379,0)),INDEX(DEBT!G19:G379,MATCH(2*12,DEBT!C19:C379,0))-INDEX(DEBT!J19:J379,MATCH(2*12,DEBT!C19:C379,0))),0)+IF(AND(INPUTS!C24="Yes",OR(INPUTS!C33="",INPUTS!C33&gt;=2)),IFERROR(INDEX(DEBT!$AO$21:$AO$30,2),0),0)</f>
        <v>0</v>
      </c>
    </row>
    <row r="28" spans="2:33">
      <c r="K28" s="1201" t="s">
        <v>757</v>
      </c>
      <c r="L28" s="1201"/>
      <c r="M28" s="1201"/>
      <c r="N28" s="1201"/>
      <c r="O28" s="1201"/>
      <c r="P28" s="1201"/>
      <c r="Q28" s="1201"/>
      <c r="R28" s="1201"/>
      <c r="S28" s="893"/>
      <c r="T28" s="893"/>
      <c r="U28" s="893"/>
      <c r="X28" s="892">
        <v>3</v>
      </c>
      <c r="Y28" s="932" cm="1">
        <f t="array" ref="Y28">IF(3&gt;$Y$16,0,IFERROR('PRO FORMA'!I17/INDEX('PRO FORMA'!E17:W17,1,($Y$16-1)*2+1),0))</f>
        <v>0</v>
      </c>
      <c r="Z28" s="930">
        <f>IF(3&gt;$Y$16,0,PROJECTIONS!N46+PROJECTIONS!N52+PROJECTIONS!N61+PROJECTIONS!N64+PROJECTIONS!N68+PROJECTIONS!N71+PROJECTIONS!N74+PROJECTIONS!N77)</f>
        <v>0</v>
      </c>
      <c r="AA28" s="931">
        <f>IF(3&gt;$Y$16,0,'PRO FORMA'!I56+'PRO FORMA'!I58)</f>
        <v>0</v>
      </c>
      <c r="AB28" s="930">
        <f>IF(3&gt;$Y$16,0,PROJECTIONS!N34+PROJECTIONS!N56)</f>
        <v>0</v>
      </c>
      <c r="AC28" s="1000">
        <f>IF(3&gt;$Y$16,0,PROJECTIONS!N43+PROJECTIONS!N50+PROJECTIONS!N81+PROJECTIONS!N84)</f>
        <v>0</v>
      </c>
      <c r="AD28" s="964">
        <f>IF(3&gt;$Y$16,0,PROJECTIONS!N58/($Y$13*$Y$6*$Y$5))</f>
        <v>0</v>
      </c>
      <c r="AE28" s="964">
        <f>IF(3&gt;$Y$16,0,PROJECTIONS!N20/($Y$13*$Y$6*$Y$5))</f>
        <v>0</v>
      </c>
      <c r="AF28" s="964">
        <f>IF(3&gt;$Y$16,0,'PRO FORMA'!I67-IF('PRO FORMA'!I63="",0,'PRO FORMA'!I63)-IF('PRO FORMA'!I64="",0,'PRO FORMA'!I64))</f>
        <v>0</v>
      </c>
      <c r="AG28">
        <f>IFERROR(IF(AND(INPUTS!C33&lt;&gt;"",INPUTS!C33&lt;3),INDEX(DEBT!V19:V379,MATCH((3-INPUTS!C33)*12,DEBT!R19:R379,0))-INDEX(DEBT!Y19:Y379,MATCH((3-INPUTS!C33)*12,DEBT!R19:R379,0)),INDEX(DEBT!G19:G379,MATCH(3*12,DEBT!C19:C379,0))-INDEX(DEBT!J19:J379,MATCH(3*12,DEBT!C19:C379,0))),0)+IF(AND(INPUTS!C24="Yes",OR(INPUTS!C33="",INPUTS!C33&gt;=3)),IFERROR(INDEX(DEBT!$AO$21:$AO$30,3),0),0)</f>
        <v>0</v>
      </c>
    </row>
    <row r="29" spans="2:33">
      <c r="K29" s="897">
        <f>IFERROR(WATERFALL!K61/WATERFALL!D12,0)</f>
        <v>0</v>
      </c>
      <c r="L29" s="895">
        <v>1</v>
      </c>
      <c r="M29" s="895">
        <v>2</v>
      </c>
      <c r="N29" s="895">
        <v>3</v>
      </c>
      <c r="O29" s="895">
        <v>4</v>
      </c>
      <c r="P29" s="895">
        <v>5</v>
      </c>
      <c r="Q29" s="895">
        <v>6</v>
      </c>
      <c r="R29" s="895">
        <v>7</v>
      </c>
      <c r="S29" s="895">
        <v>8</v>
      </c>
      <c r="T29" s="895">
        <v>9</v>
      </c>
      <c r="U29" s="898">
        <v>10</v>
      </c>
      <c r="X29" s="892">
        <v>4</v>
      </c>
      <c r="Y29" s="932" cm="1">
        <f t="array" ref="Y29">IF(4&gt;$Y$16,0,IFERROR('PRO FORMA'!K17/INDEX('PRO FORMA'!E17:W17,1,($Y$16-1)*2+1),0))</f>
        <v>0</v>
      </c>
      <c r="Z29" s="930">
        <f>IF(4&gt;$Y$16,0,PROJECTIONS!P46+PROJECTIONS!P52+PROJECTIONS!P61+PROJECTIONS!P64+PROJECTIONS!P68+PROJECTIONS!P71+PROJECTIONS!P74+PROJECTIONS!P77)</f>
        <v>0</v>
      </c>
      <c r="AA29" s="931">
        <f>IF(4&gt;$Y$16,0,'PRO FORMA'!K56+'PRO FORMA'!K58)</f>
        <v>0</v>
      </c>
      <c r="AB29" s="930">
        <f>IF(4&gt;$Y$16,0,PROJECTIONS!P34+PROJECTIONS!P56)</f>
        <v>0</v>
      </c>
      <c r="AC29" s="1000">
        <f>IF(4&gt;$Y$16,0,PROJECTIONS!P43+PROJECTIONS!P50+PROJECTIONS!P81+PROJECTIONS!P84)</f>
        <v>0</v>
      </c>
      <c r="AD29" s="964">
        <f>IF(4&gt;$Y$16,0,PROJECTIONS!P58/($Y$13*$Y$6*$Y$5))</f>
        <v>0</v>
      </c>
      <c r="AE29" s="964">
        <f>IF(4&gt;$Y$16,0,PROJECTIONS!P20/($Y$13*$Y$6*$Y$5))</f>
        <v>0</v>
      </c>
      <c r="AF29" s="964">
        <f>IF(4&gt;$Y$16,0,'PRO FORMA'!K67-IF('PRO FORMA'!K63="",0,'PRO FORMA'!K63)-IF('PRO FORMA'!K64="",0,'PRO FORMA'!K64))</f>
        <v>0</v>
      </c>
      <c r="AG29">
        <f>IFERROR(IF(AND(INPUTS!C33&lt;&gt;"",INPUTS!C33&lt;4),INDEX(DEBT!V19:V379,MATCH((4-INPUTS!C33)*12,DEBT!R19:R379,0))-INDEX(DEBT!Y19:Y379,MATCH((4-INPUTS!C33)*12,DEBT!R19:R379,0)),INDEX(DEBT!G19:G379,MATCH(4*12,DEBT!C19:C379,0))-INDEX(DEBT!J19:J379,MATCH(4*12,DEBT!C19:C379,0))),0)+IF(AND(INPUTS!C24="Yes",OR(INPUTS!C33="",INPUTS!C33&gt;=4)),IFERROR(INDEX(DEBT!$AO$21:$AO$30,4),0),0)</f>
        <v>0</v>
      </c>
    </row>
    <row r="30" spans="2:33">
      <c r="K30" s="1006" t="e">
        <f>$Y$13*$Y$14-3*$C$44</f>
        <v>#VALUE!</v>
      </c>
      <c r="L30" s="894">
        <f>IFERROR(_xlfn.LET(_xlpm.sRR,$K$30*$Y$5*$Y$6*$Y$26,_xlpm.sOR,($K$30/$Y$14)*$Y$5*$Y$6,_xlpm.sOI,$AE$26*_xlpm.sOR,_xlpm.sOD,$Y$23*_xlpm.sRR,_xlpm.sGR,_xlpm.sRR+_xlpm.sOI+_xlpm.sOD,_xlpm.sExp,$Z$26+$AB$26*_xlpm.sRR+($AC$26+INPUTS!$F$13)*_xlpm.sGR+$AD$26*_xlpm.sOR,_xlpm.sGR-_xlpm.sExp+$AA$26)/$Y$12,0)</f>
        <v>0</v>
      </c>
      <c r="M30" s="894">
        <f>IFERROR(_xlfn.LET(_xlpm.sRR,$K$30*$Y$5*$Y$6*$Y$27,_xlpm.sOR,($K$30/$Y$14)*$Y$5*$Y$6,_xlpm.sOI,$AE$27*_xlpm.sOR,_xlpm.sOD,$Y$23*_xlpm.sRR,_xlpm.sGR,_xlpm.sRR+_xlpm.sOI+_xlpm.sOD,_xlpm.sExp,$Z$27+$AB$27*_xlpm.sRR+($AC$27+INPUTS!$F$13)*_xlpm.sGR+$AD$27*_xlpm.sOR,_xlpm.sGR-_xlpm.sExp+$AA$27)/$Y$12,0)</f>
        <v>0</v>
      </c>
      <c r="N30" s="894">
        <f>IFERROR(_xlfn.LET(_xlpm.sRR,$K$30*$Y$5*$Y$6*$Y$28,_xlpm.sOR,($K$30/$Y$14)*$Y$5*$Y$6,_xlpm.sOI,$AE$28*_xlpm.sOR,_xlpm.sOD,$Y$23*_xlpm.sRR,_xlpm.sGR,_xlpm.sRR+_xlpm.sOI+_xlpm.sOD,_xlpm.sExp,$Z$28+$AB$28*_xlpm.sRR+($AC$28+INPUTS!$F$13)*_xlpm.sGR+$AD$28*_xlpm.sOR,_xlpm.sGR-_xlpm.sExp+$AA$28)/$Y$12,0)</f>
        <v>0</v>
      </c>
      <c r="O30" s="894">
        <f>IFERROR(_xlfn.LET(_xlpm.sRR,$K$30*$Y$5*$Y$6*$Y$29,_xlpm.sOR,($K$30/$Y$14)*$Y$5*$Y$6,_xlpm.sOI,$AE$29*_xlpm.sOR,_xlpm.sOD,$Y$23*_xlpm.sRR,_xlpm.sGR,_xlpm.sRR+_xlpm.sOI+_xlpm.sOD,_xlpm.sExp,$Z$29+$AB$29*_xlpm.sRR+($AC$29+INPUTS!$F$13)*_xlpm.sGR+$AD$29*_xlpm.sOR,_xlpm.sGR-_xlpm.sExp+$AA$29)/$Y$12,0)</f>
        <v>0</v>
      </c>
      <c r="P30" s="894">
        <f>IFERROR(_xlfn.LET(_xlpm.sRR,$K$30*$Y$5*$Y$6*$Y$30,_xlpm.sOR,($K$30/$Y$14)*$Y$5*$Y$6,_xlpm.sOI,$AE$30*_xlpm.sOR,_xlpm.sOD,$Y$23*_xlpm.sRR,_xlpm.sGR,_xlpm.sRR+_xlpm.sOI+_xlpm.sOD,_xlpm.sExp,$Z$30+$AB$30*_xlpm.sRR+($AC$30+INPUTS!$F$13)*_xlpm.sGR+$AD$30*_xlpm.sOR,_xlpm.sGR-_xlpm.sExp+$AA$30)/$Y$12,0)</f>
        <v>0</v>
      </c>
      <c r="Q30" s="894">
        <f>IFERROR(_xlfn.LET(_xlpm.sRR,$K$30*$Y$5*$Y$6*$Y$31,_xlpm.sOR,($K$30/$Y$14)*$Y$5*$Y$6,_xlpm.sOI,$AE$31*_xlpm.sOR,_xlpm.sOD,$Y$23*_xlpm.sRR,_xlpm.sGR,_xlpm.sRR+_xlpm.sOI+_xlpm.sOD,_xlpm.sExp,$Z$31+$AB$31*_xlpm.sRR+($AC$31+INPUTS!$F$13)*_xlpm.sGR+$AD$31*_xlpm.sOR,_xlpm.sGR-_xlpm.sExp+$AA$31)/$Y$12,0)</f>
        <v>0</v>
      </c>
      <c r="R30" s="894">
        <f>IFERROR(_xlfn.LET(_xlpm.sRR,$K$30*$Y$5*$Y$6*$Y$32,_xlpm.sOR,($K$30/$Y$14)*$Y$5*$Y$6,_xlpm.sOI,$AE$32*_xlpm.sOR,_xlpm.sOD,$Y$23*_xlpm.sRR,_xlpm.sGR,_xlpm.sRR+_xlpm.sOI+_xlpm.sOD,_xlpm.sExp,$Z$32+$AB$32*_xlpm.sRR+($AC$32+INPUTS!$F$13)*_xlpm.sGR+$AD$32*_xlpm.sOR,_xlpm.sGR-_xlpm.sExp+$AA$32)/$Y$12,0)</f>
        <v>0</v>
      </c>
      <c r="S30" s="894">
        <f>IFERROR(_xlfn.LET(_xlpm.sRR,$K$30*$Y$5*$Y$6*$Y$33,_xlpm.sOR,($K$30/$Y$14)*$Y$5*$Y$6,_xlpm.sOI,$AE$33*_xlpm.sOR,_xlpm.sOD,$Y$23*_xlpm.sRR,_xlpm.sGR,_xlpm.sRR+_xlpm.sOI+_xlpm.sOD,_xlpm.sExp,$Z$33+$AB$33*_xlpm.sRR+($AC$33+INPUTS!$F$13)*_xlpm.sGR+$AD$33*_xlpm.sOR,_xlpm.sGR-_xlpm.sExp+$AA$33)/$Y$12,0)</f>
        <v>0</v>
      </c>
      <c r="T30" s="894">
        <f>IFERROR(_xlfn.LET(_xlpm.sRR,$K$30*$Y$5*$Y$6*$Y$34,_xlpm.sOR,($K$30/$Y$14)*$Y$5*$Y$6,_xlpm.sOI,$AE$34*_xlpm.sOR,_xlpm.sOD,$Y$23*_xlpm.sRR,_xlpm.sGR,_xlpm.sRR+_xlpm.sOI+_xlpm.sOD,_xlpm.sExp,$Z$34+$AB$34*_xlpm.sRR+($AC$34+INPUTS!$F$13)*_xlpm.sGR+$AD$34*_xlpm.sOR,_xlpm.sGR-_xlpm.sExp+$AA$34)/$Y$12,0)</f>
        <v>0</v>
      </c>
      <c r="U30" s="899">
        <f>IFERROR(_xlfn.LET(_xlpm.sRR,$K$30*$Y$5*$Y$6*$Y$35,_xlpm.sOR,($K$30/$Y$14)*$Y$5*$Y$6,_xlpm.sOI,$AE$35*_xlpm.sOR,_xlpm.sOD,$Y$23*_xlpm.sRR,_xlpm.sGR,_xlpm.sRR+_xlpm.sOI+_xlpm.sOD,_xlpm.sExp,$Z$35+$AB$35*_xlpm.sRR+($AC$35+INPUTS!$F$13)*_xlpm.sGR+$AD$35*_xlpm.sOR,_xlpm.sGR-_xlpm.sExp+$AA$35+$Y$24)/$Y$12,0)</f>
        <v>0</v>
      </c>
      <c r="X30" s="892">
        <v>5</v>
      </c>
      <c r="Y30" s="932" cm="1">
        <f t="array" ref="Y30">IF(5&gt;$Y$16,0,IFERROR('PRO FORMA'!M17/INDEX('PRO FORMA'!E17:W17,1,($Y$16-1)*2+1),0))</f>
        <v>0</v>
      </c>
      <c r="Z30" s="930">
        <f>IF(5&gt;$Y$16,0,PROJECTIONS!R46+PROJECTIONS!R52+PROJECTIONS!R61+PROJECTIONS!R64+PROJECTIONS!R68+PROJECTIONS!R71+PROJECTIONS!R74+PROJECTIONS!R77)</f>
        <v>0</v>
      </c>
      <c r="AA30" s="931">
        <f>IF(5&gt;$Y$16,0,'PRO FORMA'!M56+'PRO FORMA'!M58)</f>
        <v>0</v>
      </c>
      <c r="AB30" s="930">
        <f>IF(5&gt;$Y$16,0,PROJECTIONS!R34+PROJECTIONS!R56)</f>
        <v>0</v>
      </c>
      <c r="AC30" s="964">
        <f>IF(5&gt;$Y$16,0,PROJECTIONS!R43+PROJECTIONS!R50+PROJECTIONS!R81+PROJECTIONS!R84)</f>
        <v>0</v>
      </c>
      <c r="AD30" s="964">
        <f>IF(5&gt;$Y$16,0,PROJECTIONS!R58/($Y$13*$Y$6*$Y$5))</f>
        <v>0</v>
      </c>
      <c r="AE30" s="964">
        <f>IF(5&gt;$Y$16,0,PROJECTIONS!R20/($Y$13*$Y$6*$Y$5))</f>
        <v>0</v>
      </c>
      <c r="AF30" s="964">
        <f>IF(5&gt;$Y$16,0,'PRO FORMA'!M67-IF('PRO FORMA'!M63="",0,'PRO FORMA'!M63)-IF('PRO FORMA'!M64="",0,'PRO FORMA'!M64))</f>
        <v>0</v>
      </c>
      <c r="AG30">
        <f>IFERROR(IF(AND(INPUTS!C33&lt;&gt;"",INPUTS!C33&lt;5),INDEX(DEBT!V19:V379,MATCH((5-INPUTS!C33)*12,DEBT!R19:R379,0))-INDEX(DEBT!Y19:Y379,MATCH((5-INPUTS!C33)*12,DEBT!R19:R379,0)),INDEX(DEBT!G19:G379,MATCH(5*12,DEBT!C19:C379,0))-INDEX(DEBT!J19:J379,MATCH(5*12,DEBT!C19:C379,0))),0)+IF(AND(INPUTS!C24="Yes",OR(INPUTS!C33="",INPUTS!C33&gt;=5)),IFERROR(INDEX(DEBT!$AO$21:$AO$30,5),0),0)</f>
        <v>0</v>
      </c>
    </row>
    <row r="31" spans="2:33">
      <c r="K31" s="1006" t="e">
        <f>$Y$13*$Y$14-2*$C$44</f>
        <v>#VALUE!</v>
      </c>
      <c r="L31" s="894">
        <f>IFERROR(_xlfn.LET(_xlpm.sRR,$K$31*$Y$5*$Y$6*$Y$26,_xlpm.sOR,($K$31/$Y$14)*$Y$5*$Y$6,_xlpm.sOI,$AE$26*_xlpm.sOR,_xlpm.sOD,$Y$23*_xlpm.sRR,_xlpm.sGR,_xlpm.sRR+_xlpm.sOI+_xlpm.sOD,_xlpm.sExp,$Z$26+$AB$26*_xlpm.sRR+($AC$26+INPUTS!$F$13)*_xlpm.sGR+$AD$26*_xlpm.sOR,_xlpm.sGR-_xlpm.sExp+$AA$26)/$Y$12,0)</f>
        <v>0</v>
      </c>
      <c r="M31" s="894">
        <f>IFERROR(_xlfn.LET(_xlpm.sRR,$K$31*$Y$5*$Y$6*$Y$27,_xlpm.sOR,($K$31/$Y$14)*$Y$5*$Y$6,_xlpm.sOI,$AE$27*_xlpm.sOR,_xlpm.sOD,$Y$23*_xlpm.sRR,_xlpm.sGR,_xlpm.sRR+_xlpm.sOI+_xlpm.sOD,_xlpm.sExp,$Z$27+$AB$27*_xlpm.sRR+($AC$27+INPUTS!$F$13)*_xlpm.sGR+$AD$27*_xlpm.sOR,_xlpm.sGR-_xlpm.sExp+$AA$27)/$Y$12,0)</f>
        <v>0</v>
      </c>
      <c r="N31" s="894">
        <f>IFERROR(_xlfn.LET(_xlpm.sRR,$K$31*$Y$5*$Y$6*$Y$28,_xlpm.sOR,($K$31/$Y$14)*$Y$5*$Y$6,_xlpm.sOI,$AE$28*_xlpm.sOR,_xlpm.sOD,$Y$23*_xlpm.sRR,_xlpm.sGR,_xlpm.sRR+_xlpm.sOI+_xlpm.sOD,_xlpm.sExp,$Z$28+$AB$28*_xlpm.sRR+($AC$28+INPUTS!$F$13)*_xlpm.sGR+$AD$28*_xlpm.sOR,_xlpm.sGR-_xlpm.sExp+$AA$28)/$Y$12,0)</f>
        <v>0</v>
      </c>
      <c r="O31" s="894">
        <f>IFERROR(_xlfn.LET(_xlpm.sRR,$K$31*$Y$5*$Y$6*$Y$29,_xlpm.sOR,($K$31/$Y$14)*$Y$5*$Y$6,_xlpm.sOI,$AE$29*_xlpm.sOR,_xlpm.sOD,$Y$23*_xlpm.sRR,_xlpm.sGR,_xlpm.sRR+_xlpm.sOI+_xlpm.sOD,_xlpm.sExp,$Z$29+$AB$29*_xlpm.sRR+($AC$29+INPUTS!$F$13)*_xlpm.sGR+$AD$29*_xlpm.sOR,_xlpm.sGR-_xlpm.sExp+$AA$29)/$Y$12,0)</f>
        <v>0</v>
      </c>
      <c r="P31" s="894">
        <f>IFERROR(_xlfn.LET(_xlpm.sRR,$K$31*$Y$5*$Y$6*$Y$30,_xlpm.sOR,($K$31/$Y$14)*$Y$5*$Y$6,_xlpm.sOI,$AE$30*_xlpm.sOR,_xlpm.sOD,$Y$23*_xlpm.sRR,_xlpm.sGR,_xlpm.sRR+_xlpm.sOI+_xlpm.sOD,_xlpm.sExp,$Z$30+$AB$30*_xlpm.sRR+($AC$30+INPUTS!$F$13)*_xlpm.sGR+$AD$30*_xlpm.sOR,_xlpm.sGR-_xlpm.sExp+$AA$30)/$Y$12,0)</f>
        <v>0</v>
      </c>
      <c r="Q31" s="894">
        <f>IFERROR(_xlfn.LET(_xlpm.sRR,$K$31*$Y$5*$Y$6*$Y$31,_xlpm.sOR,($K$31/$Y$14)*$Y$5*$Y$6,_xlpm.sOI,$AE$31*_xlpm.sOR,_xlpm.sOD,$Y$23*_xlpm.sRR,_xlpm.sGR,_xlpm.sRR+_xlpm.sOI+_xlpm.sOD,_xlpm.sExp,$Z$31+$AB$31*_xlpm.sRR+($AC$31+INPUTS!$F$13)*_xlpm.sGR+$AD$31*_xlpm.sOR,_xlpm.sGR-_xlpm.sExp+$AA$31)/$Y$12,0)</f>
        <v>0</v>
      </c>
      <c r="R31" s="894">
        <f>IFERROR(_xlfn.LET(_xlpm.sRR,$K$31*$Y$5*$Y$6*$Y$32,_xlpm.sOR,($K$31/$Y$14)*$Y$5*$Y$6,_xlpm.sOI,$AE$32*_xlpm.sOR,_xlpm.sOD,$Y$23*_xlpm.sRR,_xlpm.sGR,_xlpm.sRR+_xlpm.sOI+_xlpm.sOD,_xlpm.sExp,$Z$32+$AB$32*_xlpm.sRR+($AC$32+INPUTS!$F$13)*_xlpm.sGR+$AD$32*_xlpm.sOR,_xlpm.sGR-_xlpm.sExp+$AA$32)/$Y$12,0)</f>
        <v>0</v>
      </c>
      <c r="S31" s="894">
        <f>IFERROR(_xlfn.LET(_xlpm.sRR,$K$31*$Y$5*$Y$6*$Y$33,_xlpm.sOR,($K$31/$Y$14)*$Y$5*$Y$6,_xlpm.sOI,$AE$33*_xlpm.sOR,_xlpm.sOD,$Y$23*_xlpm.sRR,_xlpm.sGR,_xlpm.sRR+_xlpm.sOI+_xlpm.sOD,_xlpm.sExp,$Z$33+$AB$33*_xlpm.sRR+($AC$33+INPUTS!$F$13)*_xlpm.sGR+$AD$33*_xlpm.sOR,_xlpm.sGR-_xlpm.sExp+$AA$33)/$Y$12,0)</f>
        <v>0</v>
      </c>
      <c r="T31" s="894">
        <f>IFERROR(_xlfn.LET(_xlpm.sRR,$K$31*$Y$5*$Y$6*$Y$34,_xlpm.sOR,($K$31/$Y$14)*$Y$5*$Y$6,_xlpm.sOI,$AE$34*_xlpm.sOR,_xlpm.sOD,$Y$23*_xlpm.sRR,_xlpm.sGR,_xlpm.sRR+_xlpm.sOI+_xlpm.sOD,_xlpm.sExp,$Z$34+$AB$34*_xlpm.sRR+($AC$34+INPUTS!$F$13)*_xlpm.sGR+$AD$34*_xlpm.sOR,_xlpm.sGR-_xlpm.sExp+$AA$34)/$Y$12,0)</f>
        <v>0</v>
      </c>
      <c r="U31" s="899">
        <f>IFERROR(_xlfn.LET(_xlpm.sRR,$K$31*$Y$5*$Y$6*$Y$35,_xlpm.sOR,($K$31/$Y$14)*$Y$5*$Y$6,_xlpm.sOI,$AE$35*_xlpm.sOR,_xlpm.sOD,$Y$23*_xlpm.sRR,_xlpm.sGR,_xlpm.sRR+_xlpm.sOI+_xlpm.sOD,_xlpm.sExp,$Z$35+$AB$35*_xlpm.sRR+($AC$35+INPUTS!$F$13)*_xlpm.sGR+$AD$35*_xlpm.sOR,_xlpm.sGR-_xlpm.sExp+$AA$35+$Y$24)/$Y$12,0)</f>
        <v>0</v>
      </c>
      <c r="X31" s="892">
        <v>6</v>
      </c>
      <c r="Y31" s="932" cm="1">
        <f t="array" ref="Y31">IF(6&gt;$Y$16,0,IFERROR('PRO FORMA'!O17/INDEX('PRO FORMA'!E17:W17,1,($Y$16-1)*2+1),0))</f>
        <v>0</v>
      </c>
      <c r="Z31" s="930">
        <f>IF(6&gt;$Y$16,0,PROJECTIONS!T46+PROJECTIONS!T52+PROJECTIONS!T61+PROJECTIONS!T64+PROJECTIONS!T68+PROJECTIONS!T71+PROJECTIONS!T74+PROJECTIONS!T77)</f>
        <v>0</v>
      </c>
      <c r="AA31" s="931">
        <f>IF(6&gt;$Y$16,0,'PRO FORMA'!O56+'PRO FORMA'!O58)</f>
        <v>0</v>
      </c>
      <c r="AB31" s="930">
        <f>IF(6&gt;$Y$16,0,PROJECTIONS!T34+PROJECTIONS!T56)</f>
        <v>0</v>
      </c>
      <c r="AC31" s="964">
        <f>IF(6&gt;$Y$16,0,PROJECTIONS!T43+PROJECTIONS!T50+PROJECTIONS!T81+PROJECTIONS!T84)</f>
        <v>0</v>
      </c>
      <c r="AD31" s="964">
        <f>IF(6&gt;$Y$16,0,PROJECTIONS!T58/($Y$13*$Y$6*$Y$5))</f>
        <v>0</v>
      </c>
      <c r="AE31" s="964">
        <f>IF(6&gt;$Y$16,0,PROJECTIONS!T20/($Y$13*$Y$6*$Y$5))</f>
        <v>0</v>
      </c>
      <c r="AF31" s="964">
        <f>IF(6&gt;$Y$16,0,'PRO FORMA'!O67-IF('PRO FORMA'!O63="",0,'PRO FORMA'!O63)-IF('PRO FORMA'!O64="",0,'PRO FORMA'!O64))</f>
        <v>0</v>
      </c>
      <c r="AG31">
        <f>IFERROR(IF(AND(INPUTS!C33&lt;&gt;"",INPUTS!C33&lt;6),INDEX(DEBT!V19:V379,MATCH((6-INPUTS!C33)*12,DEBT!R19:R379,0))-INDEX(DEBT!Y19:Y379,MATCH((6-INPUTS!C33)*12,DEBT!R19:R379,0)),INDEX(DEBT!G19:G379,MATCH(6*12,DEBT!C19:C379,0))-INDEX(DEBT!J19:J379,MATCH(6*12,DEBT!C19:C379,0))),0)+IF(AND(INPUTS!C24="Yes",OR(INPUTS!C33="",INPUTS!C33&gt;=6)),IFERROR(INDEX(DEBT!$AO$21:$AO$30,6),0),0)</f>
        <v>0</v>
      </c>
    </row>
    <row r="32" spans="2:33">
      <c r="K32" s="1006" t="e">
        <f>$Y$13*$Y$14-$C$44</f>
        <v>#VALUE!</v>
      </c>
      <c r="L32" s="894">
        <f>IFERROR(_xlfn.LET(_xlpm.sRR,$K$32*$Y$5*$Y$6*$Y$26,_xlpm.sOR,($K$32/$Y$14)*$Y$5*$Y$6,_xlpm.sOI,$AE$26*_xlpm.sOR,_xlpm.sOD,$Y$23*_xlpm.sRR,_xlpm.sGR,_xlpm.sRR+_xlpm.sOI+_xlpm.sOD,_xlpm.sExp,$Z$26+$AB$26*_xlpm.sRR+($AC$26+INPUTS!$F$13)*_xlpm.sGR+$AD$26*_xlpm.sOR,_xlpm.sGR-_xlpm.sExp+$AA$26)/$Y$12,0)</f>
        <v>0</v>
      </c>
      <c r="M32" s="894">
        <f>IFERROR(_xlfn.LET(_xlpm.sRR,$K$32*$Y$5*$Y$6*$Y$27,_xlpm.sOR,($K$32/$Y$14)*$Y$5*$Y$6,_xlpm.sOI,$AE$27*_xlpm.sOR,_xlpm.sOD,$Y$23*_xlpm.sRR,_xlpm.sGR,_xlpm.sRR+_xlpm.sOI+_xlpm.sOD,_xlpm.sExp,$Z$27+$AB$27*_xlpm.sRR+($AC$27+INPUTS!$F$13)*_xlpm.sGR+$AD$27*_xlpm.sOR,_xlpm.sGR-_xlpm.sExp+$AA$27)/$Y$12,0)</f>
        <v>0</v>
      </c>
      <c r="N32" s="894">
        <f>IFERROR(_xlfn.LET(_xlpm.sRR,$K$32*$Y$5*$Y$6*$Y$28,_xlpm.sOR,($K$32/$Y$14)*$Y$5*$Y$6,_xlpm.sOI,$AE$28*_xlpm.sOR,_xlpm.sOD,$Y$23*_xlpm.sRR,_xlpm.sGR,_xlpm.sRR+_xlpm.sOI+_xlpm.sOD,_xlpm.sExp,$Z$28+$AB$28*_xlpm.sRR+($AC$28+INPUTS!$F$13)*_xlpm.sGR+$AD$28*_xlpm.sOR,_xlpm.sGR-_xlpm.sExp+$AA$28)/$Y$12,0)</f>
        <v>0</v>
      </c>
      <c r="O32" s="894">
        <f>IFERROR(_xlfn.LET(_xlpm.sRR,$K$32*$Y$5*$Y$6*$Y$29,_xlpm.sOR,($K$32/$Y$14)*$Y$5*$Y$6,_xlpm.sOI,$AE$29*_xlpm.sOR,_xlpm.sOD,$Y$23*_xlpm.sRR,_xlpm.sGR,_xlpm.sRR+_xlpm.sOI+_xlpm.sOD,_xlpm.sExp,$Z$29+$AB$29*_xlpm.sRR+($AC$29+INPUTS!$F$13)*_xlpm.sGR+$AD$29*_xlpm.sOR,_xlpm.sGR-_xlpm.sExp+$AA$29)/$Y$12,0)</f>
        <v>0</v>
      </c>
      <c r="P32" s="894">
        <f>IFERROR(_xlfn.LET(_xlpm.sRR,$K$32*$Y$5*$Y$6*$Y$30,_xlpm.sOR,($K$32/$Y$14)*$Y$5*$Y$6,_xlpm.sOI,$AE$30*_xlpm.sOR,_xlpm.sOD,$Y$23*_xlpm.sRR,_xlpm.sGR,_xlpm.sRR+_xlpm.sOI+_xlpm.sOD,_xlpm.sExp,$Z$30+$AB$30*_xlpm.sRR+($AC$30+INPUTS!$F$13)*_xlpm.sGR+$AD$30*_xlpm.sOR,_xlpm.sGR-_xlpm.sExp+$AA$30)/$Y$12,0)</f>
        <v>0</v>
      </c>
      <c r="Q32" s="894">
        <f>IFERROR(_xlfn.LET(_xlpm.sRR,$K$32*$Y$5*$Y$6*$Y$31,_xlpm.sOR,($K$32/$Y$14)*$Y$5*$Y$6,_xlpm.sOI,$AE$31*_xlpm.sOR,_xlpm.sOD,$Y$23*_xlpm.sRR,_xlpm.sGR,_xlpm.sRR+_xlpm.sOI+_xlpm.sOD,_xlpm.sExp,$Z$31+$AB$31*_xlpm.sRR+($AC$31+INPUTS!$F$13)*_xlpm.sGR+$AD$31*_xlpm.sOR,_xlpm.sGR-_xlpm.sExp+$AA$31)/$Y$12,0)</f>
        <v>0</v>
      </c>
      <c r="R32" s="894">
        <f>IFERROR(_xlfn.LET(_xlpm.sRR,$K$32*$Y$5*$Y$6*$Y$32,_xlpm.sOR,($K$32/$Y$14)*$Y$5*$Y$6,_xlpm.sOI,$AE$32*_xlpm.sOR,_xlpm.sOD,$Y$23*_xlpm.sRR,_xlpm.sGR,_xlpm.sRR+_xlpm.sOI+_xlpm.sOD,_xlpm.sExp,$Z$32+$AB$32*_xlpm.sRR+($AC$32+INPUTS!$F$13)*_xlpm.sGR+$AD$32*_xlpm.sOR,_xlpm.sGR-_xlpm.sExp+$AA$32)/$Y$12,0)</f>
        <v>0</v>
      </c>
      <c r="S32" s="894">
        <f>IFERROR(_xlfn.LET(_xlpm.sRR,$K$32*$Y$5*$Y$6*$Y$33,_xlpm.sOR,($K$32/$Y$14)*$Y$5*$Y$6,_xlpm.sOI,$AE$33*_xlpm.sOR,_xlpm.sOD,$Y$23*_xlpm.sRR,_xlpm.sGR,_xlpm.sRR+_xlpm.sOI+_xlpm.sOD,_xlpm.sExp,$Z$33+$AB$33*_xlpm.sRR+($AC$33+INPUTS!$F$13)*_xlpm.sGR+$AD$33*_xlpm.sOR,_xlpm.sGR-_xlpm.sExp+$AA$33)/$Y$12,0)</f>
        <v>0</v>
      </c>
      <c r="T32" s="894">
        <f>IFERROR(_xlfn.LET(_xlpm.sRR,$K$32*$Y$5*$Y$6*$Y$34,_xlpm.sOR,($K$32/$Y$14)*$Y$5*$Y$6,_xlpm.sOI,$AE$34*_xlpm.sOR,_xlpm.sOD,$Y$23*_xlpm.sRR,_xlpm.sGR,_xlpm.sRR+_xlpm.sOI+_xlpm.sOD,_xlpm.sExp,$Z$34+$AB$34*_xlpm.sRR+($AC$34+INPUTS!$F$13)*_xlpm.sGR+$AD$34*_xlpm.sOR,_xlpm.sGR-_xlpm.sExp+$AA$34)/$Y$12,0)</f>
        <v>0</v>
      </c>
      <c r="U32" s="899">
        <f>IFERROR(_xlfn.LET(_xlpm.sRR,$K$32*$Y$5*$Y$6*$Y$35,_xlpm.sOR,($K$32/$Y$14)*$Y$5*$Y$6,_xlpm.sOI,$AE$35*_xlpm.sOR,_xlpm.sOD,$Y$23*_xlpm.sRR,_xlpm.sGR,_xlpm.sRR+_xlpm.sOI+_xlpm.sOD,_xlpm.sExp,$Z$35+$AB$35*_xlpm.sRR+($AC$35+INPUTS!$F$13)*_xlpm.sGR+$AD$35*_xlpm.sOR,_xlpm.sGR-_xlpm.sExp+$AA$35+$Y$24)/$Y$12,0)</f>
        <v>0</v>
      </c>
      <c r="X32" s="892">
        <v>7</v>
      </c>
      <c r="Y32" s="932" cm="1">
        <f t="array" ref="Y32">IF(7&gt;$Y$16,0,IFERROR('PRO FORMA'!Q17/INDEX('PRO FORMA'!E17:W17,1,($Y$16-1)*2+1),0))</f>
        <v>0</v>
      </c>
      <c r="Z32" s="930">
        <f>IF(7&gt;$Y$16,0,PROJECTIONS!V46+PROJECTIONS!V52+PROJECTIONS!V61+PROJECTIONS!V64+PROJECTIONS!V68+PROJECTIONS!V71+PROJECTIONS!V74+PROJECTIONS!V77)</f>
        <v>0</v>
      </c>
      <c r="AA32" s="931">
        <f>IF(7&gt;$Y$16,0,'PRO FORMA'!Q56+'PRO FORMA'!Q58)</f>
        <v>0</v>
      </c>
      <c r="AB32" s="930">
        <f>IF(7&gt;$Y$16,0,PROJECTIONS!V34+PROJECTIONS!V56)</f>
        <v>0</v>
      </c>
      <c r="AC32" s="964">
        <f>IF(7&gt;$Y$16,0,PROJECTIONS!V43+PROJECTIONS!V50+PROJECTIONS!V81+PROJECTIONS!V84)</f>
        <v>0</v>
      </c>
      <c r="AD32" s="964">
        <f>IF(7&gt;$Y$16,0,PROJECTIONS!V58/($Y$13*$Y$6*$Y$5))</f>
        <v>0</v>
      </c>
      <c r="AE32" s="964">
        <f>IF(7&gt;$Y$16,0,PROJECTIONS!V20/($Y$13*$Y$6*$Y$5))</f>
        <v>0</v>
      </c>
      <c r="AF32" s="964">
        <f>IF(7&gt;$Y$16,0,'PRO FORMA'!Q67-IF('PRO FORMA'!Q63="",0,'PRO FORMA'!Q63)-IF('PRO FORMA'!Q64="",0,'PRO FORMA'!Q64))</f>
        <v>0</v>
      </c>
      <c r="AG32">
        <f>IFERROR(IF(AND(INPUTS!C33&lt;&gt;"",INPUTS!C33&lt;7),INDEX(DEBT!V19:V379,MATCH((7-INPUTS!C33)*12,DEBT!R19:R379,0))-INDEX(DEBT!Y19:Y379,MATCH((7-INPUTS!C33)*12,DEBT!R19:R379,0)),INDEX(DEBT!G19:G379,MATCH(7*12,DEBT!C19:C379,0))-INDEX(DEBT!J19:J379,MATCH(7*12,DEBT!C19:C379,0))),0)+IF(AND(INPUTS!C24="Yes",OR(INPUTS!C33="",INPUTS!C33&gt;=7)),IFERROR(INDEX(DEBT!$AO$21:$AO$30,7),0),0)</f>
        <v>0</v>
      </c>
    </row>
    <row r="33" spans="2:33">
      <c r="K33" s="1007" t="e">
        <f>$Y$13*$Y$14</f>
        <v>#VALUE!</v>
      </c>
      <c r="L33" s="894">
        <f>IFERROR(_xlfn.LET(_xlpm.sRR,$K$33*$Y$5*$Y$6*$Y$26,_xlpm.sOR,($K$33/$Y$14)*$Y$5*$Y$6,_xlpm.sOI,$AE$26*_xlpm.sOR,_xlpm.sOD,$Y$23*_xlpm.sRR,_xlpm.sGR,_xlpm.sRR+_xlpm.sOI+_xlpm.sOD,_xlpm.sExp,$Z$26+$AB$26*_xlpm.sRR+($AC$26+INPUTS!$F$13)*_xlpm.sGR+$AD$26*_xlpm.sOR,_xlpm.sGR-_xlpm.sExp+$AA$26)/$Y$12,0)</f>
        <v>0</v>
      </c>
      <c r="M33" s="894">
        <f>IFERROR(_xlfn.LET(_xlpm.sRR,$K$33*$Y$5*$Y$6*$Y$27,_xlpm.sOR,($K$33/$Y$14)*$Y$5*$Y$6,_xlpm.sOI,$AE$27*_xlpm.sOR,_xlpm.sOD,$Y$23*_xlpm.sRR,_xlpm.sGR,_xlpm.sRR+_xlpm.sOI+_xlpm.sOD,_xlpm.sExp,$Z$27+$AB$27*_xlpm.sRR+($AC$27+INPUTS!$F$13)*_xlpm.sGR+$AD$27*_xlpm.sOR,_xlpm.sGR-_xlpm.sExp+$AA$27)/$Y$12,0)</f>
        <v>0</v>
      </c>
      <c r="N33" s="894">
        <f>IFERROR(_xlfn.LET(_xlpm.sRR,$K$33*$Y$5*$Y$6*$Y$28,_xlpm.sOR,($K$33/$Y$14)*$Y$5*$Y$6,_xlpm.sOI,$AE$28*_xlpm.sOR,_xlpm.sOD,$Y$23*_xlpm.sRR,_xlpm.sGR,_xlpm.sRR+_xlpm.sOI+_xlpm.sOD,_xlpm.sExp,$Z$28+$AB$28*_xlpm.sRR+($AC$28+INPUTS!$F$13)*_xlpm.sGR+$AD$28*_xlpm.sOR,_xlpm.sGR-_xlpm.sExp+$AA$28)/$Y$12,0)</f>
        <v>0</v>
      </c>
      <c r="O33" s="894">
        <f>IFERROR(_xlfn.LET(_xlpm.sRR,$K$33*$Y$5*$Y$6*$Y$29,_xlpm.sOR,($K$33/$Y$14)*$Y$5*$Y$6,_xlpm.sOI,$AE$29*_xlpm.sOR,_xlpm.sOD,$Y$23*_xlpm.sRR,_xlpm.sGR,_xlpm.sRR+_xlpm.sOI+_xlpm.sOD,_xlpm.sExp,$Z$29+$AB$29*_xlpm.sRR+($AC$29+INPUTS!$F$13)*_xlpm.sGR+$AD$29*_xlpm.sOR,_xlpm.sGR-_xlpm.sExp+$AA$29)/$Y$12,0)</f>
        <v>0</v>
      </c>
      <c r="P33" s="894">
        <f>IFERROR(_xlfn.LET(_xlpm.sRR,$K$33*$Y$5*$Y$6*$Y$30,_xlpm.sOR,($K$33/$Y$14)*$Y$5*$Y$6,_xlpm.sOI,$AE$30*_xlpm.sOR,_xlpm.sOD,$Y$23*_xlpm.sRR,_xlpm.sGR,_xlpm.sRR+_xlpm.sOI+_xlpm.sOD,_xlpm.sExp,$Z$30+$AB$30*_xlpm.sRR+($AC$30+INPUTS!$F$13)*_xlpm.sGR+$AD$30*_xlpm.sOR,_xlpm.sGR-_xlpm.sExp+$AA$30)/$Y$12,0)</f>
        <v>0</v>
      </c>
      <c r="Q33" s="894">
        <f>IFERROR(_xlfn.LET(_xlpm.sRR,$K$33*$Y$5*$Y$6*$Y$31,_xlpm.sOR,($K$33/$Y$14)*$Y$5*$Y$6,_xlpm.sOI,$AE$31*_xlpm.sOR,_xlpm.sOD,$Y$23*_xlpm.sRR,_xlpm.sGR,_xlpm.sRR+_xlpm.sOI+_xlpm.sOD,_xlpm.sExp,$Z$31+$AB$31*_xlpm.sRR+($AC$31+INPUTS!$F$13)*_xlpm.sGR+$AD$31*_xlpm.sOR,_xlpm.sGR-_xlpm.sExp+$AA$31)/$Y$12,0)</f>
        <v>0</v>
      </c>
      <c r="R33" s="894">
        <f>IFERROR(_xlfn.LET(_xlpm.sRR,$K$33*$Y$5*$Y$6*$Y$32,_xlpm.sOR,($K$33/$Y$14)*$Y$5*$Y$6,_xlpm.sOI,$AE$32*_xlpm.sOR,_xlpm.sOD,$Y$23*_xlpm.sRR,_xlpm.sGR,_xlpm.sRR+_xlpm.sOI+_xlpm.sOD,_xlpm.sExp,$Z$32+$AB$32*_xlpm.sRR+($AC$32+INPUTS!$F$13)*_xlpm.sGR+$AD$32*_xlpm.sOR,_xlpm.sGR-_xlpm.sExp+$AA$32)/$Y$12,0)</f>
        <v>0</v>
      </c>
      <c r="S33" s="894">
        <f>IFERROR(_xlfn.LET(_xlpm.sRR,$K$33*$Y$5*$Y$6*$Y$33,_xlpm.sOR,($K$33/$Y$14)*$Y$5*$Y$6,_xlpm.sOI,$AE$33*_xlpm.sOR,_xlpm.sOD,$Y$23*_xlpm.sRR,_xlpm.sGR,_xlpm.sRR+_xlpm.sOI+_xlpm.sOD,_xlpm.sExp,$Z$33+$AB$33*_xlpm.sRR+($AC$33+INPUTS!$F$13)*_xlpm.sGR+$AD$33*_xlpm.sOR,_xlpm.sGR-_xlpm.sExp+$AA$33)/$Y$12,0)</f>
        <v>0</v>
      </c>
      <c r="T33" s="894">
        <f>IFERROR(_xlfn.LET(_xlpm.sRR,$K$33*$Y$5*$Y$6*$Y$34,_xlpm.sOR,($K$33/$Y$14)*$Y$5*$Y$6,_xlpm.sOI,$AE$34*_xlpm.sOR,_xlpm.sOD,$Y$23*_xlpm.sRR,_xlpm.sGR,_xlpm.sRR+_xlpm.sOI+_xlpm.sOD,_xlpm.sExp,$Z$34+$AB$34*_xlpm.sRR+($AC$34+INPUTS!$F$13)*_xlpm.sGR+$AD$34*_xlpm.sOR,_xlpm.sGR-_xlpm.sExp+$AA$34)/$Y$12,0)</f>
        <v>0</v>
      </c>
      <c r="U33" s="900">
        <f>IFERROR(_xlfn.LET(_xlpm.sRR,$K$33*$Y$5*$Y$6*$Y$35,_xlpm.sOR,($K$33/$Y$14)*$Y$5*$Y$6,_xlpm.sOI,$AE$35*_xlpm.sOR,_xlpm.sOD,$Y$23*_xlpm.sRR,_xlpm.sGR,_xlpm.sRR+_xlpm.sOI+_xlpm.sOD,_xlpm.sExp,$Z$35+$AB$35*_xlpm.sRR+($AC$35+INPUTS!$F$13)*_xlpm.sGR+$AD$35*_xlpm.sOR,_xlpm.sGR-_xlpm.sExp+$AA$35+$Y$24)/$Y$12,0)</f>
        <v>0</v>
      </c>
      <c r="X33" s="892">
        <v>8</v>
      </c>
      <c r="Y33" s="932" cm="1">
        <f t="array" ref="Y33">IF(8&gt;$Y$16,0,IFERROR('PRO FORMA'!S17/INDEX('PRO FORMA'!E17:W17,1,($Y$16-1)*2+1),0))</f>
        <v>0</v>
      </c>
      <c r="Z33" s="930">
        <f>IF(8&gt;$Y$16,0,PROJECTIONS!X46+PROJECTIONS!X52+PROJECTIONS!X61+PROJECTIONS!X64+PROJECTIONS!X68+PROJECTIONS!X71+PROJECTIONS!X74+PROJECTIONS!X77)</f>
        <v>0</v>
      </c>
      <c r="AA33" s="931">
        <f>IF(8&gt;$Y$16,0,'PRO FORMA'!S56+'PRO FORMA'!S58)</f>
        <v>0</v>
      </c>
      <c r="AB33" s="930">
        <f>IF(8&gt;$Y$16,0,PROJECTIONS!X34+PROJECTIONS!X56)</f>
        <v>0</v>
      </c>
      <c r="AC33" s="964">
        <f>IF(8&gt;$Y$16,0,PROJECTIONS!X43+PROJECTIONS!X50+PROJECTIONS!X81+PROJECTIONS!X84)</f>
        <v>0</v>
      </c>
      <c r="AD33" s="964">
        <f>IF(8&gt;$Y$16,0,PROJECTIONS!X58/($Y$13*$Y$6*$Y$5))</f>
        <v>0</v>
      </c>
      <c r="AE33" s="964">
        <f>IF(8&gt;$Y$16,0,PROJECTIONS!X20/($Y$13*$Y$6*$Y$5))</f>
        <v>0</v>
      </c>
      <c r="AF33" s="964">
        <f>IF(8&gt;$Y$16,0,'PRO FORMA'!S67-IF('PRO FORMA'!S63="",0,'PRO FORMA'!S63)-IF('PRO FORMA'!S64="",0,'PRO FORMA'!S64))</f>
        <v>0</v>
      </c>
      <c r="AG33">
        <f>IFERROR(IF(AND(INPUTS!C33&lt;&gt;"",INPUTS!C33&lt;8),INDEX(DEBT!V19:V379,MATCH((8-INPUTS!C33)*12,DEBT!R19:R379,0))-INDEX(DEBT!Y19:Y379,MATCH((8-INPUTS!C33)*12,DEBT!R19:R379,0)),INDEX(DEBT!G19:G379,MATCH(8*12,DEBT!C19:C379,0))-INDEX(DEBT!J19:J379,MATCH(8*12,DEBT!C19:C379,0))),0)+IF(AND(INPUTS!C24="Yes",OR(INPUTS!C33="",INPUTS!C33&gt;=8)),IFERROR(INDEX(DEBT!$AO$21:$AO$30,8),0),0)</f>
        <v>0</v>
      </c>
    </row>
    <row r="34" spans="2:33">
      <c r="K34" s="1006" t="e">
        <f>$Y$13*$Y$14+$C$44</f>
        <v>#VALUE!</v>
      </c>
      <c r="L34" s="894">
        <f>IFERROR(_xlfn.LET(_xlpm.sRR,$K$34*$Y$5*$Y$6*$Y$26,_xlpm.sOR,($K$34/$Y$14)*$Y$5*$Y$6,_xlpm.sOI,$AE$26*_xlpm.sOR,_xlpm.sOD,$Y$23*_xlpm.sRR,_xlpm.sGR,_xlpm.sRR+_xlpm.sOI+_xlpm.sOD,_xlpm.sExp,$Z$26+$AB$26*_xlpm.sRR+($AC$26+INPUTS!$F$13)*_xlpm.sGR+$AD$26*_xlpm.sOR,_xlpm.sGR-_xlpm.sExp+$AA$26)/$Y$12,0)</f>
        <v>0</v>
      </c>
      <c r="M34" s="894">
        <f>IFERROR(_xlfn.LET(_xlpm.sRR,$K$34*$Y$5*$Y$6*$Y$27,_xlpm.sOR,($K$34/$Y$14)*$Y$5*$Y$6,_xlpm.sOI,$AE$27*_xlpm.sOR,_xlpm.sOD,$Y$23*_xlpm.sRR,_xlpm.sGR,_xlpm.sRR+_xlpm.sOI+_xlpm.sOD,_xlpm.sExp,$Z$27+$AB$27*_xlpm.sRR+($AC$27+INPUTS!$F$13)*_xlpm.sGR+$AD$27*_xlpm.sOR,_xlpm.sGR-_xlpm.sExp+$AA$27)/$Y$12,0)</f>
        <v>0</v>
      </c>
      <c r="N34" s="894">
        <f>IFERROR(_xlfn.LET(_xlpm.sRR,$K$34*$Y$5*$Y$6*$Y$28,_xlpm.sOR,($K$34/$Y$14)*$Y$5*$Y$6,_xlpm.sOI,$AE$28*_xlpm.sOR,_xlpm.sOD,$Y$23*_xlpm.sRR,_xlpm.sGR,_xlpm.sRR+_xlpm.sOI+_xlpm.sOD,_xlpm.sExp,$Z$28+$AB$28*_xlpm.sRR+($AC$28+INPUTS!$F$13)*_xlpm.sGR+$AD$28*_xlpm.sOR,_xlpm.sGR-_xlpm.sExp+$AA$28)/$Y$12,0)</f>
        <v>0</v>
      </c>
      <c r="O34" s="894">
        <f>IFERROR(_xlfn.LET(_xlpm.sRR,$K$34*$Y$5*$Y$6*$Y$29,_xlpm.sOR,($K$34/$Y$14)*$Y$5*$Y$6,_xlpm.sOI,$AE$29*_xlpm.sOR,_xlpm.sOD,$Y$23*_xlpm.sRR,_xlpm.sGR,_xlpm.sRR+_xlpm.sOI+_xlpm.sOD,_xlpm.sExp,$Z$29+$AB$29*_xlpm.sRR+($AC$29+INPUTS!$F$13)*_xlpm.sGR+$AD$29*_xlpm.sOR,_xlpm.sGR-_xlpm.sExp+$AA$29)/$Y$12,0)</f>
        <v>0</v>
      </c>
      <c r="P34" s="894">
        <f>IFERROR(_xlfn.LET(_xlpm.sRR,$K$34*$Y$5*$Y$6*$Y$30,_xlpm.sOR,($K$34/$Y$14)*$Y$5*$Y$6,_xlpm.sOI,$AE$30*_xlpm.sOR,_xlpm.sOD,$Y$23*_xlpm.sRR,_xlpm.sGR,_xlpm.sRR+_xlpm.sOI+_xlpm.sOD,_xlpm.sExp,$Z$30+$AB$30*_xlpm.sRR+($AC$30+INPUTS!$F$13)*_xlpm.sGR+$AD$30*_xlpm.sOR,_xlpm.sGR-_xlpm.sExp+$AA$30)/$Y$12,0)</f>
        <v>0</v>
      </c>
      <c r="Q34" s="894">
        <f>IFERROR(_xlfn.LET(_xlpm.sRR,$K$34*$Y$5*$Y$6*$Y$31,_xlpm.sOR,($K$34/$Y$14)*$Y$5*$Y$6,_xlpm.sOI,$AE$31*_xlpm.sOR,_xlpm.sOD,$Y$23*_xlpm.sRR,_xlpm.sGR,_xlpm.sRR+_xlpm.sOI+_xlpm.sOD,_xlpm.sExp,$Z$31+$AB$31*_xlpm.sRR+($AC$31+INPUTS!$F$13)*_xlpm.sGR+$AD$31*_xlpm.sOR,_xlpm.sGR-_xlpm.sExp+$AA$31)/$Y$12,0)</f>
        <v>0</v>
      </c>
      <c r="R34" s="894">
        <f>IFERROR(_xlfn.LET(_xlpm.sRR,$K$34*$Y$5*$Y$6*$Y$32,_xlpm.sOR,($K$34/$Y$14)*$Y$5*$Y$6,_xlpm.sOI,$AE$32*_xlpm.sOR,_xlpm.sOD,$Y$23*_xlpm.sRR,_xlpm.sGR,_xlpm.sRR+_xlpm.sOI+_xlpm.sOD,_xlpm.sExp,$Z$32+$AB$32*_xlpm.sRR+($AC$32+INPUTS!$F$13)*_xlpm.sGR+$AD$32*_xlpm.sOR,_xlpm.sGR-_xlpm.sExp+$AA$32)/$Y$12,0)</f>
        <v>0</v>
      </c>
      <c r="S34" s="894">
        <f>IFERROR(_xlfn.LET(_xlpm.sRR,$K$34*$Y$5*$Y$6*$Y$33,_xlpm.sOR,($K$34/$Y$14)*$Y$5*$Y$6,_xlpm.sOI,$AE$33*_xlpm.sOR,_xlpm.sOD,$Y$23*_xlpm.sRR,_xlpm.sGR,_xlpm.sRR+_xlpm.sOI+_xlpm.sOD,_xlpm.sExp,$Z$33+$AB$33*_xlpm.sRR+($AC$33+INPUTS!$F$13)*_xlpm.sGR+$AD$33*_xlpm.sOR,_xlpm.sGR-_xlpm.sExp+$AA$33)/$Y$12,0)</f>
        <v>0</v>
      </c>
      <c r="T34" s="894">
        <f>IFERROR(_xlfn.LET(_xlpm.sRR,$K$34*$Y$5*$Y$6*$Y$34,_xlpm.sOR,($K$34/$Y$14)*$Y$5*$Y$6,_xlpm.sOI,$AE$34*_xlpm.sOR,_xlpm.sOD,$Y$23*_xlpm.sRR,_xlpm.sGR,_xlpm.sRR+_xlpm.sOI+_xlpm.sOD,_xlpm.sExp,$Z$34+$AB$34*_xlpm.sRR+($AC$34+INPUTS!$F$13)*_xlpm.sGR+$AD$34*_xlpm.sOR,_xlpm.sGR-_xlpm.sExp+$AA$34)/$Y$12,0)</f>
        <v>0</v>
      </c>
      <c r="U34" s="899">
        <f>IFERROR(_xlfn.LET(_xlpm.sRR,$K$34*$Y$5*$Y$6*$Y$35,_xlpm.sOR,($K$34/$Y$14)*$Y$5*$Y$6,_xlpm.sOI,$AE$35*_xlpm.sOR,_xlpm.sOD,$Y$23*_xlpm.sRR,_xlpm.sGR,_xlpm.sRR+_xlpm.sOI+_xlpm.sOD,_xlpm.sExp,$Z$35+$AB$35*_xlpm.sRR+($AC$35+INPUTS!$F$13)*_xlpm.sGR+$AD$35*_xlpm.sOR,_xlpm.sGR-_xlpm.sExp+$AA$35+$Y$24)/$Y$12,0)</f>
        <v>0</v>
      </c>
      <c r="X34" s="892">
        <v>9</v>
      </c>
      <c r="Y34" s="932" cm="1">
        <f t="array" ref="Y34">IF(9&gt;$Y$16,0,IFERROR('PRO FORMA'!U17/INDEX('PRO FORMA'!E17:W17,1,($Y$16-1)*2+1),0))</f>
        <v>0</v>
      </c>
      <c r="Z34" s="930">
        <f>IF(9&gt;$Y$16,0,PROJECTIONS!Z46+PROJECTIONS!Z52+PROJECTIONS!Z61+PROJECTIONS!Z64+PROJECTIONS!Z68+PROJECTIONS!Z71+PROJECTIONS!Z74+PROJECTIONS!Z77)</f>
        <v>0</v>
      </c>
      <c r="AA34" s="931">
        <f>IF(9&gt;$Y$16,0,'PRO FORMA'!U56+'PRO FORMA'!U58)</f>
        <v>0</v>
      </c>
      <c r="AB34" s="930">
        <f>IF(9&gt;$Y$16,0,PROJECTIONS!Z34+PROJECTIONS!Z56)</f>
        <v>0</v>
      </c>
      <c r="AC34" s="964">
        <f>IF(9&gt;$Y$16,0,PROJECTIONS!Z43+PROJECTIONS!Z50+PROJECTIONS!Z81+PROJECTIONS!Z84)</f>
        <v>0</v>
      </c>
      <c r="AD34" s="964">
        <f>IF(9&gt;$Y$16,0,PROJECTIONS!Z58/($Y$13*$Y$6*$Y$5))</f>
        <v>0</v>
      </c>
      <c r="AE34" s="964">
        <f>IF(9&gt;$Y$16,0,PROJECTIONS!Z20/($Y$13*$Y$6*$Y$5))</f>
        <v>0</v>
      </c>
      <c r="AF34" s="964">
        <f>IF(9&gt;$Y$16,0,'PRO FORMA'!U67-IF('PRO FORMA'!U63="",0,'PRO FORMA'!U63)-IF('PRO FORMA'!U64="",0,'PRO FORMA'!U64))</f>
        <v>0</v>
      </c>
      <c r="AG34">
        <f>IFERROR(IF(AND(INPUTS!C33&lt;&gt;"",INPUTS!C33&lt;9),INDEX(DEBT!V19:V379,MATCH((9-INPUTS!C33)*12,DEBT!R19:R379,0))-INDEX(DEBT!Y19:Y379,MATCH((9-INPUTS!C33)*12,DEBT!R19:R379,0)),INDEX(DEBT!G19:G379,MATCH(9*12,DEBT!C19:C379,0))-INDEX(DEBT!J19:J379,MATCH(9*12,DEBT!C19:C379,0))),0)+IF(AND(INPUTS!C24="Yes",OR(INPUTS!C33="",INPUTS!C33&gt;=9)),IFERROR(INDEX(DEBT!$AO$21:$AO$30,9),0),0)</f>
        <v>0</v>
      </c>
    </row>
    <row r="35" spans="2:33">
      <c r="K35" s="1006" t="e">
        <f>$Y$13*$Y$14+2*$C$44</f>
        <v>#VALUE!</v>
      </c>
      <c r="L35" s="894">
        <f>IFERROR(_xlfn.LET(_xlpm.sRR,$K$35*$Y$5*$Y$6*$Y$26,_xlpm.sOR,($K$35/$Y$14)*$Y$5*$Y$6,_xlpm.sOI,$AE$26*_xlpm.sOR,_xlpm.sOD,$Y$23*_xlpm.sRR,_xlpm.sGR,_xlpm.sRR+_xlpm.sOI+_xlpm.sOD,_xlpm.sExp,$Z$26+$AB$26*_xlpm.sRR+($AC$26+INPUTS!$F$13)*_xlpm.sGR+$AD$26*_xlpm.sOR,_xlpm.sGR-_xlpm.sExp+$AA$26)/$Y$12,0)</f>
        <v>0</v>
      </c>
      <c r="M35" s="894">
        <f>IFERROR(_xlfn.LET(_xlpm.sRR,$K$35*$Y$5*$Y$6*$Y$27,_xlpm.sOR,($K$35/$Y$14)*$Y$5*$Y$6,_xlpm.sOI,$AE$27*_xlpm.sOR,_xlpm.sOD,$Y$23*_xlpm.sRR,_xlpm.sGR,_xlpm.sRR+_xlpm.sOI+_xlpm.sOD,_xlpm.sExp,$Z$27+$AB$27*_xlpm.sRR+($AC$27+INPUTS!$F$13)*_xlpm.sGR+$AD$27*_xlpm.sOR,_xlpm.sGR-_xlpm.sExp+$AA$27)/$Y$12,0)</f>
        <v>0</v>
      </c>
      <c r="N35" s="894">
        <f>IFERROR(_xlfn.LET(_xlpm.sRR,$K$35*$Y$5*$Y$6*$Y$28,_xlpm.sOR,($K$35/$Y$14)*$Y$5*$Y$6,_xlpm.sOI,$AE$28*_xlpm.sOR,_xlpm.sOD,$Y$23*_xlpm.sRR,_xlpm.sGR,_xlpm.sRR+_xlpm.sOI+_xlpm.sOD,_xlpm.sExp,$Z$28+$AB$28*_xlpm.sRR+($AC$28+INPUTS!$F$13)*_xlpm.sGR+$AD$28*_xlpm.sOR,_xlpm.sGR-_xlpm.sExp+$AA$28)/$Y$12,0)</f>
        <v>0</v>
      </c>
      <c r="O35" s="894">
        <f>IFERROR(_xlfn.LET(_xlpm.sRR,$K$35*$Y$5*$Y$6*$Y$29,_xlpm.sOR,($K$35/$Y$14)*$Y$5*$Y$6,_xlpm.sOI,$AE$29*_xlpm.sOR,_xlpm.sOD,$Y$23*_xlpm.sRR,_xlpm.sGR,_xlpm.sRR+_xlpm.sOI+_xlpm.sOD,_xlpm.sExp,$Z$29+$AB$29*_xlpm.sRR+($AC$29+INPUTS!$F$13)*_xlpm.sGR+$AD$29*_xlpm.sOR,_xlpm.sGR-_xlpm.sExp+$AA$29)/$Y$12,0)</f>
        <v>0</v>
      </c>
      <c r="P35" s="894">
        <f>IFERROR(_xlfn.LET(_xlpm.sRR,$K$35*$Y$5*$Y$6*$Y$30,_xlpm.sOR,($K$35/$Y$14)*$Y$5*$Y$6,_xlpm.sOI,$AE$30*_xlpm.sOR,_xlpm.sOD,$Y$23*_xlpm.sRR,_xlpm.sGR,_xlpm.sRR+_xlpm.sOI+_xlpm.sOD,_xlpm.sExp,$Z$30+$AB$30*_xlpm.sRR+($AC$30+INPUTS!$F$13)*_xlpm.sGR+$AD$30*_xlpm.sOR,_xlpm.sGR-_xlpm.sExp+$AA$30)/$Y$12,0)</f>
        <v>0</v>
      </c>
      <c r="Q35" s="894">
        <f>IFERROR(_xlfn.LET(_xlpm.sRR,$K$35*$Y$5*$Y$6*$Y$31,_xlpm.sOR,($K$35/$Y$14)*$Y$5*$Y$6,_xlpm.sOI,$AE$31*_xlpm.sOR,_xlpm.sOD,$Y$23*_xlpm.sRR,_xlpm.sGR,_xlpm.sRR+_xlpm.sOI+_xlpm.sOD,_xlpm.sExp,$Z$31+$AB$31*_xlpm.sRR+($AC$31+INPUTS!$F$13)*_xlpm.sGR+$AD$31*_xlpm.sOR,_xlpm.sGR-_xlpm.sExp+$AA$31)/$Y$12,0)</f>
        <v>0</v>
      </c>
      <c r="R35" s="894">
        <f>IFERROR(_xlfn.LET(_xlpm.sRR,$K$35*$Y$5*$Y$6*$Y$32,_xlpm.sOR,($K$35/$Y$14)*$Y$5*$Y$6,_xlpm.sOI,$AE$32*_xlpm.sOR,_xlpm.sOD,$Y$23*_xlpm.sRR,_xlpm.sGR,_xlpm.sRR+_xlpm.sOI+_xlpm.sOD,_xlpm.sExp,$Z$32+$AB$32*_xlpm.sRR+($AC$32+INPUTS!$F$13)*_xlpm.sGR+$AD$32*_xlpm.sOR,_xlpm.sGR-_xlpm.sExp+$AA$32)/$Y$12,0)</f>
        <v>0</v>
      </c>
      <c r="S35" s="894">
        <f>IFERROR(_xlfn.LET(_xlpm.sRR,$K$35*$Y$5*$Y$6*$Y$33,_xlpm.sOR,($K$35/$Y$14)*$Y$5*$Y$6,_xlpm.sOI,$AE$33*_xlpm.sOR,_xlpm.sOD,$Y$23*_xlpm.sRR,_xlpm.sGR,_xlpm.sRR+_xlpm.sOI+_xlpm.sOD,_xlpm.sExp,$Z$33+$AB$33*_xlpm.sRR+($AC$33+INPUTS!$F$13)*_xlpm.sGR+$AD$33*_xlpm.sOR,_xlpm.sGR-_xlpm.sExp+$AA$33)/$Y$12,0)</f>
        <v>0</v>
      </c>
      <c r="T35" s="894">
        <f>IFERROR(_xlfn.LET(_xlpm.sRR,$K$35*$Y$5*$Y$6*$Y$34,_xlpm.sOR,($K$35/$Y$14)*$Y$5*$Y$6,_xlpm.sOI,$AE$34*_xlpm.sOR,_xlpm.sOD,$Y$23*_xlpm.sRR,_xlpm.sGR,_xlpm.sRR+_xlpm.sOI+_xlpm.sOD,_xlpm.sExp,$Z$34+$AB$34*_xlpm.sRR+($AC$34+INPUTS!$F$13)*_xlpm.sGR+$AD$34*_xlpm.sOR,_xlpm.sGR-_xlpm.sExp+$AA$34)/$Y$12,0)</f>
        <v>0</v>
      </c>
      <c r="U35" s="899">
        <f>IFERROR(_xlfn.LET(_xlpm.sRR,$K$35*$Y$5*$Y$6*$Y$35,_xlpm.sOR,($K$35/$Y$14)*$Y$5*$Y$6,_xlpm.sOI,$AE$35*_xlpm.sOR,_xlpm.sOD,$Y$23*_xlpm.sRR,_xlpm.sGR,_xlpm.sRR+_xlpm.sOI+_xlpm.sOD,_xlpm.sExp,$Z$35+$AB$35*_xlpm.sRR+($AC$35+INPUTS!$F$13)*_xlpm.sGR+$AD$35*_xlpm.sOR,_xlpm.sGR-_xlpm.sExp+$AA$35+$Y$24)/$Y$12,0)</f>
        <v>0</v>
      </c>
      <c r="X35" s="892">
        <v>10</v>
      </c>
      <c r="Y35" s="932" cm="1">
        <f t="array" ref="Y35">IF(10&gt;$Y$16,0,IFERROR('PRO FORMA'!W17/INDEX('PRO FORMA'!E17:W17,1,($Y$16-1)*2+1),0))</f>
        <v>0</v>
      </c>
      <c r="Z35" s="930">
        <f>IF(10&gt;$Y$16,0,PROJECTIONS!AB46+PROJECTIONS!AB52+PROJECTIONS!AB61+PROJECTIONS!AB64+PROJECTIONS!AB68+PROJECTIONS!AB71+PROJECTIONS!AB74+PROJECTIONS!AB77)</f>
        <v>0</v>
      </c>
      <c r="AA35" s="931">
        <f>IF(10&gt;$Y$16,0,'PRO FORMA'!W56+'PRO FORMA'!W58)</f>
        <v>0</v>
      </c>
      <c r="AB35" s="930">
        <f>IF(10&gt;$Y$16,0,PROJECTIONS!AB34+PROJECTIONS!AB56)</f>
        <v>0</v>
      </c>
      <c r="AC35" s="964">
        <f>IF(10&gt;$Y$16,0,PROJECTIONS!AB43+PROJECTIONS!AB50+PROJECTIONS!AB81+PROJECTIONS!AB84)</f>
        <v>0</v>
      </c>
      <c r="AD35" s="964">
        <f>IF(10&gt;$Y$16,0,PROJECTIONS!AB58/($Y$13*$Y$6*$Y$5))</f>
        <v>0</v>
      </c>
      <c r="AE35" s="964">
        <f>IF(10&gt;$Y$16,0,PROJECTIONS!AB20/($Y$13*$Y$6*$Y$5))</f>
        <v>0</v>
      </c>
      <c r="AF35" s="964">
        <f>IF(10&gt;$Y$16,0,'PRO FORMA'!W67-IF('PRO FORMA'!W63="",0,'PRO FORMA'!W63)-IF('PRO FORMA'!W64="",0,'PRO FORMA'!W64))</f>
        <v>0</v>
      </c>
      <c r="AG35">
        <f>IFERROR(IF(AND(INPUTS!C33&lt;&gt;"",INPUTS!C33&lt;10),INDEX(DEBT!V19:V379,MATCH((10-INPUTS!C33)*12,DEBT!R19:R379,0))-INDEX(DEBT!Y19:Y379,MATCH((10-INPUTS!C33)*12,DEBT!R19:R379,0)),INDEX(DEBT!G19:G379,MATCH(10*12,DEBT!C19:C379,0))-INDEX(DEBT!J19:J379,MATCH(10*12,DEBT!C19:C379,0))),0)+IF(AND(INPUTS!C24="Yes",OR(INPUTS!C33="",INPUTS!C33&gt;=10)),IFERROR(INDEX(DEBT!$AO$21:$AO$30,10),0),0)</f>
        <v>0</v>
      </c>
    </row>
    <row r="36" spans="2:33">
      <c r="K36" s="1008" t="e">
        <f>$Y$13*$Y$14+3*$C$44</f>
        <v>#VALUE!</v>
      </c>
      <c r="L36" s="896">
        <f>IFERROR(_xlfn.LET(_xlpm.sRR,$K$36*$Y$5*$Y$6*$Y$26,_xlpm.sOR,($K$36/$Y$14)*$Y$5*$Y$6,_xlpm.sOI,$AE$26*_xlpm.sOR,_xlpm.sOD,$Y$23*_xlpm.sRR,_xlpm.sGR,_xlpm.sRR+_xlpm.sOI+_xlpm.sOD,_xlpm.sExp,$Z$26+$AB$26*_xlpm.sRR+($AC$26+INPUTS!$F$13)*_xlpm.sGR+$AD$26*_xlpm.sOR,_xlpm.sGR-_xlpm.sExp+$AA$26)/$Y$12,0)</f>
        <v>0</v>
      </c>
      <c r="M36" s="896">
        <f>IFERROR(_xlfn.LET(_xlpm.sRR,$K$36*$Y$5*$Y$6*$Y$27,_xlpm.sOR,($K$36/$Y$14)*$Y$5*$Y$6,_xlpm.sOI,$AE$27*_xlpm.sOR,_xlpm.sOD,$Y$23*_xlpm.sRR,_xlpm.sGR,_xlpm.sRR+_xlpm.sOI+_xlpm.sOD,_xlpm.sExp,$Z$27+$AB$27*_xlpm.sRR+($AC$27+INPUTS!$F$13)*_xlpm.sGR+$AD$27*_xlpm.sOR,_xlpm.sGR-_xlpm.sExp+$AA$27)/$Y$12,0)</f>
        <v>0</v>
      </c>
      <c r="N36" s="896">
        <f>IFERROR(_xlfn.LET(_xlpm.sRR,$K$36*$Y$5*$Y$6*$Y$28,_xlpm.sOR,($K$36/$Y$14)*$Y$5*$Y$6,_xlpm.sOI,$AE$28*_xlpm.sOR,_xlpm.sOD,$Y$23*_xlpm.sRR,_xlpm.sGR,_xlpm.sRR+_xlpm.sOI+_xlpm.sOD,_xlpm.sExp,$Z$28+$AB$28*_xlpm.sRR+($AC$28+INPUTS!$F$13)*_xlpm.sGR+$AD$28*_xlpm.sOR,_xlpm.sGR-_xlpm.sExp+$AA$28)/$Y$12,0)</f>
        <v>0</v>
      </c>
      <c r="O36" s="896">
        <f>IFERROR(_xlfn.LET(_xlpm.sRR,$K$36*$Y$5*$Y$6*$Y$29,_xlpm.sOR,($K$36/$Y$14)*$Y$5*$Y$6,_xlpm.sOI,$AE$29*_xlpm.sOR,_xlpm.sOD,$Y$23*_xlpm.sRR,_xlpm.sGR,_xlpm.sRR+_xlpm.sOI+_xlpm.sOD,_xlpm.sExp,$Z$29+$AB$29*_xlpm.sRR+($AC$29+INPUTS!$F$13)*_xlpm.sGR+$AD$29*_xlpm.sOR,_xlpm.sGR-_xlpm.sExp+$AA$29)/$Y$12,0)</f>
        <v>0</v>
      </c>
      <c r="P36" s="896">
        <f>IFERROR(_xlfn.LET(_xlpm.sRR,$K$36*$Y$5*$Y$6*$Y$30,_xlpm.sOR,($K$36/$Y$14)*$Y$5*$Y$6,_xlpm.sOI,$AE$30*_xlpm.sOR,_xlpm.sOD,$Y$23*_xlpm.sRR,_xlpm.sGR,_xlpm.sRR+_xlpm.sOI+_xlpm.sOD,_xlpm.sExp,$Z$30+$AB$30*_xlpm.sRR+($AC$30+INPUTS!$F$13)*_xlpm.sGR+$AD$30*_xlpm.sOR,_xlpm.sGR-_xlpm.sExp+$AA$30)/$Y$12,0)</f>
        <v>0</v>
      </c>
      <c r="Q36" s="896">
        <f>IFERROR(_xlfn.LET(_xlpm.sRR,$K$36*$Y$5*$Y$6*$Y$31,_xlpm.sOR,($K$36/$Y$14)*$Y$5*$Y$6,_xlpm.sOI,$AE$31*_xlpm.sOR,_xlpm.sOD,$Y$23*_xlpm.sRR,_xlpm.sGR,_xlpm.sRR+_xlpm.sOI+_xlpm.sOD,_xlpm.sExp,$Z$31+$AB$31*_xlpm.sRR+($AC$31+INPUTS!$F$13)*_xlpm.sGR+$AD$31*_xlpm.sOR,_xlpm.sGR-_xlpm.sExp+$AA$31)/$Y$12,0)</f>
        <v>0</v>
      </c>
      <c r="R36" s="896">
        <f>IFERROR(_xlfn.LET(_xlpm.sRR,$K$36*$Y$5*$Y$6*$Y$32,_xlpm.sOR,($K$36/$Y$14)*$Y$5*$Y$6,_xlpm.sOI,$AE$32*_xlpm.sOR,_xlpm.sOD,$Y$23*_xlpm.sRR,_xlpm.sGR,_xlpm.sRR+_xlpm.sOI+_xlpm.sOD,_xlpm.sExp,$Z$32+$AB$32*_xlpm.sRR+($AC$32+INPUTS!$F$13)*_xlpm.sGR+$AD$32*_xlpm.sOR,_xlpm.sGR-_xlpm.sExp+$AA$32)/$Y$12,0)</f>
        <v>0</v>
      </c>
      <c r="S36" s="896">
        <f>IFERROR(_xlfn.LET(_xlpm.sRR,$K$36*$Y$5*$Y$6*$Y$33,_xlpm.sOR,($K$36/$Y$14)*$Y$5*$Y$6,_xlpm.sOI,$AE$33*_xlpm.sOR,_xlpm.sOD,$Y$23*_xlpm.sRR,_xlpm.sGR,_xlpm.sRR+_xlpm.sOI+_xlpm.sOD,_xlpm.sExp,$Z$33+$AB$33*_xlpm.sRR+($AC$33+INPUTS!$F$13)*_xlpm.sGR+$AD$33*_xlpm.sOR,_xlpm.sGR-_xlpm.sExp+$AA$33)/$Y$12,0)</f>
        <v>0</v>
      </c>
      <c r="T36" s="896">
        <f>IFERROR(_xlfn.LET(_xlpm.sRR,$K$36*$Y$5*$Y$6*$Y$34,_xlpm.sOR,($K$36/$Y$14)*$Y$5*$Y$6,_xlpm.sOI,$AE$34*_xlpm.sOR,_xlpm.sOD,$Y$23*_xlpm.sRR,_xlpm.sGR,_xlpm.sRR+_xlpm.sOI+_xlpm.sOD,_xlpm.sExp,$Z$34+$AB$34*_xlpm.sRR+($AC$34+INPUTS!$F$13)*_xlpm.sGR+$AD$34*_xlpm.sOR,_xlpm.sGR-_xlpm.sExp+$AA$34)/$Y$12,0)</f>
        <v>0</v>
      </c>
      <c r="U36" s="901">
        <f>IFERROR(_xlfn.LET(_xlpm.sRR,$K$36*$Y$5*$Y$6*$Y$35,_xlpm.sOR,($K$36/$Y$14)*$Y$5*$Y$6,_xlpm.sOI,$AE$35*_xlpm.sOR,_xlpm.sOD,$Y$23*_xlpm.sRR,_xlpm.sGR,_xlpm.sRR+_xlpm.sOI+_xlpm.sOD,_xlpm.sExp,$Z$35+$AB$35*_xlpm.sRR+($AC$35+INPUTS!$F$13)*_xlpm.sGR+$AD$35*_xlpm.sOR,_xlpm.sGR-_xlpm.sExp+$AA$35+$Y$24)/$Y$12,0)</f>
        <v>0</v>
      </c>
    </row>
    <row r="40" spans="2:33">
      <c r="B40" s="887" t="s">
        <v>603</v>
      </c>
      <c r="C40" s="888"/>
    </row>
    <row r="41" spans="2:33">
      <c r="B41" s="842" t="s">
        <v>604</v>
      </c>
      <c r="C41" s="1002">
        <v>0.01</v>
      </c>
    </row>
    <row r="42" spans="2:33">
      <c r="B42" s="842" t="s">
        <v>605</v>
      </c>
      <c r="C42" s="1003">
        <v>2</v>
      </c>
    </row>
    <row r="43" spans="2:33">
      <c r="B43" s="842" t="s">
        <v>606</v>
      </c>
      <c r="C43" s="1004">
        <v>0.1</v>
      </c>
    </row>
    <row r="44" spans="2:33">
      <c r="B44" s="842" t="s">
        <v>745</v>
      </c>
      <c r="C44" s="1001">
        <v>2</v>
      </c>
    </row>
    <row r="45" spans="2:33" hidden="1">
      <c r="B45" s="924" t="s">
        <v>610</v>
      </c>
      <c r="C45" s="926" t="s">
        <v>611</v>
      </c>
      <c r="D45" s="926" t="s">
        <v>612</v>
      </c>
      <c r="E45" s="926" t="s">
        <v>613</v>
      </c>
      <c r="F45" s="926" t="s">
        <v>614</v>
      </c>
      <c r="G45" s="926" t="s">
        <v>615</v>
      </c>
      <c r="H45" s="926" t="s">
        <v>616</v>
      </c>
      <c r="I45" s="926" t="s">
        <v>617</v>
      </c>
      <c r="J45" s="926" t="s">
        <v>618</v>
      </c>
      <c r="K45" s="926" t="s">
        <v>619</v>
      </c>
      <c r="L45" s="926" t="s">
        <v>620</v>
      </c>
      <c r="M45" s="926" t="s">
        <v>621</v>
      </c>
    </row>
    <row r="46" spans="2:33" hidden="1">
      <c r="B46" s="933" t="e">
        <f t="shared" ref="B46:B52" si="7">C$18&amp;" × $"&amp;TEXT($B19,"0")</f>
        <v>#VALUE!</v>
      </c>
      <c r="C46">
        <f t="shared" ref="C46:C77" si="8">-$Y$12</f>
        <v>0</v>
      </c>
      <c r="D46" s="43">
        <f>IF(1&gt;$Y$16,0,_xlfn.LET(_xlpm.sRR,C$18*$B19*$Y$5*$Y$6*$Y$26,_xlpm.sOR,C$18*$Y$5*$Y$6,_xlpm.sOI,$AE$26*_xlpm.sOR,_xlpm.sOD,$Y$23*_xlpm.sRR,_xlpm.sGR,_xlpm.sRR+_xlpm.sOI+_xlpm.sOD,_xlpm.sExp,$Z$26+$AB$26*_xlpm.sRR+($AC$26+INPUTS!$F$13)*_xlpm.sGR+$AD$26*_xlpm.sOR,_xlpm.sGR-_xlpm.sExp+$AA$26))</f>
        <v>0</v>
      </c>
      <c r="E46" s="43">
        <f>IF(2&gt;$Y$16,0,_xlfn.LET(_xlpm.sRR,C$18*$B19*$Y$5*$Y$6*$Y$27,_xlpm.sOR,C$18*$Y$5*$Y$6,_xlpm.sOI,$AE$27*_xlpm.sOR,_xlpm.sOD,$Y$23*_xlpm.sRR,_xlpm.sGR,_xlpm.sRR+_xlpm.sOI+_xlpm.sOD,_xlpm.sExp,$Z$27+$AB$27*_xlpm.sRR+($AC$27+INPUTS!$F$13)*_xlpm.sGR+$AD$27*_xlpm.sOR,_xlpm.sGR-_xlpm.sExp+$AA$27))</f>
        <v>0</v>
      </c>
      <c r="F46" s="43">
        <f>IF(3&gt;$Y$16,0,_xlfn.LET(_xlpm.sRR,C$18*$B19*$Y$5*$Y$6*$Y$28,_xlpm.sOR,C$18*$Y$5*$Y$6,_xlpm.sOI,$AE$28*_xlpm.sOR,_xlpm.sOD,$Y$23*_xlpm.sRR,_xlpm.sGR,_xlpm.sRR+_xlpm.sOI+_xlpm.sOD,_xlpm.sExp,$Z$28+$AB$28*_xlpm.sRR+($AC$28+INPUTS!$F$13)*_xlpm.sGR+$AD$28*_xlpm.sOR,_xlpm.sGR-_xlpm.sExp+$AA$28))</f>
        <v>0</v>
      </c>
      <c r="G46" s="43">
        <f>IF(4&gt;$Y$16,0,_xlfn.LET(_xlpm.sRR,C$18*$B19*$Y$5*$Y$6*$Y$29,_xlpm.sOR,C$18*$Y$5*$Y$6,_xlpm.sOI,$AE$29*_xlpm.sOR,_xlpm.sOD,$Y$23*_xlpm.sRR,_xlpm.sGR,_xlpm.sRR+_xlpm.sOI+_xlpm.sOD,_xlpm.sExp,$Z$29+$AB$29*_xlpm.sRR+($AC$29+INPUTS!$F$13)*_xlpm.sGR+$AD$29*_xlpm.sOR,_xlpm.sGR-_xlpm.sExp+$AA$29))</f>
        <v>0</v>
      </c>
      <c r="H46" s="43">
        <f>IF(5&gt;$Y$16,0,_xlfn.LET(_xlpm.sRR,C$18*$B19*$Y$5*$Y$6*$Y$30,_xlpm.sOR,C$18*$Y$5*$Y$6,_xlpm.sOI,$AE$30*_xlpm.sOR,_xlpm.sOD,$Y$23*_xlpm.sRR,_xlpm.sGR,_xlpm.sRR+_xlpm.sOI+_xlpm.sOD,_xlpm.sExp,$Z$30+$AB$30*_xlpm.sRR+($AC$30+INPUTS!$F$13)*_xlpm.sGR+$AD$30*_xlpm.sOR,_xlpm.sGR-_xlpm.sExp+$AA$30))</f>
        <v>0</v>
      </c>
      <c r="I46" s="43">
        <f>IF(6&gt;$Y$16,0,_xlfn.LET(_xlpm.sRR,C$18*$B19*$Y$5*$Y$6*$Y$31,_xlpm.sOR,C$18*$Y$5*$Y$6,_xlpm.sOI,$AE$31*_xlpm.sOR,_xlpm.sOD,$Y$23*_xlpm.sRR,_xlpm.sGR,_xlpm.sRR+_xlpm.sOI+_xlpm.sOD,_xlpm.sExp,$Z$31+$AB$31*_xlpm.sRR+($AC$31+INPUTS!$F$13)*_xlpm.sGR+$AD$31*_xlpm.sOR,_xlpm.sGR-_xlpm.sExp+$AA$31))</f>
        <v>0</v>
      </c>
      <c r="J46" s="43">
        <f>IF(7&gt;$Y$16,0,_xlfn.LET(_xlpm.sRR,C$18*$B19*$Y$5*$Y$6*$Y$32,_xlpm.sOR,C$18*$Y$5*$Y$6,_xlpm.sOI,$AE$32*_xlpm.sOR,_xlpm.sOD,$Y$23*_xlpm.sRR,_xlpm.sGR,_xlpm.sRR+_xlpm.sOI+_xlpm.sOD,_xlpm.sExp,$Z$32+$AB$32*_xlpm.sRR+($AC$32+INPUTS!$F$13)*_xlpm.sGR+$AD$32*_xlpm.sOR,_xlpm.sGR-_xlpm.sExp+$AA$32))</f>
        <v>0</v>
      </c>
      <c r="K46" s="43">
        <f>IF(8&gt;$Y$16,0,_xlfn.LET(_xlpm.sRR,C$18*$B19*$Y$5*$Y$6*$Y$33,_xlpm.sOR,C$18*$Y$5*$Y$6,_xlpm.sOI,$AE$33*_xlpm.sOR,_xlpm.sOD,$Y$23*_xlpm.sRR,_xlpm.sGR,_xlpm.sRR+_xlpm.sOI+_xlpm.sOD,_xlpm.sExp,$Z$33+$AB$33*_xlpm.sRR+($AC$33+INPUTS!$F$13)*_xlpm.sGR+$AD$33*_xlpm.sOR,_xlpm.sGR-_xlpm.sExp+$AA$33))</f>
        <v>0</v>
      </c>
      <c r="L46" s="43">
        <f>IF(9&gt;$Y$16,0,_xlfn.LET(_xlpm.sRR,C$18*$B19*$Y$5*$Y$6*$Y$34,_xlpm.sOR,C$18*$Y$5*$Y$6,_xlpm.sOI,$AE$34*_xlpm.sOR,_xlpm.sOD,$Y$23*_xlpm.sRR,_xlpm.sGR,_xlpm.sRR+_xlpm.sOI+_xlpm.sOD,_xlpm.sExp,$Z$34+$AB$34*_xlpm.sRR+($AC$34+INPUTS!$F$13)*_xlpm.sGR+$AD$34*_xlpm.sOR,_xlpm.sGR-_xlpm.sExp+$AA$34))</f>
        <v>0</v>
      </c>
      <c r="M46" s="43">
        <f>IF(10&gt;$Y$16,0,IF(10&lt;$Y$16,_xlfn.LET(_xlpm.sRR,C$18*$B19*$Y$5*$Y$6*$Y$35,_xlpm.sOR,C$18*$Y$5*$Y$6,_xlpm.sOI,$AE$35*_xlpm.sOR,_xlpm.sOD,$Y$23*_xlpm.sRR,_xlpm.sGR,_xlpm.sRR+_xlpm.sOI+_xlpm.sOD,_xlpm.sExp,$Z$35+$AB$35*_xlpm.sRR+($AC$35+INPUTS!$F$13)*_xlpm.sGR+$AD$35*_xlpm.sOR,_xlpm.sGR-_xlpm.sExp+$AA$35),_xlfn.LET(_xlpm.sRR,C$18*$B19*$Y$5*$Y$6*$Y$35,_xlpm.sOR,C$18*$Y$5*$Y$6,_xlpm.sOI,$AE$35*_xlpm.sOR,_xlpm.sOD,$Y$23*_xlpm.sRR,_xlpm.sGR,_xlpm.sRR+_xlpm.sOI+_xlpm.sOD,_xlpm.sExp,$Z$35+$AB$35*_xlpm.sRR+($AC$35+INPUTS!$F$13)*_xlpm.sGR+$AD$35*_xlpm.sOR,_xlpm.opCF,_xlpm.sGR-_xlpm.sExp+$AA$35,_xlpm.sale,C$18*$B19*$Y$5*$Y$6*$Y$15*(1-$Y$17),_xlpm.opCF+_xlpm.sale-$Y$22+$Y$24)))</f>
        <v>0</v>
      </c>
    </row>
    <row r="47" spans="2:33" hidden="1">
      <c r="B47" s="933" t="e">
        <f t="shared" si="7"/>
        <v>#VALUE!</v>
      </c>
      <c r="C47">
        <f t="shared" si="8"/>
        <v>0</v>
      </c>
      <c r="D47" s="43">
        <f>IF(1&gt;$Y$16,0,_xlfn.LET(_xlpm.sRR,C$18*$B20*$Y$5*$Y$6*$Y$26,_xlpm.sOR,C$18*$Y$5*$Y$6,_xlpm.sOI,$AE$26*_xlpm.sOR,_xlpm.sOD,$Y$23*_xlpm.sRR,_xlpm.sGR,_xlpm.sRR+_xlpm.sOI+_xlpm.sOD,_xlpm.sExp,$Z$26+$AB$26*_xlpm.sRR+($AC$26+INPUTS!$F$13)*_xlpm.sGR+$AD$26*_xlpm.sOR,_xlpm.sGR-_xlpm.sExp+$AA$26))</f>
        <v>0</v>
      </c>
      <c r="E47" s="43">
        <f>IF(2&gt;$Y$16,0,_xlfn.LET(_xlpm.sRR,C$18*$B20*$Y$5*$Y$6*$Y$27,_xlpm.sOR,C$18*$Y$5*$Y$6,_xlpm.sOI,$AE$27*_xlpm.sOR,_xlpm.sOD,$Y$23*_xlpm.sRR,_xlpm.sGR,_xlpm.sRR+_xlpm.sOI+_xlpm.sOD,_xlpm.sExp,$Z$27+$AB$27*_xlpm.sRR+($AC$27+INPUTS!$F$13)*_xlpm.sGR+$AD$27*_xlpm.sOR,_xlpm.sGR-_xlpm.sExp+$AA$27))</f>
        <v>0</v>
      </c>
      <c r="F47" s="43">
        <f>IF(3&gt;$Y$16,0,_xlfn.LET(_xlpm.sRR,C$18*$B20*$Y$5*$Y$6*$Y$28,_xlpm.sOR,C$18*$Y$5*$Y$6,_xlpm.sOI,$AE$28*_xlpm.sOR,_xlpm.sOD,$Y$23*_xlpm.sRR,_xlpm.sGR,_xlpm.sRR+_xlpm.sOI+_xlpm.sOD,_xlpm.sExp,$Z$28+$AB$28*_xlpm.sRR+($AC$28+INPUTS!$F$13)*_xlpm.sGR+$AD$28*_xlpm.sOR,_xlpm.sGR-_xlpm.sExp+$AA$28))</f>
        <v>0</v>
      </c>
      <c r="G47" s="43">
        <f>IF(4&gt;$Y$16,0,_xlfn.LET(_xlpm.sRR,C$18*$B20*$Y$5*$Y$6*$Y$29,_xlpm.sOR,C$18*$Y$5*$Y$6,_xlpm.sOI,$AE$29*_xlpm.sOR,_xlpm.sOD,$Y$23*_xlpm.sRR,_xlpm.sGR,_xlpm.sRR+_xlpm.sOI+_xlpm.sOD,_xlpm.sExp,$Z$29+$AB$29*_xlpm.sRR+($AC$29+INPUTS!$F$13)*_xlpm.sGR+$AD$29*_xlpm.sOR,_xlpm.sGR-_xlpm.sExp+$AA$29))</f>
        <v>0</v>
      </c>
      <c r="H47" s="43">
        <f>IF(5&gt;$Y$16,0,_xlfn.LET(_xlpm.sRR,C$18*$B20*$Y$5*$Y$6*$Y$30,_xlpm.sOR,C$18*$Y$5*$Y$6,_xlpm.sOI,$AE$30*_xlpm.sOR,_xlpm.sOD,$Y$23*_xlpm.sRR,_xlpm.sGR,_xlpm.sRR+_xlpm.sOI+_xlpm.sOD,_xlpm.sExp,$Z$30+$AB$30*_xlpm.sRR+($AC$30+INPUTS!$F$13)*_xlpm.sGR+$AD$30*_xlpm.sOR,_xlpm.sGR-_xlpm.sExp+$AA$30))</f>
        <v>0</v>
      </c>
      <c r="I47" s="43">
        <f>IF(6&gt;$Y$16,0,_xlfn.LET(_xlpm.sRR,C$18*$B20*$Y$5*$Y$6*$Y$31,_xlpm.sOR,C$18*$Y$5*$Y$6,_xlpm.sOI,$AE$31*_xlpm.sOR,_xlpm.sOD,$Y$23*_xlpm.sRR,_xlpm.sGR,_xlpm.sRR+_xlpm.sOI+_xlpm.sOD,_xlpm.sExp,$Z$31+$AB$31*_xlpm.sRR+($AC$31+INPUTS!$F$13)*_xlpm.sGR+$AD$31*_xlpm.sOR,_xlpm.sGR-_xlpm.sExp+$AA$31))</f>
        <v>0</v>
      </c>
      <c r="J47" s="43">
        <f>IF(7&gt;$Y$16,0,_xlfn.LET(_xlpm.sRR,C$18*$B20*$Y$5*$Y$6*$Y$32,_xlpm.sOR,C$18*$Y$5*$Y$6,_xlpm.sOI,$AE$32*_xlpm.sOR,_xlpm.sOD,$Y$23*_xlpm.sRR,_xlpm.sGR,_xlpm.sRR+_xlpm.sOI+_xlpm.sOD,_xlpm.sExp,$Z$32+$AB$32*_xlpm.sRR+($AC$32+INPUTS!$F$13)*_xlpm.sGR+$AD$32*_xlpm.sOR,_xlpm.sGR-_xlpm.sExp+$AA$32))</f>
        <v>0</v>
      </c>
      <c r="K47" s="43">
        <f>IF(8&gt;$Y$16,0,_xlfn.LET(_xlpm.sRR,C$18*$B20*$Y$5*$Y$6*$Y$33,_xlpm.sOR,C$18*$Y$5*$Y$6,_xlpm.sOI,$AE$33*_xlpm.sOR,_xlpm.sOD,$Y$23*_xlpm.sRR,_xlpm.sGR,_xlpm.sRR+_xlpm.sOI+_xlpm.sOD,_xlpm.sExp,$Z$33+$AB$33*_xlpm.sRR+($AC$33+INPUTS!$F$13)*_xlpm.sGR+$AD$33*_xlpm.sOR,_xlpm.sGR-_xlpm.sExp+$AA$33))</f>
        <v>0</v>
      </c>
      <c r="L47" s="43">
        <f>IF(9&gt;$Y$16,0,_xlfn.LET(_xlpm.sRR,C$18*$B20*$Y$5*$Y$6*$Y$34,_xlpm.sOR,C$18*$Y$5*$Y$6,_xlpm.sOI,$AE$34*_xlpm.sOR,_xlpm.sOD,$Y$23*_xlpm.sRR,_xlpm.sGR,_xlpm.sRR+_xlpm.sOI+_xlpm.sOD,_xlpm.sExp,$Z$34+$AB$34*_xlpm.sRR+($AC$34+INPUTS!$F$13)*_xlpm.sGR+$AD$34*_xlpm.sOR,_xlpm.sGR-_xlpm.sExp+$AA$34))</f>
        <v>0</v>
      </c>
      <c r="M47" s="43">
        <f>IF(10&gt;$Y$16,0,IF(10&lt;$Y$16,_xlfn.LET(_xlpm.sRR,C$18*$B20*$Y$5*$Y$6*$Y$35,_xlpm.sOR,C$18*$Y$5*$Y$6,_xlpm.sOI,$AE$35*_xlpm.sOR,_xlpm.sOD,$Y$23*_xlpm.sRR,_xlpm.sGR,_xlpm.sRR+_xlpm.sOI+_xlpm.sOD,_xlpm.sExp,$Z$35+$AB$35*_xlpm.sRR+($AC$35+INPUTS!$F$13)*_xlpm.sGR+$AD$35*_xlpm.sOR,_xlpm.sGR-_xlpm.sExp+$AA$35),_xlfn.LET(_xlpm.sRR,C$18*$B20*$Y$5*$Y$6*$Y$35,_xlpm.sOR,C$18*$Y$5*$Y$6,_xlpm.sOI,$AE$35*_xlpm.sOR,_xlpm.sOD,$Y$23*_xlpm.sRR,_xlpm.sGR,_xlpm.sRR+_xlpm.sOI+_xlpm.sOD,_xlpm.sExp,$Z$35+$AB$35*_xlpm.sRR+($AC$35+INPUTS!$F$13)*_xlpm.sGR+$AD$35*_xlpm.sOR,_xlpm.opCF,_xlpm.sGR-_xlpm.sExp+$AA$35,_xlpm.sale,C$18*$B20*$Y$5*$Y$6*$Y$15*(1-$Y$17),_xlpm.opCF+_xlpm.sale-$Y$22+$Y$24)))</f>
        <v>0</v>
      </c>
    </row>
    <row r="48" spans="2:33" hidden="1">
      <c r="B48" s="933" t="e">
        <f t="shared" si="7"/>
        <v>#VALUE!</v>
      </c>
      <c r="C48">
        <f t="shared" si="8"/>
        <v>0</v>
      </c>
      <c r="D48" s="43">
        <f>IF(1&gt;$Y$16,0,_xlfn.LET(_xlpm.sRR,C$18*$B21*$Y$5*$Y$6*$Y$26,_xlpm.sOR,C$18*$Y$5*$Y$6,_xlpm.sOI,$AE$26*_xlpm.sOR,_xlpm.sOD,$Y$23*_xlpm.sRR,_xlpm.sGR,_xlpm.sRR+_xlpm.sOI+_xlpm.sOD,_xlpm.sExp,$Z$26+$AB$26*_xlpm.sRR+($AC$26+INPUTS!$F$13)*_xlpm.sGR+$AD$26*_xlpm.sOR,_xlpm.sGR-_xlpm.sExp+$AA$26))</f>
        <v>0</v>
      </c>
      <c r="E48" s="43">
        <f>IF(2&gt;$Y$16,0,_xlfn.LET(_xlpm.sRR,C$18*$B21*$Y$5*$Y$6*$Y$27,_xlpm.sOR,C$18*$Y$5*$Y$6,_xlpm.sOI,$AE$27*_xlpm.sOR,_xlpm.sOD,$Y$23*_xlpm.sRR,_xlpm.sGR,_xlpm.sRR+_xlpm.sOI+_xlpm.sOD,_xlpm.sExp,$Z$27+$AB$27*_xlpm.sRR+($AC$27+INPUTS!$F$13)*_xlpm.sGR+$AD$27*_xlpm.sOR,_xlpm.sGR-_xlpm.sExp+$AA$27))</f>
        <v>0</v>
      </c>
      <c r="F48" s="43">
        <f>IF(3&gt;$Y$16,0,_xlfn.LET(_xlpm.sRR,C$18*$B21*$Y$5*$Y$6*$Y$28,_xlpm.sOR,C$18*$Y$5*$Y$6,_xlpm.sOI,$AE$28*_xlpm.sOR,_xlpm.sOD,$Y$23*_xlpm.sRR,_xlpm.sGR,_xlpm.sRR+_xlpm.sOI+_xlpm.sOD,_xlpm.sExp,$Z$28+$AB$28*_xlpm.sRR+($AC$28+INPUTS!$F$13)*_xlpm.sGR+$AD$28*_xlpm.sOR,_xlpm.sGR-_xlpm.sExp+$AA$28))</f>
        <v>0</v>
      </c>
      <c r="G48" s="43">
        <f>IF(4&gt;$Y$16,0,_xlfn.LET(_xlpm.sRR,C$18*$B21*$Y$5*$Y$6*$Y$29,_xlpm.sOR,C$18*$Y$5*$Y$6,_xlpm.sOI,$AE$29*_xlpm.sOR,_xlpm.sOD,$Y$23*_xlpm.sRR,_xlpm.sGR,_xlpm.sRR+_xlpm.sOI+_xlpm.sOD,_xlpm.sExp,$Z$29+$AB$29*_xlpm.sRR+($AC$29+INPUTS!$F$13)*_xlpm.sGR+$AD$29*_xlpm.sOR,_xlpm.sGR-_xlpm.sExp+$AA$29))</f>
        <v>0</v>
      </c>
      <c r="H48" s="43">
        <f>IF(5&gt;$Y$16,0,_xlfn.LET(_xlpm.sRR,C$18*$B21*$Y$5*$Y$6*$Y$30,_xlpm.sOR,C$18*$Y$5*$Y$6,_xlpm.sOI,$AE$30*_xlpm.sOR,_xlpm.sOD,$Y$23*_xlpm.sRR,_xlpm.sGR,_xlpm.sRR+_xlpm.sOI+_xlpm.sOD,_xlpm.sExp,$Z$30+$AB$30*_xlpm.sRR+($AC$30+INPUTS!$F$13)*_xlpm.sGR+$AD$30*_xlpm.sOR,_xlpm.sGR-_xlpm.sExp+$AA$30))</f>
        <v>0</v>
      </c>
      <c r="I48" s="43">
        <f>IF(6&gt;$Y$16,0,_xlfn.LET(_xlpm.sRR,C$18*$B21*$Y$5*$Y$6*$Y$31,_xlpm.sOR,C$18*$Y$5*$Y$6,_xlpm.sOI,$AE$31*_xlpm.sOR,_xlpm.sOD,$Y$23*_xlpm.sRR,_xlpm.sGR,_xlpm.sRR+_xlpm.sOI+_xlpm.sOD,_xlpm.sExp,$Z$31+$AB$31*_xlpm.sRR+($AC$31+INPUTS!$F$13)*_xlpm.sGR+$AD$31*_xlpm.sOR,_xlpm.sGR-_xlpm.sExp+$AA$31))</f>
        <v>0</v>
      </c>
      <c r="J48" s="43">
        <f>IF(7&gt;$Y$16,0,_xlfn.LET(_xlpm.sRR,C$18*$B21*$Y$5*$Y$6*$Y$32,_xlpm.sOR,C$18*$Y$5*$Y$6,_xlpm.sOI,$AE$32*_xlpm.sOR,_xlpm.sOD,$Y$23*_xlpm.sRR,_xlpm.sGR,_xlpm.sRR+_xlpm.sOI+_xlpm.sOD,_xlpm.sExp,$Z$32+$AB$32*_xlpm.sRR+($AC$32+INPUTS!$F$13)*_xlpm.sGR+$AD$32*_xlpm.sOR,_xlpm.sGR-_xlpm.sExp+$AA$32))</f>
        <v>0</v>
      </c>
      <c r="K48" s="43">
        <f>IF(8&gt;$Y$16,0,_xlfn.LET(_xlpm.sRR,C$18*$B21*$Y$5*$Y$6*$Y$33,_xlpm.sOR,C$18*$Y$5*$Y$6,_xlpm.sOI,$AE$33*_xlpm.sOR,_xlpm.sOD,$Y$23*_xlpm.sRR,_xlpm.sGR,_xlpm.sRR+_xlpm.sOI+_xlpm.sOD,_xlpm.sExp,$Z$33+$AB$33*_xlpm.sRR+($AC$33+INPUTS!$F$13)*_xlpm.sGR+$AD$33*_xlpm.sOR,_xlpm.sGR-_xlpm.sExp+$AA$33))</f>
        <v>0</v>
      </c>
      <c r="L48" s="43">
        <f>IF(9&gt;$Y$16,0,_xlfn.LET(_xlpm.sRR,C$18*$B21*$Y$5*$Y$6*$Y$34,_xlpm.sOR,C$18*$Y$5*$Y$6,_xlpm.sOI,$AE$34*_xlpm.sOR,_xlpm.sOD,$Y$23*_xlpm.sRR,_xlpm.sGR,_xlpm.sRR+_xlpm.sOI+_xlpm.sOD,_xlpm.sExp,$Z$34+$AB$34*_xlpm.sRR+($AC$34+INPUTS!$F$13)*_xlpm.sGR+$AD$34*_xlpm.sOR,_xlpm.sGR-_xlpm.sExp+$AA$34))</f>
        <v>0</v>
      </c>
      <c r="M48" s="43">
        <f>IF(10&gt;$Y$16,0,IF(10&lt;$Y$16,_xlfn.LET(_xlpm.sRR,C$18*$B21*$Y$5*$Y$6*$Y$35,_xlpm.sOR,C$18*$Y$5*$Y$6,_xlpm.sOI,$AE$35*_xlpm.sOR,_xlpm.sOD,$Y$23*_xlpm.sRR,_xlpm.sGR,_xlpm.sRR+_xlpm.sOI+_xlpm.sOD,_xlpm.sExp,$Z$35+$AB$35*_xlpm.sRR+($AC$35+INPUTS!$F$13)*_xlpm.sGR+$AD$35*_xlpm.sOR,_xlpm.sGR-_xlpm.sExp+$AA$35),_xlfn.LET(_xlpm.sRR,C$18*$B21*$Y$5*$Y$6*$Y$35,_xlpm.sOR,C$18*$Y$5*$Y$6,_xlpm.sOI,$AE$35*_xlpm.sOR,_xlpm.sOD,$Y$23*_xlpm.sRR,_xlpm.sGR,_xlpm.sRR+_xlpm.sOI+_xlpm.sOD,_xlpm.sExp,$Z$35+$AB$35*_xlpm.sRR+($AC$35+INPUTS!$F$13)*_xlpm.sGR+$AD$35*_xlpm.sOR,_xlpm.opCF,_xlpm.sGR-_xlpm.sExp+$AA$35,_xlpm.sale,C$18*$B21*$Y$5*$Y$6*$Y$15*(1-$Y$17),_xlpm.opCF+_xlpm.sale-$Y$22+$Y$24)))</f>
        <v>0</v>
      </c>
    </row>
    <row r="49" spans="2:13" hidden="1">
      <c r="B49" s="933" t="e">
        <f t="shared" si="7"/>
        <v>#VALUE!</v>
      </c>
      <c r="C49">
        <f t="shared" si="8"/>
        <v>0</v>
      </c>
      <c r="D49" s="43">
        <f>IF(1&gt;$Y$16,0,_xlfn.LET(_xlpm.sRR,C$18*$B22*$Y$5*$Y$6*$Y$26,_xlpm.sOR,C$18*$Y$5*$Y$6,_xlpm.sOI,$AE$26*_xlpm.sOR,_xlpm.sOD,$Y$23*_xlpm.sRR,_xlpm.sGR,_xlpm.sRR+_xlpm.sOI+_xlpm.sOD,_xlpm.sExp,$Z$26+$AB$26*_xlpm.sRR+($AC$26+INPUTS!$F$13)*_xlpm.sGR+$AD$26*_xlpm.sOR,_xlpm.sGR-_xlpm.sExp+$AA$26))</f>
        <v>0</v>
      </c>
      <c r="E49" s="43">
        <f>IF(2&gt;$Y$16,0,_xlfn.LET(_xlpm.sRR,C$18*$B22*$Y$5*$Y$6*$Y$27,_xlpm.sOR,C$18*$Y$5*$Y$6,_xlpm.sOI,$AE$27*_xlpm.sOR,_xlpm.sOD,$Y$23*_xlpm.sRR,_xlpm.sGR,_xlpm.sRR+_xlpm.sOI+_xlpm.sOD,_xlpm.sExp,$Z$27+$AB$27*_xlpm.sRR+($AC$27+INPUTS!$F$13)*_xlpm.sGR+$AD$27*_xlpm.sOR,_xlpm.sGR-_xlpm.sExp+$AA$27))</f>
        <v>0</v>
      </c>
      <c r="F49" s="43">
        <f>IF(3&gt;$Y$16,0,_xlfn.LET(_xlpm.sRR,C$18*$B22*$Y$5*$Y$6*$Y$28,_xlpm.sOR,C$18*$Y$5*$Y$6,_xlpm.sOI,$AE$28*_xlpm.sOR,_xlpm.sOD,$Y$23*_xlpm.sRR,_xlpm.sGR,_xlpm.sRR+_xlpm.sOI+_xlpm.sOD,_xlpm.sExp,$Z$28+$AB$28*_xlpm.sRR+($AC$28+INPUTS!$F$13)*_xlpm.sGR+$AD$28*_xlpm.sOR,_xlpm.sGR-_xlpm.sExp+$AA$28))</f>
        <v>0</v>
      </c>
      <c r="G49" s="43">
        <f>IF(4&gt;$Y$16,0,_xlfn.LET(_xlpm.sRR,C$18*$B22*$Y$5*$Y$6*$Y$29,_xlpm.sOR,C$18*$Y$5*$Y$6,_xlpm.sOI,$AE$29*_xlpm.sOR,_xlpm.sOD,$Y$23*_xlpm.sRR,_xlpm.sGR,_xlpm.sRR+_xlpm.sOI+_xlpm.sOD,_xlpm.sExp,$Z$29+$AB$29*_xlpm.sRR+($AC$29+INPUTS!$F$13)*_xlpm.sGR+$AD$29*_xlpm.sOR,_xlpm.sGR-_xlpm.sExp+$AA$29))</f>
        <v>0</v>
      </c>
      <c r="H49" s="43">
        <f>IF(5&gt;$Y$16,0,_xlfn.LET(_xlpm.sRR,C$18*$B22*$Y$5*$Y$6*$Y$30,_xlpm.sOR,C$18*$Y$5*$Y$6,_xlpm.sOI,$AE$30*_xlpm.sOR,_xlpm.sOD,$Y$23*_xlpm.sRR,_xlpm.sGR,_xlpm.sRR+_xlpm.sOI+_xlpm.sOD,_xlpm.sExp,$Z$30+$AB$30*_xlpm.sRR+($AC$30+INPUTS!$F$13)*_xlpm.sGR+$AD$30*_xlpm.sOR,_xlpm.sGR-_xlpm.sExp+$AA$30))</f>
        <v>0</v>
      </c>
      <c r="I49" s="43">
        <f>IF(6&gt;$Y$16,0,_xlfn.LET(_xlpm.sRR,C$18*$B22*$Y$5*$Y$6*$Y$31,_xlpm.sOR,C$18*$Y$5*$Y$6,_xlpm.sOI,$AE$31*_xlpm.sOR,_xlpm.sOD,$Y$23*_xlpm.sRR,_xlpm.sGR,_xlpm.sRR+_xlpm.sOI+_xlpm.sOD,_xlpm.sExp,$Z$31+$AB$31*_xlpm.sRR+($AC$31+INPUTS!$F$13)*_xlpm.sGR+$AD$31*_xlpm.sOR,_xlpm.sGR-_xlpm.sExp+$AA$31))</f>
        <v>0</v>
      </c>
      <c r="J49" s="43">
        <f>IF(7&gt;$Y$16,0,_xlfn.LET(_xlpm.sRR,C$18*$B22*$Y$5*$Y$6*$Y$32,_xlpm.sOR,C$18*$Y$5*$Y$6,_xlpm.sOI,$AE$32*_xlpm.sOR,_xlpm.sOD,$Y$23*_xlpm.sRR,_xlpm.sGR,_xlpm.sRR+_xlpm.sOI+_xlpm.sOD,_xlpm.sExp,$Z$32+$AB$32*_xlpm.sRR+($AC$32+INPUTS!$F$13)*_xlpm.sGR+$AD$32*_xlpm.sOR,_xlpm.sGR-_xlpm.sExp+$AA$32))</f>
        <v>0</v>
      </c>
      <c r="K49" s="43">
        <f>IF(8&gt;$Y$16,0,_xlfn.LET(_xlpm.sRR,C$18*$B22*$Y$5*$Y$6*$Y$33,_xlpm.sOR,C$18*$Y$5*$Y$6,_xlpm.sOI,$AE$33*_xlpm.sOR,_xlpm.sOD,$Y$23*_xlpm.sRR,_xlpm.sGR,_xlpm.sRR+_xlpm.sOI+_xlpm.sOD,_xlpm.sExp,$Z$33+$AB$33*_xlpm.sRR+($AC$33+INPUTS!$F$13)*_xlpm.sGR+$AD$33*_xlpm.sOR,_xlpm.sGR-_xlpm.sExp+$AA$33))</f>
        <v>0</v>
      </c>
      <c r="L49" s="43">
        <f>IF(9&gt;$Y$16,0,_xlfn.LET(_xlpm.sRR,C$18*$B22*$Y$5*$Y$6*$Y$34,_xlpm.sOR,C$18*$Y$5*$Y$6,_xlpm.sOI,$AE$34*_xlpm.sOR,_xlpm.sOD,$Y$23*_xlpm.sRR,_xlpm.sGR,_xlpm.sRR+_xlpm.sOI+_xlpm.sOD,_xlpm.sExp,$Z$34+$AB$34*_xlpm.sRR+($AC$34+INPUTS!$F$13)*_xlpm.sGR+$AD$34*_xlpm.sOR,_xlpm.sGR-_xlpm.sExp+$AA$34))</f>
        <v>0</v>
      </c>
      <c r="M49" s="43">
        <f>IF(10&gt;$Y$16,0,IF(10&lt;$Y$16,_xlfn.LET(_xlpm.sRR,C$18*$B22*$Y$5*$Y$6*$Y$35,_xlpm.sOR,C$18*$Y$5*$Y$6,_xlpm.sOI,$AE$35*_xlpm.sOR,_xlpm.sOD,$Y$23*_xlpm.sRR,_xlpm.sGR,_xlpm.sRR+_xlpm.sOI+_xlpm.sOD,_xlpm.sExp,$Z$35+$AB$35*_xlpm.sRR+($AC$35+INPUTS!$F$13)*_xlpm.sGR+$AD$35*_xlpm.sOR,_xlpm.sGR-_xlpm.sExp+$AA$35),_xlfn.LET(_xlpm.sRR,C$18*$B22*$Y$5*$Y$6*$Y$35,_xlpm.sOR,C$18*$Y$5*$Y$6,_xlpm.sOI,$AE$35*_xlpm.sOR,_xlpm.sOD,$Y$23*_xlpm.sRR,_xlpm.sGR,_xlpm.sRR+_xlpm.sOI+_xlpm.sOD,_xlpm.sExp,$Z$35+$AB$35*_xlpm.sRR+($AC$35+INPUTS!$F$13)*_xlpm.sGR+$AD$35*_xlpm.sOR,_xlpm.opCF,_xlpm.sGR-_xlpm.sExp+$AA$35,_xlpm.sale,C$18*$B22*$Y$5*$Y$6*$Y$15*(1-$Y$17),_xlpm.opCF+_xlpm.sale-$Y$22+$Y$24)))</f>
        <v>0</v>
      </c>
    </row>
    <row r="50" spans="2:13" hidden="1">
      <c r="B50" s="933" t="e">
        <f t="shared" si="7"/>
        <v>#VALUE!</v>
      </c>
      <c r="C50">
        <f t="shared" si="8"/>
        <v>0</v>
      </c>
      <c r="D50" s="43">
        <f>IF(1&gt;$Y$16,0,_xlfn.LET(_xlpm.sRR,C$18*$B23*$Y$5*$Y$6*$Y$26,_xlpm.sOR,C$18*$Y$5*$Y$6,_xlpm.sOI,$AE$26*_xlpm.sOR,_xlpm.sOD,$Y$23*_xlpm.sRR,_xlpm.sGR,_xlpm.sRR+_xlpm.sOI+_xlpm.sOD,_xlpm.sExp,$Z$26+$AB$26*_xlpm.sRR+($AC$26+INPUTS!$F$13)*_xlpm.sGR+$AD$26*_xlpm.sOR,_xlpm.sGR-_xlpm.sExp+$AA$26))</f>
        <v>0</v>
      </c>
      <c r="E50" s="43">
        <f>IF(2&gt;$Y$16,0,_xlfn.LET(_xlpm.sRR,C$18*$B23*$Y$5*$Y$6*$Y$27,_xlpm.sOR,C$18*$Y$5*$Y$6,_xlpm.sOI,$AE$27*_xlpm.sOR,_xlpm.sOD,$Y$23*_xlpm.sRR,_xlpm.sGR,_xlpm.sRR+_xlpm.sOI+_xlpm.sOD,_xlpm.sExp,$Z$27+$AB$27*_xlpm.sRR+($AC$27+INPUTS!$F$13)*_xlpm.sGR+$AD$27*_xlpm.sOR,_xlpm.sGR-_xlpm.sExp+$AA$27))</f>
        <v>0</v>
      </c>
      <c r="F50" s="43">
        <f>IF(3&gt;$Y$16,0,_xlfn.LET(_xlpm.sRR,C$18*$B23*$Y$5*$Y$6*$Y$28,_xlpm.sOR,C$18*$Y$5*$Y$6,_xlpm.sOI,$AE$28*_xlpm.sOR,_xlpm.sOD,$Y$23*_xlpm.sRR,_xlpm.sGR,_xlpm.sRR+_xlpm.sOI+_xlpm.sOD,_xlpm.sExp,$Z$28+$AB$28*_xlpm.sRR+($AC$28+INPUTS!$F$13)*_xlpm.sGR+$AD$28*_xlpm.sOR,_xlpm.sGR-_xlpm.sExp+$AA$28))</f>
        <v>0</v>
      </c>
      <c r="G50" s="43">
        <f>IF(4&gt;$Y$16,0,_xlfn.LET(_xlpm.sRR,C$18*$B23*$Y$5*$Y$6*$Y$29,_xlpm.sOR,C$18*$Y$5*$Y$6,_xlpm.sOI,$AE$29*_xlpm.sOR,_xlpm.sOD,$Y$23*_xlpm.sRR,_xlpm.sGR,_xlpm.sRR+_xlpm.sOI+_xlpm.sOD,_xlpm.sExp,$Z$29+$AB$29*_xlpm.sRR+($AC$29+INPUTS!$F$13)*_xlpm.sGR+$AD$29*_xlpm.sOR,_xlpm.sGR-_xlpm.sExp+$AA$29))</f>
        <v>0</v>
      </c>
      <c r="H50" s="43">
        <f>IF(5&gt;$Y$16,0,_xlfn.LET(_xlpm.sRR,C$18*$B23*$Y$5*$Y$6*$Y$30,_xlpm.sOR,C$18*$Y$5*$Y$6,_xlpm.sOI,$AE$30*_xlpm.sOR,_xlpm.sOD,$Y$23*_xlpm.sRR,_xlpm.sGR,_xlpm.sRR+_xlpm.sOI+_xlpm.sOD,_xlpm.sExp,$Z$30+$AB$30*_xlpm.sRR+($AC$30+INPUTS!$F$13)*_xlpm.sGR+$AD$30*_xlpm.sOR,_xlpm.sGR-_xlpm.sExp+$AA$30))</f>
        <v>0</v>
      </c>
      <c r="I50" s="43">
        <f>IF(6&gt;$Y$16,0,_xlfn.LET(_xlpm.sRR,C$18*$B23*$Y$5*$Y$6*$Y$31,_xlpm.sOR,C$18*$Y$5*$Y$6,_xlpm.sOI,$AE$31*_xlpm.sOR,_xlpm.sOD,$Y$23*_xlpm.sRR,_xlpm.sGR,_xlpm.sRR+_xlpm.sOI+_xlpm.sOD,_xlpm.sExp,$Z$31+$AB$31*_xlpm.sRR+($AC$31+INPUTS!$F$13)*_xlpm.sGR+$AD$31*_xlpm.sOR,_xlpm.sGR-_xlpm.sExp+$AA$31))</f>
        <v>0</v>
      </c>
      <c r="J50" s="43">
        <f>IF(7&gt;$Y$16,0,_xlfn.LET(_xlpm.sRR,C$18*$B23*$Y$5*$Y$6*$Y$32,_xlpm.sOR,C$18*$Y$5*$Y$6,_xlpm.sOI,$AE$32*_xlpm.sOR,_xlpm.sOD,$Y$23*_xlpm.sRR,_xlpm.sGR,_xlpm.sRR+_xlpm.sOI+_xlpm.sOD,_xlpm.sExp,$Z$32+$AB$32*_xlpm.sRR+($AC$32+INPUTS!$F$13)*_xlpm.sGR+$AD$32*_xlpm.sOR,_xlpm.sGR-_xlpm.sExp+$AA$32))</f>
        <v>0</v>
      </c>
      <c r="K50" s="43">
        <f>IF(8&gt;$Y$16,0,_xlfn.LET(_xlpm.sRR,C$18*$B23*$Y$5*$Y$6*$Y$33,_xlpm.sOR,C$18*$Y$5*$Y$6,_xlpm.sOI,$AE$33*_xlpm.sOR,_xlpm.sOD,$Y$23*_xlpm.sRR,_xlpm.sGR,_xlpm.sRR+_xlpm.sOI+_xlpm.sOD,_xlpm.sExp,$Z$33+$AB$33*_xlpm.sRR+($AC$33+INPUTS!$F$13)*_xlpm.sGR+$AD$33*_xlpm.sOR,_xlpm.sGR-_xlpm.sExp+$AA$33))</f>
        <v>0</v>
      </c>
      <c r="L50" s="43">
        <f>IF(9&gt;$Y$16,0,_xlfn.LET(_xlpm.sRR,C$18*$B23*$Y$5*$Y$6*$Y$34,_xlpm.sOR,C$18*$Y$5*$Y$6,_xlpm.sOI,$AE$34*_xlpm.sOR,_xlpm.sOD,$Y$23*_xlpm.sRR,_xlpm.sGR,_xlpm.sRR+_xlpm.sOI+_xlpm.sOD,_xlpm.sExp,$Z$34+$AB$34*_xlpm.sRR+($AC$34+INPUTS!$F$13)*_xlpm.sGR+$AD$34*_xlpm.sOR,_xlpm.sGR-_xlpm.sExp+$AA$34))</f>
        <v>0</v>
      </c>
      <c r="M50" s="43">
        <f>IF(10&gt;$Y$16,0,IF(10&lt;$Y$16,_xlfn.LET(_xlpm.sRR,C$18*$B23*$Y$5*$Y$6*$Y$35,_xlpm.sOR,C$18*$Y$5*$Y$6,_xlpm.sOI,$AE$35*_xlpm.sOR,_xlpm.sOD,$Y$23*_xlpm.sRR,_xlpm.sGR,_xlpm.sRR+_xlpm.sOI+_xlpm.sOD,_xlpm.sExp,$Z$35+$AB$35*_xlpm.sRR+($AC$35+INPUTS!$F$13)*_xlpm.sGR+$AD$35*_xlpm.sOR,_xlpm.sGR-_xlpm.sExp+$AA$35),_xlfn.LET(_xlpm.sRR,C$18*$B23*$Y$5*$Y$6*$Y$35,_xlpm.sOR,C$18*$Y$5*$Y$6,_xlpm.sOI,$AE$35*_xlpm.sOR,_xlpm.sOD,$Y$23*_xlpm.sRR,_xlpm.sGR,_xlpm.sRR+_xlpm.sOI+_xlpm.sOD,_xlpm.sExp,$Z$35+$AB$35*_xlpm.sRR+($AC$35+INPUTS!$F$13)*_xlpm.sGR+$AD$35*_xlpm.sOR,_xlpm.opCF,_xlpm.sGR-_xlpm.sExp+$AA$35,_xlpm.sale,C$18*$B23*$Y$5*$Y$6*$Y$15*(1-$Y$17),_xlpm.opCF+_xlpm.sale-$Y$22+$Y$24)))</f>
        <v>0</v>
      </c>
    </row>
    <row r="51" spans="2:13" hidden="1">
      <c r="B51" s="933" t="e">
        <f t="shared" si="7"/>
        <v>#VALUE!</v>
      </c>
      <c r="C51">
        <f t="shared" si="8"/>
        <v>0</v>
      </c>
      <c r="D51" s="43">
        <f>IF(1&gt;$Y$16,0,_xlfn.LET(_xlpm.sRR,C$18*$B24*$Y$5*$Y$6*$Y$26,_xlpm.sOR,C$18*$Y$5*$Y$6,_xlpm.sOI,$AE$26*_xlpm.sOR,_xlpm.sOD,$Y$23*_xlpm.sRR,_xlpm.sGR,_xlpm.sRR+_xlpm.sOI+_xlpm.sOD,_xlpm.sExp,$Z$26+$AB$26*_xlpm.sRR+($AC$26+INPUTS!$F$13)*_xlpm.sGR+$AD$26*_xlpm.sOR,_xlpm.sGR-_xlpm.sExp+$AA$26))</f>
        <v>0</v>
      </c>
      <c r="E51" s="43">
        <f>IF(2&gt;$Y$16,0,_xlfn.LET(_xlpm.sRR,C$18*$B24*$Y$5*$Y$6*$Y$27,_xlpm.sOR,C$18*$Y$5*$Y$6,_xlpm.sOI,$AE$27*_xlpm.sOR,_xlpm.sOD,$Y$23*_xlpm.sRR,_xlpm.sGR,_xlpm.sRR+_xlpm.sOI+_xlpm.sOD,_xlpm.sExp,$Z$27+$AB$27*_xlpm.sRR+($AC$27+INPUTS!$F$13)*_xlpm.sGR+$AD$27*_xlpm.sOR,_xlpm.sGR-_xlpm.sExp+$AA$27))</f>
        <v>0</v>
      </c>
      <c r="F51" s="43">
        <f>IF(3&gt;$Y$16,0,_xlfn.LET(_xlpm.sRR,C$18*$B24*$Y$5*$Y$6*$Y$28,_xlpm.sOR,C$18*$Y$5*$Y$6,_xlpm.sOI,$AE$28*_xlpm.sOR,_xlpm.sOD,$Y$23*_xlpm.sRR,_xlpm.sGR,_xlpm.sRR+_xlpm.sOI+_xlpm.sOD,_xlpm.sExp,$Z$28+$AB$28*_xlpm.sRR+($AC$28+INPUTS!$F$13)*_xlpm.sGR+$AD$28*_xlpm.sOR,_xlpm.sGR-_xlpm.sExp+$AA$28))</f>
        <v>0</v>
      </c>
      <c r="G51" s="43">
        <f>IF(4&gt;$Y$16,0,_xlfn.LET(_xlpm.sRR,C$18*$B24*$Y$5*$Y$6*$Y$29,_xlpm.sOR,C$18*$Y$5*$Y$6,_xlpm.sOI,$AE$29*_xlpm.sOR,_xlpm.sOD,$Y$23*_xlpm.sRR,_xlpm.sGR,_xlpm.sRR+_xlpm.sOI+_xlpm.sOD,_xlpm.sExp,$Z$29+$AB$29*_xlpm.sRR+($AC$29+INPUTS!$F$13)*_xlpm.sGR+$AD$29*_xlpm.sOR,_xlpm.sGR-_xlpm.sExp+$AA$29))</f>
        <v>0</v>
      </c>
      <c r="H51" s="43">
        <f>IF(5&gt;$Y$16,0,_xlfn.LET(_xlpm.sRR,C$18*$B24*$Y$5*$Y$6*$Y$30,_xlpm.sOR,C$18*$Y$5*$Y$6,_xlpm.sOI,$AE$30*_xlpm.sOR,_xlpm.sOD,$Y$23*_xlpm.sRR,_xlpm.sGR,_xlpm.sRR+_xlpm.sOI+_xlpm.sOD,_xlpm.sExp,$Z$30+$AB$30*_xlpm.sRR+($AC$30+INPUTS!$F$13)*_xlpm.sGR+$AD$30*_xlpm.sOR,_xlpm.sGR-_xlpm.sExp+$AA$30))</f>
        <v>0</v>
      </c>
      <c r="I51" s="43">
        <f>IF(6&gt;$Y$16,0,_xlfn.LET(_xlpm.sRR,C$18*$B24*$Y$5*$Y$6*$Y$31,_xlpm.sOR,C$18*$Y$5*$Y$6,_xlpm.sOI,$AE$31*_xlpm.sOR,_xlpm.sOD,$Y$23*_xlpm.sRR,_xlpm.sGR,_xlpm.sRR+_xlpm.sOI+_xlpm.sOD,_xlpm.sExp,$Z$31+$AB$31*_xlpm.sRR+($AC$31+INPUTS!$F$13)*_xlpm.sGR+$AD$31*_xlpm.sOR,_xlpm.sGR-_xlpm.sExp+$AA$31))</f>
        <v>0</v>
      </c>
      <c r="J51" s="43">
        <f>IF(7&gt;$Y$16,0,_xlfn.LET(_xlpm.sRR,C$18*$B24*$Y$5*$Y$6*$Y$32,_xlpm.sOR,C$18*$Y$5*$Y$6,_xlpm.sOI,$AE$32*_xlpm.sOR,_xlpm.sOD,$Y$23*_xlpm.sRR,_xlpm.sGR,_xlpm.sRR+_xlpm.sOI+_xlpm.sOD,_xlpm.sExp,$Z$32+$AB$32*_xlpm.sRR+($AC$32+INPUTS!$F$13)*_xlpm.sGR+$AD$32*_xlpm.sOR,_xlpm.sGR-_xlpm.sExp+$AA$32))</f>
        <v>0</v>
      </c>
      <c r="K51" s="43">
        <f>IF(8&gt;$Y$16,0,_xlfn.LET(_xlpm.sRR,C$18*$B24*$Y$5*$Y$6*$Y$33,_xlpm.sOR,C$18*$Y$5*$Y$6,_xlpm.sOI,$AE$33*_xlpm.sOR,_xlpm.sOD,$Y$23*_xlpm.sRR,_xlpm.sGR,_xlpm.sRR+_xlpm.sOI+_xlpm.sOD,_xlpm.sExp,$Z$33+$AB$33*_xlpm.sRR+($AC$33+INPUTS!$F$13)*_xlpm.sGR+$AD$33*_xlpm.sOR,_xlpm.sGR-_xlpm.sExp+$AA$33))</f>
        <v>0</v>
      </c>
      <c r="L51" s="43">
        <f>IF(9&gt;$Y$16,0,_xlfn.LET(_xlpm.sRR,C$18*$B24*$Y$5*$Y$6*$Y$34,_xlpm.sOR,C$18*$Y$5*$Y$6,_xlpm.sOI,$AE$34*_xlpm.sOR,_xlpm.sOD,$Y$23*_xlpm.sRR,_xlpm.sGR,_xlpm.sRR+_xlpm.sOI+_xlpm.sOD,_xlpm.sExp,$Z$34+$AB$34*_xlpm.sRR+($AC$34+INPUTS!$F$13)*_xlpm.sGR+$AD$34*_xlpm.sOR,_xlpm.sGR-_xlpm.sExp+$AA$34))</f>
        <v>0</v>
      </c>
      <c r="M51" s="43">
        <f>IF(10&gt;$Y$16,0,IF(10&lt;$Y$16,_xlfn.LET(_xlpm.sRR,C$18*$B24*$Y$5*$Y$6*$Y$35,_xlpm.sOR,C$18*$Y$5*$Y$6,_xlpm.sOI,$AE$35*_xlpm.sOR,_xlpm.sOD,$Y$23*_xlpm.sRR,_xlpm.sGR,_xlpm.sRR+_xlpm.sOI+_xlpm.sOD,_xlpm.sExp,$Z$35+$AB$35*_xlpm.sRR+($AC$35+INPUTS!$F$13)*_xlpm.sGR+$AD$35*_xlpm.sOR,_xlpm.sGR-_xlpm.sExp+$AA$35),_xlfn.LET(_xlpm.sRR,C$18*$B24*$Y$5*$Y$6*$Y$35,_xlpm.sOR,C$18*$Y$5*$Y$6,_xlpm.sOI,$AE$35*_xlpm.sOR,_xlpm.sOD,$Y$23*_xlpm.sRR,_xlpm.sGR,_xlpm.sRR+_xlpm.sOI+_xlpm.sOD,_xlpm.sExp,$Z$35+$AB$35*_xlpm.sRR+($AC$35+INPUTS!$F$13)*_xlpm.sGR+$AD$35*_xlpm.sOR,_xlpm.opCF,_xlpm.sGR-_xlpm.sExp+$AA$35,_xlpm.sale,C$18*$B24*$Y$5*$Y$6*$Y$15*(1-$Y$17),_xlpm.opCF+_xlpm.sale-$Y$22+$Y$24)))</f>
        <v>0</v>
      </c>
    </row>
    <row r="52" spans="2:13" hidden="1">
      <c r="B52" s="933" t="e">
        <f t="shared" si="7"/>
        <v>#VALUE!</v>
      </c>
      <c r="C52">
        <f t="shared" si="8"/>
        <v>0</v>
      </c>
      <c r="D52" s="43">
        <f>IF(1&gt;$Y$16,0,_xlfn.LET(_xlpm.sRR,C$18*$B25*$Y$5*$Y$6*$Y$26,_xlpm.sOR,C$18*$Y$5*$Y$6,_xlpm.sOI,$AE$26*_xlpm.sOR,_xlpm.sOD,$Y$23*_xlpm.sRR,_xlpm.sGR,_xlpm.sRR+_xlpm.sOI+_xlpm.sOD,_xlpm.sExp,$Z$26+$AB$26*_xlpm.sRR+($AC$26+INPUTS!$F$13)*_xlpm.sGR+$AD$26*_xlpm.sOR,_xlpm.sGR-_xlpm.sExp+$AA$26))</f>
        <v>0</v>
      </c>
      <c r="E52" s="43">
        <f>IF(2&gt;$Y$16,0,_xlfn.LET(_xlpm.sRR,C$18*$B25*$Y$5*$Y$6*$Y$27,_xlpm.sOR,C$18*$Y$5*$Y$6,_xlpm.sOI,$AE$27*_xlpm.sOR,_xlpm.sOD,$Y$23*_xlpm.sRR,_xlpm.sGR,_xlpm.sRR+_xlpm.sOI+_xlpm.sOD,_xlpm.sExp,$Z$27+$AB$27*_xlpm.sRR+($AC$27+INPUTS!$F$13)*_xlpm.sGR+$AD$27*_xlpm.sOR,_xlpm.sGR-_xlpm.sExp+$AA$27))</f>
        <v>0</v>
      </c>
      <c r="F52" s="43">
        <f>IF(3&gt;$Y$16,0,_xlfn.LET(_xlpm.sRR,C$18*$B25*$Y$5*$Y$6*$Y$28,_xlpm.sOR,C$18*$Y$5*$Y$6,_xlpm.sOI,$AE$28*_xlpm.sOR,_xlpm.sOD,$Y$23*_xlpm.sRR,_xlpm.sGR,_xlpm.sRR+_xlpm.sOI+_xlpm.sOD,_xlpm.sExp,$Z$28+$AB$28*_xlpm.sRR+($AC$28+INPUTS!$F$13)*_xlpm.sGR+$AD$28*_xlpm.sOR,_xlpm.sGR-_xlpm.sExp+$AA$28))</f>
        <v>0</v>
      </c>
      <c r="G52" s="43">
        <f>IF(4&gt;$Y$16,0,_xlfn.LET(_xlpm.sRR,C$18*$B25*$Y$5*$Y$6*$Y$29,_xlpm.sOR,C$18*$Y$5*$Y$6,_xlpm.sOI,$AE$29*_xlpm.sOR,_xlpm.sOD,$Y$23*_xlpm.sRR,_xlpm.sGR,_xlpm.sRR+_xlpm.sOI+_xlpm.sOD,_xlpm.sExp,$Z$29+$AB$29*_xlpm.sRR+($AC$29+INPUTS!$F$13)*_xlpm.sGR+$AD$29*_xlpm.sOR,_xlpm.sGR-_xlpm.sExp+$AA$29))</f>
        <v>0</v>
      </c>
      <c r="H52" s="43">
        <f>IF(5&gt;$Y$16,0,_xlfn.LET(_xlpm.sRR,C$18*$B25*$Y$5*$Y$6*$Y$30,_xlpm.sOR,C$18*$Y$5*$Y$6,_xlpm.sOI,$AE$30*_xlpm.sOR,_xlpm.sOD,$Y$23*_xlpm.sRR,_xlpm.sGR,_xlpm.sRR+_xlpm.sOI+_xlpm.sOD,_xlpm.sExp,$Z$30+$AB$30*_xlpm.sRR+($AC$30+INPUTS!$F$13)*_xlpm.sGR+$AD$30*_xlpm.sOR,_xlpm.sGR-_xlpm.sExp+$AA$30))</f>
        <v>0</v>
      </c>
      <c r="I52" s="43">
        <f>IF(6&gt;$Y$16,0,_xlfn.LET(_xlpm.sRR,C$18*$B25*$Y$5*$Y$6*$Y$31,_xlpm.sOR,C$18*$Y$5*$Y$6,_xlpm.sOI,$AE$31*_xlpm.sOR,_xlpm.sOD,$Y$23*_xlpm.sRR,_xlpm.sGR,_xlpm.sRR+_xlpm.sOI+_xlpm.sOD,_xlpm.sExp,$Z$31+$AB$31*_xlpm.sRR+($AC$31+INPUTS!$F$13)*_xlpm.sGR+$AD$31*_xlpm.sOR,_xlpm.sGR-_xlpm.sExp+$AA$31))</f>
        <v>0</v>
      </c>
      <c r="J52" s="43">
        <f>IF(7&gt;$Y$16,0,_xlfn.LET(_xlpm.sRR,C$18*$B25*$Y$5*$Y$6*$Y$32,_xlpm.sOR,C$18*$Y$5*$Y$6,_xlpm.sOI,$AE$32*_xlpm.sOR,_xlpm.sOD,$Y$23*_xlpm.sRR,_xlpm.sGR,_xlpm.sRR+_xlpm.sOI+_xlpm.sOD,_xlpm.sExp,$Z$32+$AB$32*_xlpm.sRR+($AC$32+INPUTS!$F$13)*_xlpm.sGR+$AD$32*_xlpm.sOR,_xlpm.sGR-_xlpm.sExp+$AA$32))</f>
        <v>0</v>
      </c>
      <c r="K52" s="43">
        <f>IF(8&gt;$Y$16,0,_xlfn.LET(_xlpm.sRR,C$18*$B25*$Y$5*$Y$6*$Y$33,_xlpm.sOR,C$18*$Y$5*$Y$6,_xlpm.sOI,$AE$33*_xlpm.sOR,_xlpm.sOD,$Y$23*_xlpm.sRR,_xlpm.sGR,_xlpm.sRR+_xlpm.sOI+_xlpm.sOD,_xlpm.sExp,$Z$33+$AB$33*_xlpm.sRR+($AC$33+INPUTS!$F$13)*_xlpm.sGR+$AD$33*_xlpm.sOR,_xlpm.sGR-_xlpm.sExp+$AA$33))</f>
        <v>0</v>
      </c>
      <c r="L52" s="43">
        <f>IF(9&gt;$Y$16,0,_xlfn.LET(_xlpm.sRR,C$18*$B25*$Y$5*$Y$6*$Y$34,_xlpm.sOR,C$18*$Y$5*$Y$6,_xlpm.sOI,$AE$34*_xlpm.sOR,_xlpm.sOD,$Y$23*_xlpm.sRR,_xlpm.sGR,_xlpm.sRR+_xlpm.sOI+_xlpm.sOD,_xlpm.sExp,$Z$34+$AB$34*_xlpm.sRR+($AC$34+INPUTS!$F$13)*_xlpm.sGR+$AD$34*_xlpm.sOR,_xlpm.sGR-_xlpm.sExp+$AA$34))</f>
        <v>0</v>
      </c>
      <c r="M52" s="43">
        <f>IF(10&gt;$Y$16,0,IF(10&lt;$Y$16,_xlfn.LET(_xlpm.sRR,C$18*$B25*$Y$5*$Y$6*$Y$35,_xlpm.sOR,C$18*$Y$5*$Y$6,_xlpm.sOI,$AE$35*_xlpm.sOR,_xlpm.sOD,$Y$23*_xlpm.sRR,_xlpm.sGR,_xlpm.sRR+_xlpm.sOI+_xlpm.sOD,_xlpm.sExp,$Z$35+$AB$35*_xlpm.sRR+($AC$35+INPUTS!$F$13)*_xlpm.sGR+$AD$35*_xlpm.sOR,_xlpm.sGR-_xlpm.sExp+$AA$35),_xlfn.LET(_xlpm.sRR,C$18*$B25*$Y$5*$Y$6*$Y$35,_xlpm.sOR,C$18*$Y$5*$Y$6,_xlpm.sOI,$AE$35*_xlpm.sOR,_xlpm.sOD,$Y$23*_xlpm.sRR,_xlpm.sGR,_xlpm.sRR+_xlpm.sOI+_xlpm.sOD,_xlpm.sExp,$Z$35+$AB$35*_xlpm.sRR+($AC$35+INPUTS!$F$13)*_xlpm.sGR+$AD$35*_xlpm.sOR,_xlpm.opCF,_xlpm.sGR-_xlpm.sExp+$AA$35,_xlpm.sale,C$18*$B25*$Y$5*$Y$6*$Y$15*(1-$Y$17),_xlpm.opCF+_xlpm.sale-$Y$22+$Y$24)))</f>
        <v>0</v>
      </c>
    </row>
    <row r="53" spans="2:13" hidden="1">
      <c r="B53" s="933" t="e">
        <f t="shared" ref="B53:B59" si="9">D$18&amp;" × $"&amp;TEXT($B19,"0")</f>
        <v>#VALUE!</v>
      </c>
      <c r="C53">
        <f t="shared" si="8"/>
        <v>0</v>
      </c>
      <c r="D53" s="43">
        <f>IF(1&gt;$Y$16,0,_xlfn.LET(_xlpm.sRR,D$18*$B19*$Y$5*$Y$6*$Y$26,_xlpm.sOR,D$18*$Y$5*$Y$6,_xlpm.sOI,$AE$26*_xlpm.sOR,_xlpm.sOD,$Y$23*_xlpm.sRR,_xlpm.sGR,_xlpm.sRR+_xlpm.sOI+_xlpm.sOD,_xlpm.sExp,$Z$26+$AB$26*_xlpm.sRR+($AC$26+INPUTS!$F$13)*_xlpm.sGR+$AD$26*_xlpm.sOR,_xlpm.sGR-_xlpm.sExp+$AA$26))</f>
        <v>0</v>
      </c>
      <c r="E53" s="43">
        <f>IF(2&gt;$Y$16,0,_xlfn.LET(_xlpm.sRR,D$18*$B19*$Y$5*$Y$6*$Y$27,_xlpm.sOR,D$18*$Y$5*$Y$6,_xlpm.sOI,$AE$27*_xlpm.sOR,_xlpm.sOD,$Y$23*_xlpm.sRR,_xlpm.sGR,_xlpm.sRR+_xlpm.sOI+_xlpm.sOD,_xlpm.sExp,$Z$27+$AB$27*_xlpm.sRR+($AC$27+INPUTS!$F$13)*_xlpm.sGR+$AD$27*_xlpm.sOR,_xlpm.sGR-_xlpm.sExp+$AA$27))</f>
        <v>0</v>
      </c>
      <c r="F53" s="43">
        <f>IF(3&gt;$Y$16,0,_xlfn.LET(_xlpm.sRR,D$18*$B19*$Y$5*$Y$6*$Y$28,_xlpm.sOR,D$18*$Y$5*$Y$6,_xlpm.sOI,$AE$28*_xlpm.sOR,_xlpm.sOD,$Y$23*_xlpm.sRR,_xlpm.sGR,_xlpm.sRR+_xlpm.sOI+_xlpm.sOD,_xlpm.sExp,$Z$28+$AB$28*_xlpm.sRR+($AC$28+INPUTS!$F$13)*_xlpm.sGR+$AD$28*_xlpm.sOR,_xlpm.sGR-_xlpm.sExp+$AA$28))</f>
        <v>0</v>
      </c>
      <c r="G53" s="43">
        <f>IF(4&gt;$Y$16,0,_xlfn.LET(_xlpm.sRR,D$18*$B19*$Y$5*$Y$6*$Y$29,_xlpm.sOR,D$18*$Y$5*$Y$6,_xlpm.sOI,$AE$29*_xlpm.sOR,_xlpm.sOD,$Y$23*_xlpm.sRR,_xlpm.sGR,_xlpm.sRR+_xlpm.sOI+_xlpm.sOD,_xlpm.sExp,$Z$29+$AB$29*_xlpm.sRR+($AC$29+INPUTS!$F$13)*_xlpm.sGR+$AD$29*_xlpm.sOR,_xlpm.sGR-_xlpm.sExp+$AA$29))</f>
        <v>0</v>
      </c>
      <c r="H53" s="43">
        <f>IF(5&gt;$Y$16,0,_xlfn.LET(_xlpm.sRR,D$18*$B19*$Y$5*$Y$6*$Y$30,_xlpm.sOR,D$18*$Y$5*$Y$6,_xlpm.sOI,$AE$30*_xlpm.sOR,_xlpm.sOD,$Y$23*_xlpm.sRR,_xlpm.sGR,_xlpm.sRR+_xlpm.sOI+_xlpm.sOD,_xlpm.sExp,$Z$30+$AB$30*_xlpm.sRR+($AC$30+INPUTS!$F$13)*_xlpm.sGR+$AD$30*_xlpm.sOR,_xlpm.sGR-_xlpm.sExp+$AA$30))</f>
        <v>0</v>
      </c>
      <c r="I53" s="43">
        <f>IF(6&gt;$Y$16,0,_xlfn.LET(_xlpm.sRR,D$18*$B19*$Y$5*$Y$6*$Y$31,_xlpm.sOR,D$18*$Y$5*$Y$6,_xlpm.sOI,$AE$31*_xlpm.sOR,_xlpm.sOD,$Y$23*_xlpm.sRR,_xlpm.sGR,_xlpm.sRR+_xlpm.sOI+_xlpm.sOD,_xlpm.sExp,$Z$31+$AB$31*_xlpm.sRR+($AC$31+INPUTS!$F$13)*_xlpm.sGR+$AD$31*_xlpm.sOR,_xlpm.sGR-_xlpm.sExp+$AA$31))</f>
        <v>0</v>
      </c>
      <c r="J53" s="43">
        <f>IF(7&gt;$Y$16,0,_xlfn.LET(_xlpm.sRR,D$18*$B19*$Y$5*$Y$6*$Y$32,_xlpm.sOR,D$18*$Y$5*$Y$6,_xlpm.sOI,$AE$32*_xlpm.sOR,_xlpm.sOD,$Y$23*_xlpm.sRR,_xlpm.sGR,_xlpm.sRR+_xlpm.sOI+_xlpm.sOD,_xlpm.sExp,$Z$32+$AB$32*_xlpm.sRR+($AC$32+INPUTS!$F$13)*_xlpm.sGR+$AD$32*_xlpm.sOR,_xlpm.sGR-_xlpm.sExp+$AA$32))</f>
        <v>0</v>
      </c>
      <c r="K53" s="43">
        <f>IF(8&gt;$Y$16,0,_xlfn.LET(_xlpm.sRR,D$18*$B19*$Y$5*$Y$6*$Y$33,_xlpm.sOR,D$18*$Y$5*$Y$6,_xlpm.sOI,$AE$33*_xlpm.sOR,_xlpm.sOD,$Y$23*_xlpm.sRR,_xlpm.sGR,_xlpm.sRR+_xlpm.sOI+_xlpm.sOD,_xlpm.sExp,$Z$33+$AB$33*_xlpm.sRR+($AC$33+INPUTS!$F$13)*_xlpm.sGR+$AD$33*_xlpm.sOR,_xlpm.sGR-_xlpm.sExp+$AA$33))</f>
        <v>0</v>
      </c>
      <c r="L53" s="43">
        <f>IF(9&gt;$Y$16,0,_xlfn.LET(_xlpm.sRR,D$18*$B19*$Y$5*$Y$6*$Y$34,_xlpm.sOR,D$18*$Y$5*$Y$6,_xlpm.sOI,$AE$34*_xlpm.sOR,_xlpm.sOD,$Y$23*_xlpm.sRR,_xlpm.sGR,_xlpm.sRR+_xlpm.sOI+_xlpm.sOD,_xlpm.sExp,$Z$34+$AB$34*_xlpm.sRR+($AC$34+INPUTS!$F$13)*_xlpm.sGR+$AD$34*_xlpm.sOR,_xlpm.sGR-_xlpm.sExp+$AA$34))</f>
        <v>0</v>
      </c>
      <c r="M53" s="43">
        <f>IF(10&gt;$Y$16,0,IF(10&lt;$Y$16,_xlfn.LET(_xlpm.sRR,D$18*$B19*$Y$5*$Y$6*$Y$35,_xlpm.sOR,D$18*$Y$5*$Y$6,_xlpm.sOI,$AE$35*_xlpm.sOR,_xlpm.sOD,$Y$23*_xlpm.sRR,_xlpm.sGR,_xlpm.sRR+_xlpm.sOI+_xlpm.sOD,_xlpm.sExp,$Z$35+$AB$35*_xlpm.sRR+($AC$35+INPUTS!$F$13)*_xlpm.sGR+$AD$35*_xlpm.sOR,_xlpm.sGR-_xlpm.sExp+$AA$35),_xlfn.LET(_xlpm.sRR,D$18*$B19*$Y$5*$Y$6*$Y$35,_xlpm.sOR,D$18*$Y$5*$Y$6,_xlpm.sOI,$AE$35*_xlpm.sOR,_xlpm.sOD,$Y$23*_xlpm.sRR,_xlpm.sGR,_xlpm.sRR+_xlpm.sOI+_xlpm.sOD,_xlpm.sExp,$Z$35+$AB$35*_xlpm.sRR+($AC$35+INPUTS!$F$13)*_xlpm.sGR+$AD$35*_xlpm.sOR,_xlpm.opCF,_xlpm.sGR-_xlpm.sExp+$AA$35,_xlpm.sale,D$18*$B19*$Y$5*$Y$6*$Y$15*(1-$Y$17),_xlpm.opCF+_xlpm.sale-$Y$22+$Y$24)))</f>
        <v>0</v>
      </c>
    </row>
    <row r="54" spans="2:13" hidden="1">
      <c r="B54" s="933" t="e">
        <f t="shared" si="9"/>
        <v>#VALUE!</v>
      </c>
      <c r="C54">
        <f t="shared" si="8"/>
        <v>0</v>
      </c>
      <c r="D54" s="43">
        <f>IF(1&gt;$Y$16,0,_xlfn.LET(_xlpm.sRR,D$18*$B20*$Y$5*$Y$6*$Y$26,_xlpm.sOR,D$18*$Y$5*$Y$6,_xlpm.sOI,$AE$26*_xlpm.sOR,_xlpm.sOD,$Y$23*_xlpm.sRR,_xlpm.sGR,_xlpm.sRR+_xlpm.sOI+_xlpm.sOD,_xlpm.sExp,$Z$26+$AB$26*_xlpm.sRR+($AC$26+INPUTS!$F$13)*_xlpm.sGR+$AD$26*_xlpm.sOR,_xlpm.sGR-_xlpm.sExp+$AA$26))</f>
        <v>0</v>
      </c>
      <c r="E54" s="43">
        <f>IF(2&gt;$Y$16,0,_xlfn.LET(_xlpm.sRR,D$18*$B20*$Y$5*$Y$6*$Y$27,_xlpm.sOR,D$18*$Y$5*$Y$6,_xlpm.sOI,$AE$27*_xlpm.sOR,_xlpm.sOD,$Y$23*_xlpm.sRR,_xlpm.sGR,_xlpm.sRR+_xlpm.sOI+_xlpm.sOD,_xlpm.sExp,$Z$27+$AB$27*_xlpm.sRR+($AC$27+INPUTS!$F$13)*_xlpm.sGR+$AD$27*_xlpm.sOR,_xlpm.sGR-_xlpm.sExp+$AA$27))</f>
        <v>0</v>
      </c>
      <c r="F54" s="43">
        <f>IF(3&gt;$Y$16,0,_xlfn.LET(_xlpm.sRR,D$18*$B20*$Y$5*$Y$6*$Y$28,_xlpm.sOR,D$18*$Y$5*$Y$6,_xlpm.sOI,$AE$28*_xlpm.sOR,_xlpm.sOD,$Y$23*_xlpm.sRR,_xlpm.sGR,_xlpm.sRR+_xlpm.sOI+_xlpm.sOD,_xlpm.sExp,$Z$28+$AB$28*_xlpm.sRR+($AC$28+INPUTS!$F$13)*_xlpm.sGR+$AD$28*_xlpm.sOR,_xlpm.sGR-_xlpm.sExp+$AA$28))</f>
        <v>0</v>
      </c>
      <c r="G54" s="43">
        <f>IF(4&gt;$Y$16,0,_xlfn.LET(_xlpm.sRR,D$18*$B20*$Y$5*$Y$6*$Y$29,_xlpm.sOR,D$18*$Y$5*$Y$6,_xlpm.sOI,$AE$29*_xlpm.sOR,_xlpm.sOD,$Y$23*_xlpm.sRR,_xlpm.sGR,_xlpm.sRR+_xlpm.sOI+_xlpm.sOD,_xlpm.sExp,$Z$29+$AB$29*_xlpm.sRR+($AC$29+INPUTS!$F$13)*_xlpm.sGR+$AD$29*_xlpm.sOR,_xlpm.sGR-_xlpm.sExp+$AA$29))</f>
        <v>0</v>
      </c>
      <c r="H54" s="43">
        <f>IF(5&gt;$Y$16,0,_xlfn.LET(_xlpm.sRR,D$18*$B20*$Y$5*$Y$6*$Y$30,_xlpm.sOR,D$18*$Y$5*$Y$6,_xlpm.sOI,$AE$30*_xlpm.sOR,_xlpm.sOD,$Y$23*_xlpm.sRR,_xlpm.sGR,_xlpm.sRR+_xlpm.sOI+_xlpm.sOD,_xlpm.sExp,$Z$30+$AB$30*_xlpm.sRR+($AC$30+INPUTS!$F$13)*_xlpm.sGR+$AD$30*_xlpm.sOR,_xlpm.sGR-_xlpm.sExp+$AA$30))</f>
        <v>0</v>
      </c>
      <c r="I54" s="43">
        <f>IF(6&gt;$Y$16,0,_xlfn.LET(_xlpm.sRR,D$18*$B20*$Y$5*$Y$6*$Y$31,_xlpm.sOR,D$18*$Y$5*$Y$6,_xlpm.sOI,$AE$31*_xlpm.sOR,_xlpm.sOD,$Y$23*_xlpm.sRR,_xlpm.sGR,_xlpm.sRR+_xlpm.sOI+_xlpm.sOD,_xlpm.sExp,$Z$31+$AB$31*_xlpm.sRR+($AC$31+INPUTS!$F$13)*_xlpm.sGR+$AD$31*_xlpm.sOR,_xlpm.sGR-_xlpm.sExp+$AA$31))</f>
        <v>0</v>
      </c>
      <c r="J54" s="43">
        <f>IF(7&gt;$Y$16,0,_xlfn.LET(_xlpm.sRR,D$18*$B20*$Y$5*$Y$6*$Y$32,_xlpm.sOR,D$18*$Y$5*$Y$6,_xlpm.sOI,$AE$32*_xlpm.sOR,_xlpm.sOD,$Y$23*_xlpm.sRR,_xlpm.sGR,_xlpm.sRR+_xlpm.sOI+_xlpm.sOD,_xlpm.sExp,$Z$32+$AB$32*_xlpm.sRR+($AC$32+INPUTS!$F$13)*_xlpm.sGR+$AD$32*_xlpm.sOR,_xlpm.sGR-_xlpm.sExp+$AA$32))</f>
        <v>0</v>
      </c>
      <c r="K54" s="43">
        <f>IF(8&gt;$Y$16,0,_xlfn.LET(_xlpm.sRR,D$18*$B20*$Y$5*$Y$6*$Y$33,_xlpm.sOR,D$18*$Y$5*$Y$6,_xlpm.sOI,$AE$33*_xlpm.sOR,_xlpm.sOD,$Y$23*_xlpm.sRR,_xlpm.sGR,_xlpm.sRR+_xlpm.sOI+_xlpm.sOD,_xlpm.sExp,$Z$33+$AB$33*_xlpm.sRR+($AC$33+INPUTS!$F$13)*_xlpm.sGR+$AD$33*_xlpm.sOR,_xlpm.sGR-_xlpm.sExp+$AA$33))</f>
        <v>0</v>
      </c>
      <c r="L54" s="43">
        <f>IF(9&gt;$Y$16,0,_xlfn.LET(_xlpm.sRR,D$18*$B20*$Y$5*$Y$6*$Y$34,_xlpm.sOR,D$18*$Y$5*$Y$6,_xlpm.sOI,$AE$34*_xlpm.sOR,_xlpm.sOD,$Y$23*_xlpm.sRR,_xlpm.sGR,_xlpm.sRR+_xlpm.sOI+_xlpm.sOD,_xlpm.sExp,$Z$34+$AB$34*_xlpm.sRR+($AC$34+INPUTS!$F$13)*_xlpm.sGR+$AD$34*_xlpm.sOR,_xlpm.sGR-_xlpm.sExp+$AA$34))</f>
        <v>0</v>
      </c>
      <c r="M54" s="43">
        <f>IF(10&gt;$Y$16,0,IF(10&lt;$Y$16,_xlfn.LET(_xlpm.sRR,D$18*$B20*$Y$5*$Y$6*$Y$35,_xlpm.sOR,D$18*$Y$5*$Y$6,_xlpm.sOI,$AE$35*_xlpm.sOR,_xlpm.sOD,$Y$23*_xlpm.sRR,_xlpm.sGR,_xlpm.sRR+_xlpm.sOI+_xlpm.sOD,_xlpm.sExp,$Z$35+$AB$35*_xlpm.sRR+($AC$35+INPUTS!$F$13)*_xlpm.sGR+$AD$35*_xlpm.sOR,_xlpm.sGR-_xlpm.sExp+$AA$35),_xlfn.LET(_xlpm.sRR,D$18*$B20*$Y$5*$Y$6*$Y$35,_xlpm.sOR,D$18*$Y$5*$Y$6,_xlpm.sOI,$AE$35*_xlpm.sOR,_xlpm.sOD,$Y$23*_xlpm.sRR,_xlpm.sGR,_xlpm.sRR+_xlpm.sOI+_xlpm.sOD,_xlpm.sExp,$Z$35+$AB$35*_xlpm.sRR+($AC$35+INPUTS!$F$13)*_xlpm.sGR+$AD$35*_xlpm.sOR,_xlpm.opCF,_xlpm.sGR-_xlpm.sExp+$AA$35,_xlpm.sale,D$18*$B20*$Y$5*$Y$6*$Y$15*(1-$Y$17),_xlpm.opCF+_xlpm.sale-$Y$22+$Y$24)))</f>
        <v>0</v>
      </c>
    </row>
    <row r="55" spans="2:13" hidden="1">
      <c r="B55" s="933" t="e">
        <f t="shared" si="9"/>
        <v>#VALUE!</v>
      </c>
      <c r="C55">
        <f t="shared" si="8"/>
        <v>0</v>
      </c>
      <c r="D55" s="43">
        <f>IF(1&gt;$Y$16,0,_xlfn.LET(_xlpm.sRR,D$18*$B21*$Y$5*$Y$6*$Y$26,_xlpm.sOR,D$18*$Y$5*$Y$6,_xlpm.sOI,$AE$26*_xlpm.sOR,_xlpm.sOD,$Y$23*_xlpm.sRR,_xlpm.sGR,_xlpm.sRR+_xlpm.sOI+_xlpm.sOD,_xlpm.sExp,$Z$26+$AB$26*_xlpm.sRR+($AC$26+INPUTS!$F$13)*_xlpm.sGR+$AD$26*_xlpm.sOR,_xlpm.sGR-_xlpm.sExp+$AA$26))</f>
        <v>0</v>
      </c>
      <c r="E55" s="43">
        <f>IF(2&gt;$Y$16,0,_xlfn.LET(_xlpm.sRR,D$18*$B21*$Y$5*$Y$6*$Y$27,_xlpm.sOR,D$18*$Y$5*$Y$6,_xlpm.sOI,$AE$27*_xlpm.sOR,_xlpm.sOD,$Y$23*_xlpm.sRR,_xlpm.sGR,_xlpm.sRR+_xlpm.sOI+_xlpm.sOD,_xlpm.sExp,$Z$27+$AB$27*_xlpm.sRR+($AC$27+INPUTS!$F$13)*_xlpm.sGR+$AD$27*_xlpm.sOR,_xlpm.sGR-_xlpm.sExp+$AA$27))</f>
        <v>0</v>
      </c>
      <c r="F55" s="43">
        <f>IF(3&gt;$Y$16,0,_xlfn.LET(_xlpm.sRR,D$18*$B21*$Y$5*$Y$6*$Y$28,_xlpm.sOR,D$18*$Y$5*$Y$6,_xlpm.sOI,$AE$28*_xlpm.sOR,_xlpm.sOD,$Y$23*_xlpm.sRR,_xlpm.sGR,_xlpm.sRR+_xlpm.sOI+_xlpm.sOD,_xlpm.sExp,$Z$28+$AB$28*_xlpm.sRR+($AC$28+INPUTS!$F$13)*_xlpm.sGR+$AD$28*_xlpm.sOR,_xlpm.sGR-_xlpm.sExp+$AA$28))</f>
        <v>0</v>
      </c>
      <c r="G55" s="43">
        <f>IF(4&gt;$Y$16,0,_xlfn.LET(_xlpm.sRR,D$18*$B21*$Y$5*$Y$6*$Y$29,_xlpm.sOR,D$18*$Y$5*$Y$6,_xlpm.sOI,$AE$29*_xlpm.sOR,_xlpm.sOD,$Y$23*_xlpm.sRR,_xlpm.sGR,_xlpm.sRR+_xlpm.sOI+_xlpm.sOD,_xlpm.sExp,$Z$29+$AB$29*_xlpm.sRR+($AC$29+INPUTS!$F$13)*_xlpm.sGR+$AD$29*_xlpm.sOR,_xlpm.sGR-_xlpm.sExp+$AA$29))</f>
        <v>0</v>
      </c>
      <c r="H55" s="43">
        <f>IF(5&gt;$Y$16,0,_xlfn.LET(_xlpm.sRR,D$18*$B21*$Y$5*$Y$6*$Y$30,_xlpm.sOR,D$18*$Y$5*$Y$6,_xlpm.sOI,$AE$30*_xlpm.sOR,_xlpm.sOD,$Y$23*_xlpm.sRR,_xlpm.sGR,_xlpm.sRR+_xlpm.sOI+_xlpm.sOD,_xlpm.sExp,$Z$30+$AB$30*_xlpm.sRR+($AC$30+INPUTS!$F$13)*_xlpm.sGR+$AD$30*_xlpm.sOR,_xlpm.sGR-_xlpm.sExp+$AA$30))</f>
        <v>0</v>
      </c>
      <c r="I55" s="43">
        <f>IF(6&gt;$Y$16,0,_xlfn.LET(_xlpm.sRR,D$18*$B21*$Y$5*$Y$6*$Y$31,_xlpm.sOR,D$18*$Y$5*$Y$6,_xlpm.sOI,$AE$31*_xlpm.sOR,_xlpm.sOD,$Y$23*_xlpm.sRR,_xlpm.sGR,_xlpm.sRR+_xlpm.sOI+_xlpm.sOD,_xlpm.sExp,$Z$31+$AB$31*_xlpm.sRR+($AC$31+INPUTS!$F$13)*_xlpm.sGR+$AD$31*_xlpm.sOR,_xlpm.sGR-_xlpm.sExp+$AA$31))</f>
        <v>0</v>
      </c>
      <c r="J55" s="43">
        <f>IF(7&gt;$Y$16,0,_xlfn.LET(_xlpm.sRR,D$18*$B21*$Y$5*$Y$6*$Y$32,_xlpm.sOR,D$18*$Y$5*$Y$6,_xlpm.sOI,$AE$32*_xlpm.sOR,_xlpm.sOD,$Y$23*_xlpm.sRR,_xlpm.sGR,_xlpm.sRR+_xlpm.sOI+_xlpm.sOD,_xlpm.sExp,$Z$32+$AB$32*_xlpm.sRR+($AC$32+INPUTS!$F$13)*_xlpm.sGR+$AD$32*_xlpm.sOR,_xlpm.sGR-_xlpm.sExp+$AA$32))</f>
        <v>0</v>
      </c>
      <c r="K55" s="43">
        <f>IF(8&gt;$Y$16,0,_xlfn.LET(_xlpm.sRR,D$18*$B21*$Y$5*$Y$6*$Y$33,_xlpm.sOR,D$18*$Y$5*$Y$6,_xlpm.sOI,$AE$33*_xlpm.sOR,_xlpm.sOD,$Y$23*_xlpm.sRR,_xlpm.sGR,_xlpm.sRR+_xlpm.sOI+_xlpm.sOD,_xlpm.sExp,$Z$33+$AB$33*_xlpm.sRR+($AC$33+INPUTS!$F$13)*_xlpm.sGR+$AD$33*_xlpm.sOR,_xlpm.sGR-_xlpm.sExp+$AA$33))</f>
        <v>0</v>
      </c>
      <c r="L55" s="43">
        <f>IF(9&gt;$Y$16,0,_xlfn.LET(_xlpm.sRR,D$18*$B21*$Y$5*$Y$6*$Y$34,_xlpm.sOR,D$18*$Y$5*$Y$6,_xlpm.sOI,$AE$34*_xlpm.sOR,_xlpm.sOD,$Y$23*_xlpm.sRR,_xlpm.sGR,_xlpm.sRR+_xlpm.sOI+_xlpm.sOD,_xlpm.sExp,$Z$34+$AB$34*_xlpm.sRR+($AC$34+INPUTS!$F$13)*_xlpm.sGR+$AD$34*_xlpm.sOR,_xlpm.sGR-_xlpm.sExp+$AA$34))</f>
        <v>0</v>
      </c>
      <c r="M55" s="43">
        <f>IF(10&gt;$Y$16,0,IF(10&lt;$Y$16,_xlfn.LET(_xlpm.sRR,D$18*$B21*$Y$5*$Y$6*$Y$35,_xlpm.sOR,D$18*$Y$5*$Y$6,_xlpm.sOI,$AE$35*_xlpm.sOR,_xlpm.sOD,$Y$23*_xlpm.sRR,_xlpm.sGR,_xlpm.sRR+_xlpm.sOI+_xlpm.sOD,_xlpm.sExp,$Z$35+$AB$35*_xlpm.sRR+($AC$35+INPUTS!$F$13)*_xlpm.sGR+$AD$35*_xlpm.sOR,_xlpm.sGR-_xlpm.sExp+$AA$35),_xlfn.LET(_xlpm.sRR,D$18*$B21*$Y$5*$Y$6*$Y$35,_xlpm.sOR,D$18*$Y$5*$Y$6,_xlpm.sOI,$AE$35*_xlpm.sOR,_xlpm.sOD,$Y$23*_xlpm.sRR,_xlpm.sGR,_xlpm.sRR+_xlpm.sOI+_xlpm.sOD,_xlpm.sExp,$Z$35+$AB$35*_xlpm.sRR+($AC$35+INPUTS!$F$13)*_xlpm.sGR+$AD$35*_xlpm.sOR,_xlpm.opCF,_xlpm.sGR-_xlpm.sExp+$AA$35,_xlpm.sale,D$18*$B21*$Y$5*$Y$6*$Y$15*(1-$Y$17),_xlpm.opCF+_xlpm.sale-$Y$22+$Y$24)))</f>
        <v>0</v>
      </c>
    </row>
    <row r="56" spans="2:13" hidden="1">
      <c r="B56" s="933" t="e">
        <f t="shared" si="9"/>
        <v>#VALUE!</v>
      </c>
      <c r="C56">
        <f t="shared" si="8"/>
        <v>0</v>
      </c>
      <c r="D56" s="43">
        <f>IF(1&gt;$Y$16,0,_xlfn.LET(_xlpm.sRR,D$18*$B22*$Y$5*$Y$6*$Y$26,_xlpm.sOR,D$18*$Y$5*$Y$6,_xlpm.sOI,$AE$26*_xlpm.sOR,_xlpm.sOD,$Y$23*_xlpm.sRR,_xlpm.sGR,_xlpm.sRR+_xlpm.sOI+_xlpm.sOD,_xlpm.sExp,$Z$26+$AB$26*_xlpm.sRR+($AC$26+INPUTS!$F$13)*_xlpm.sGR+$AD$26*_xlpm.sOR,_xlpm.sGR-_xlpm.sExp+$AA$26))</f>
        <v>0</v>
      </c>
      <c r="E56" s="43">
        <f>IF(2&gt;$Y$16,0,_xlfn.LET(_xlpm.sRR,D$18*$B22*$Y$5*$Y$6*$Y$27,_xlpm.sOR,D$18*$Y$5*$Y$6,_xlpm.sOI,$AE$27*_xlpm.sOR,_xlpm.sOD,$Y$23*_xlpm.sRR,_xlpm.sGR,_xlpm.sRR+_xlpm.sOI+_xlpm.sOD,_xlpm.sExp,$Z$27+$AB$27*_xlpm.sRR+($AC$27+INPUTS!$F$13)*_xlpm.sGR+$AD$27*_xlpm.sOR,_xlpm.sGR-_xlpm.sExp+$AA$27))</f>
        <v>0</v>
      </c>
      <c r="F56" s="43">
        <f>IF(3&gt;$Y$16,0,_xlfn.LET(_xlpm.sRR,D$18*$B22*$Y$5*$Y$6*$Y$28,_xlpm.sOR,D$18*$Y$5*$Y$6,_xlpm.sOI,$AE$28*_xlpm.sOR,_xlpm.sOD,$Y$23*_xlpm.sRR,_xlpm.sGR,_xlpm.sRR+_xlpm.sOI+_xlpm.sOD,_xlpm.sExp,$Z$28+$AB$28*_xlpm.sRR+($AC$28+INPUTS!$F$13)*_xlpm.sGR+$AD$28*_xlpm.sOR,_xlpm.sGR-_xlpm.sExp+$AA$28))</f>
        <v>0</v>
      </c>
      <c r="G56" s="43">
        <f>IF(4&gt;$Y$16,0,_xlfn.LET(_xlpm.sRR,D$18*$B22*$Y$5*$Y$6*$Y$29,_xlpm.sOR,D$18*$Y$5*$Y$6,_xlpm.sOI,$AE$29*_xlpm.sOR,_xlpm.sOD,$Y$23*_xlpm.sRR,_xlpm.sGR,_xlpm.sRR+_xlpm.sOI+_xlpm.sOD,_xlpm.sExp,$Z$29+$AB$29*_xlpm.sRR+($AC$29+INPUTS!$F$13)*_xlpm.sGR+$AD$29*_xlpm.sOR,_xlpm.sGR-_xlpm.sExp+$AA$29))</f>
        <v>0</v>
      </c>
      <c r="H56" s="43">
        <f>IF(5&gt;$Y$16,0,_xlfn.LET(_xlpm.sRR,D$18*$B22*$Y$5*$Y$6*$Y$30,_xlpm.sOR,D$18*$Y$5*$Y$6,_xlpm.sOI,$AE$30*_xlpm.sOR,_xlpm.sOD,$Y$23*_xlpm.sRR,_xlpm.sGR,_xlpm.sRR+_xlpm.sOI+_xlpm.sOD,_xlpm.sExp,$Z$30+$AB$30*_xlpm.sRR+($AC$30+INPUTS!$F$13)*_xlpm.sGR+$AD$30*_xlpm.sOR,_xlpm.sGR-_xlpm.sExp+$AA$30))</f>
        <v>0</v>
      </c>
      <c r="I56" s="43">
        <f>IF(6&gt;$Y$16,0,_xlfn.LET(_xlpm.sRR,D$18*$B22*$Y$5*$Y$6*$Y$31,_xlpm.sOR,D$18*$Y$5*$Y$6,_xlpm.sOI,$AE$31*_xlpm.sOR,_xlpm.sOD,$Y$23*_xlpm.sRR,_xlpm.sGR,_xlpm.sRR+_xlpm.sOI+_xlpm.sOD,_xlpm.sExp,$Z$31+$AB$31*_xlpm.sRR+($AC$31+INPUTS!$F$13)*_xlpm.sGR+$AD$31*_xlpm.sOR,_xlpm.sGR-_xlpm.sExp+$AA$31))</f>
        <v>0</v>
      </c>
      <c r="J56" s="43">
        <f>IF(7&gt;$Y$16,0,_xlfn.LET(_xlpm.sRR,D$18*$B22*$Y$5*$Y$6*$Y$32,_xlpm.sOR,D$18*$Y$5*$Y$6,_xlpm.sOI,$AE$32*_xlpm.sOR,_xlpm.sOD,$Y$23*_xlpm.sRR,_xlpm.sGR,_xlpm.sRR+_xlpm.sOI+_xlpm.sOD,_xlpm.sExp,$Z$32+$AB$32*_xlpm.sRR+($AC$32+INPUTS!$F$13)*_xlpm.sGR+$AD$32*_xlpm.sOR,_xlpm.sGR-_xlpm.sExp+$AA$32))</f>
        <v>0</v>
      </c>
      <c r="K56" s="43">
        <f>IF(8&gt;$Y$16,0,_xlfn.LET(_xlpm.sRR,D$18*$B22*$Y$5*$Y$6*$Y$33,_xlpm.sOR,D$18*$Y$5*$Y$6,_xlpm.sOI,$AE$33*_xlpm.sOR,_xlpm.sOD,$Y$23*_xlpm.sRR,_xlpm.sGR,_xlpm.sRR+_xlpm.sOI+_xlpm.sOD,_xlpm.sExp,$Z$33+$AB$33*_xlpm.sRR+($AC$33+INPUTS!$F$13)*_xlpm.sGR+$AD$33*_xlpm.sOR,_xlpm.sGR-_xlpm.sExp+$AA$33))</f>
        <v>0</v>
      </c>
      <c r="L56" s="43">
        <f>IF(9&gt;$Y$16,0,_xlfn.LET(_xlpm.sRR,D$18*$B22*$Y$5*$Y$6*$Y$34,_xlpm.sOR,D$18*$Y$5*$Y$6,_xlpm.sOI,$AE$34*_xlpm.sOR,_xlpm.sOD,$Y$23*_xlpm.sRR,_xlpm.sGR,_xlpm.sRR+_xlpm.sOI+_xlpm.sOD,_xlpm.sExp,$Z$34+$AB$34*_xlpm.sRR+($AC$34+INPUTS!$F$13)*_xlpm.sGR+$AD$34*_xlpm.sOR,_xlpm.sGR-_xlpm.sExp+$AA$34))</f>
        <v>0</v>
      </c>
      <c r="M56" s="43">
        <f>IF(10&gt;$Y$16,0,IF(10&lt;$Y$16,_xlfn.LET(_xlpm.sRR,D$18*$B22*$Y$5*$Y$6*$Y$35,_xlpm.sOR,D$18*$Y$5*$Y$6,_xlpm.sOI,$AE$35*_xlpm.sOR,_xlpm.sOD,$Y$23*_xlpm.sRR,_xlpm.sGR,_xlpm.sRR+_xlpm.sOI+_xlpm.sOD,_xlpm.sExp,$Z$35+$AB$35*_xlpm.sRR+($AC$35+INPUTS!$F$13)*_xlpm.sGR+$AD$35*_xlpm.sOR,_xlpm.sGR-_xlpm.sExp+$AA$35),_xlfn.LET(_xlpm.sRR,D$18*$B22*$Y$5*$Y$6*$Y$35,_xlpm.sOR,D$18*$Y$5*$Y$6,_xlpm.sOI,$AE$35*_xlpm.sOR,_xlpm.sOD,$Y$23*_xlpm.sRR,_xlpm.sGR,_xlpm.sRR+_xlpm.sOI+_xlpm.sOD,_xlpm.sExp,$Z$35+$AB$35*_xlpm.sRR+($AC$35+INPUTS!$F$13)*_xlpm.sGR+$AD$35*_xlpm.sOR,_xlpm.opCF,_xlpm.sGR-_xlpm.sExp+$AA$35,_xlpm.sale,D$18*$B22*$Y$5*$Y$6*$Y$15*(1-$Y$17),_xlpm.opCF+_xlpm.sale-$Y$22+$Y$24)))</f>
        <v>0</v>
      </c>
    </row>
    <row r="57" spans="2:13" hidden="1">
      <c r="B57" s="933" t="e">
        <f t="shared" si="9"/>
        <v>#VALUE!</v>
      </c>
      <c r="C57">
        <f t="shared" si="8"/>
        <v>0</v>
      </c>
      <c r="D57" s="43">
        <f>IF(1&gt;$Y$16,0,_xlfn.LET(_xlpm.sRR,D$18*$B23*$Y$5*$Y$6*$Y$26,_xlpm.sOR,D$18*$Y$5*$Y$6,_xlpm.sOI,$AE$26*_xlpm.sOR,_xlpm.sOD,$Y$23*_xlpm.sRR,_xlpm.sGR,_xlpm.sRR+_xlpm.sOI+_xlpm.sOD,_xlpm.sExp,$Z$26+$AB$26*_xlpm.sRR+($AC$26+INPUTS!$F$13)*_xlpm.sGR+$AD$26*_xlpm.sOR,_xlpm.sGR-_xlpm.sExp+$AA$26))</f>
        <v>0</v>
      </c>
      <c r="E57" s="43">
        <f>IF(2&gt;$Y$16,0,_xlfn.LET(_xlpm.sRR,D$18*$B23*$Y$5*$Y$6*$Y$27,_xlpm.sOR,D$18*$Y$5*$Y$6,_xlpm.sOI,$AE$27*_xlpm.sOR,_xlpm.sOD,$Y$23*_xlpm.sRR,_xlpm.sGR,_xlpm.sRR+_xlpm.sOI+_xlpm.sOD,_xlpm.sExp,$Z$27+$AB$27*_xlpm.sRR+($AC$27+INPUTS!$F$13)*_xlpm.sGR+$AD$27*_xlpm.sOR,_xlpm.sGR-_xlpm.sExp+$AA$27))</f>
        <v>0</v>
      </c>
      <c r="F57" s="43">
        <f>IF(3&gt;$Y$16,0,_xlfn.LET(_xlpm.sRR,D$18*$B23*$Y$5*$Y$6*$Y$28,_xlpm.sOR,D$18*$Y$5*$Y$6,_xlpm.sOI,$AE$28*_xlpm.sOR,_xlpm.sOD,$Y$23*_xlpm.sRR,_xlpm.sGR,_xlpm.sRR+_xlpm.sOI+_xlpm.sOD,_xlpm.sExp,$Z$28+$AB$28*_xlpm.sRR+($AC$28+INPUTS!$F$13)*_xlpm.sGR+$AD$28*_xlpm.sOR,_xlpm.sGR-_xlpm.sExp+$AA$28))</f>
        <v>0</v>
      </c>
      <c r="G57" s="43">
        <f>IF(4&gt;$Y$16,0,_xlfn.LET(_xlpm.sRR,D$18*$B23*$Y$5*$Y$6*$Y$29,_xlpm.sOR,D$18*$Y$5*$Y$6,_xlpm.sOI,$AE$29*_xlpm.sOR,_xlpm.sOD,$Y$23*_xlpm.sRR,_xlpm.sGR,_xlpm.sRR+_xlpm.sOI+_xlpm.sOD,_xlpm.sExp,$Z$29+$AB$29*_xlpm.sRR+($AC$29+INPUTS!$F$13)*_xlpm.sGR+$AD$29*_xlpm.sOR,_xlpm.sGR-_xlpm.sExp+$AA$29))</f>
        <v>0</v>
      </c>
      <c r="H57" s="43">
        <f>IF(5&gt;$Y$16,0,_xlfn.LET(_xlpm.sRR,D$18*$B23*$Y$5*$Y$6*$Y$30,_xlpm.sOR,D$18*$Y$5*$Y$6,_xlpm.sOI,$AE$30*_xlpm.sOR,_xlpm.sOD,$Y$23*_xlpm.sRR,_xlpm.sGR,_xlpm.sRR+_xlpm.sOI+_xlpm.sOD,_xlpm.sExp,$Z$30+$AB$30*_xlpm.sRR+($AC$30+INPUTS!$F$13)*_xlpm.sGR+$AD$30*_xlpm.sOR,_xlpm.sGR-_xlpm.sExp+$AA$30))</f>
        <v>0</v>
      </c>
      <c r="I57" s="43">
        <f>IF(6&gt;$Y$16,0,_xlfn.LET(_xlpm.sRR,D$18*$B23*$Y$5*$Y$6*$Y$31,_xlpm.sOR,D$18*$Y$5*$Y$6,_xlpm.sOI,$AE$31*_xlpm.sOR,_xlpm.sOD,$Y$23*_xlpm.sRR,_xlpm.sGR,_xlpm.sRR+_xlpm.sOI+_xlpm.sOD,_xlpm.sExp,$Z$31+$AB$31*_xlpm.sRR+($AC$31+INPUTS!$F$13)*_xlpm.sGR+$AD$31*_xlpm.sOR,_xlpm.sGR-_xlpm.sExp+$AA$31))</f>
        <v>0</v>
      </c>
      <c r="J57" s="43">
        <f>IF(7&gt;$Y$16,0,_xlfn.LET(_xlpm.sRR,D$18*$B23*$Y$5*$Y$6*$Y$32,_xlpm.sOR,D$18*$Y$5*$Y$6,_xlpm.sOI,$AE$32*_xlpm.sOR,_xlpm.sOD,$Y$23*_xlpm.sRR,_xlpm.sGR,_xlpm.sRR+_xlpm.sOI+_xlpm.sOD,_xlpm.sExp,$Z$32+$AB$32*_xlpm.sRR+($AC$32+INPUTS!$F$13)*_xlpm.sGR+$AD$32*_xlpm.sOR,_xlpm.sGR-_xlpm.sExp+$AA$32))</f>
        <v>0</v>
      </c>
      <c r="K57" s="43">
        <f>IF(8&gt;$Y$16,0,_xlfn.LET(_xlpm.sRR,D$18*$B23*$Y$5*$Y$6*$Y$33,_xlpm.sOR,D$18*$Y$5*$Y$6,_xlpm.sOI,$AE$33*_xlpm.sOR,_xlpm.sOD,$Y$23*_xlpm.sRR,_xlpm.sGR,_xlpm.sRR+_xlpm.sOI+_xlpm.sOD,_xlpm.sExp,$Z$33+$AB$33*_xlpm.sRR+($AC$33+INPUTS!$F$13)*_xlpm.sGR+$AD$33*_xlpm.sOR,_xlpm.sGR-_xlpm.sExp+$AA$33))</f>
        <v>0</v>
      </c>
      <c r="L57" s="43">
        <f>IF(9&gt;$Y$16,0,_xlfn.LET(_xlpm.sRR,D$18*$B23*$Y$5*$Y$6*$Y$34,_xlpm.sOR,D$18*$Y$5*$Y$6,_xlpm.sOI,$AE$34*_xlpm.sOR,_xlpm.sOD,$Y$23*_xlpm.sRR,_xlpm.sGR,_xlpm.sRR+_xlpm.sOI+_xlpm.sOD,_xlpm.sExp,$Z$34+$AB$34*_xlpm.sRR+($AC$34+INPUTS!$F$13)*_xlpm.sGR+$AD$34*_xlpm.sOR,_xlpm.sGR-_xlpm.sExp+$AA$34))</f>
        <v>0</v>
      </c>
      <c r="M57" s="43">
        <f>IF(10&gt;$Y$16,0,IF(10&lt;$Y$16,_xlfn.LET(_xlpm.sRR,D$18*$B23*$Y$5*$Y$6*$Y$35,_xlpm.sOR,D$18*$Y$5*$Y$6,_xlpm.sOI,$AE$35*_xlpm.sOR,_xlpm.sOD,$Y$23*_xlpm.sRR,_xlpm.sGR,_xlpm.sRR+_xlpm.sOI+_xlpm.sOD,_xlpm.sExp,$Z$35+$AB$35*_xlpm.sRR+($AC$35+INPUTS!$F$13)*_xlpm.sGR+$AD$35*_xlpm.sOR,_xlpm.sGR-_xlpm.sExp+$AA$35),_xlfn.LET(_xlpm.sRR,D$18*$B23*$Y$5*$Y$6*$Y$35,_xlpm.sOR,D$18*$Y$5*$Y$6,_xlpm.sOI,$AE$35*_xlpm.sOR,_xlpm.sOD,$Y$23*_xlpm.sRR,_xlpm.sGR,_xlpm.sRR+_xlpm.sOI+_xlpm.sOD,_xlpm.sExp,$Z$35+$AB$35*_xlpm.sRR+($AC$35+INPUTS!$F$13)*_xlpm.sGR+$AD$35*_xlpm.sOR,_xlpm.opCF,_xlpm.sGR-_xlpm.sExp+$AA$35,_xlpm.sale,D$18*$B23*$Y$5*$Y$6*$Y$15*(1-$Y$17),_xlpm.opCF+_xlpm.sale-$Y$22+$Y$24)))</f>
        <v>0</v>
      </c>
    </row>
    <row r="58" spans="2:13" hidden="1">
      <c r="B58" s="933" t="e">
        <f t="shared" si="9"/>
        <v>#VALUE!</v>
      </c>
      <c r="C58">
        <f t="shared" si="8"/>
        <v>0</v>
      </c>
      <c r="D58" s="43">
        <f>IF(1&gt;$Y$16,0,_xlfn.LET(_xlpm.sRR,D$18*$B24*$Y$5*$Y$6*$Y$26,_xlpm.sOR,D$18*$Y$5*$Y$6,_xlpm.sOI,$AE$26*_xlpm.sOR,_xlpm.sOD,$Y$23*_xlpm.sRR,_xlpm.sGR,_xlpm.sRR+_xlpm.sOI+_xlpm.sOD,_xlpm.sExp,$Z$26+$AB$26*_xlpm.sRR+($AC$26+INPUTS!$F$13)*_xlpm.sGR+$AD$26*_xlpm.sOR,_xlpm.sGR-_xlpm.sExp+$AA$26))</f>
        <v>0</v>
      </c>
      <c r="E58" s="43">
        <f>IF(2&gt;$Y$16,0,_xlfn.LET(_xlpm.sRR,D$18*$B24*$Y$5*$Y$6*$Y$27,_xlpm.sOR,D$18*$Y$5*$Y$6,_xlpm.sOI,$AE$27*_xlpm.sOR,_xlpm.sOD,$Y$23*_xlpm.sRR,_xlpm.sGR,_xlpm.sRR+_xlpm.sOI+_xlpm.sOD,_xlpm.sExp,$Z$27+$AB$27*_xlpm.sRR+($AC$27+INPUTS!$F$13)*_xlpm.sGR+$AD$27*_xlpm.sOR,_xlpm.sGR-_xlpm.sExp+$AA$27))</f>
        <v>0</v>
      </c>
      <c r="F58" s="43">
        <f>IF(3&gt;$Y$16,0,_xlfn.LET(_xlpm.sRR,D$18*$B24*$Y$5*$Y$6*$Y$28,_xlpm.sOR,D$18*$Y$5*$Y$6,_xlpm.sOI,$AE$28*_xlpm.sOR,_xlpm.sOD,$Y$23*_xlpm.sRR,_xlpm.sGR,_xlpm.sRR+_xlpm.sOI+_xlpm.sOD,_xlpm.sExp,$Z$28+$AB$28*_xlpm.sRR+($AC$28+INPUTS!$F$13)*_xlpm.sGR+$AD$28*_xlpm.sOR,_xlpm.sGR-_xlpm.sExp+$AA$28))</f>
        <v>0</v>
      </c>
      <c r="G58" s="43">
        <f>IF(4&gt;$Y$16,0,_xlfn.LET(_xlpm.sRR,D$18*$B24*$Y$5*$Y$6*$Y$29,_xlpm.sOR,D$18*$Y$5*$Y$6,_xlpm.sOI,$AE$29*_xlpm.sOR,_xlpm.sOD,$Y$23*_xlpm.sRR,_xlpm.sGR,_xlpm.sRR+_xlpm.sOI+_xlpm.sOD,_xlpm.sExp,$Z$29+$AB$29*_xlpm.sRR+($AC$29+INPUTS!$F$13)*_xlpm.sGR+$AD$29*_xlpm.sOR,_xlpm.sGR-_xlpm.sExp+$AA$29))</f>
        <v>0</v>
      </c>
      <c r="H58" s="43">
        <f>IF(5&gt;$Y$16,0,_xlfn.LET(_xlpm.sRR,D$18*$B24*$Y$5*$Y$6*$Y$30,_xlpm.sOR,D$18*$Y$5*$Y$6,_xlpm.sOI,$AE$30*_xlpm.sOR,_xlpm.sOD,$Y$23*_xlpm.sRR,_xlpm.sGR,_xlpm.sRR+_xlpm.sOI+_xlpm.sOD,_xlpm.sExp,$Z$30+$AB$30*_xlpm.sRR+($AC$30+INPUTS!$F$13)*_xlpm.sGR+$AD$30*_xlpm.sOR,_xlpm.sGR-_xlpm.sExp+$AA$30))</f>
        <v>0</v>
      </c>
      <c r="I58" s="43">
        <f>IF(6&gt;$Y$16,0,_xlfn.LET(_xlpm.sRR,D$18*$B24*$Y$5*$Y$6*$Y$31,_xlpm.sOR,D$18*$Y$5*$Y$6,_xlpm.sOI,$AE$31*_xlpm.sOR,_xlpm.sOD,$Y$23*_xlpm.sRR,_xlpm.sGR,_xlpm.sRR+_xlpm.sOI+_xlpm.sOD,_xlpm.sExp,$Z$31+$AB$31*_xlpm.sRR+($AC$31+INPUTS!$F$13)*_xlpm.sGR+$AD$31*_xlpm.sOR,_xlpm.sGR-_xlpm.sExp+$AA$31))</f>
        <v>0</v>
      </c>
      <c r="J58" s="43">
        <f>IF(7&gt;$Y$16,0,_xlfn.LET(_xlpm.sRR,D$18*$B24*$Y$5*$Y$6*$Y$32,_xlpm.sOR,D$18*$Y$5*$Y$6,_xlpm.sOI,$AE$32*_xlpm.sOR,_xlpm.sOD,$Y$23*_xlpm.sRR,_xlpm.sGR,_xlpm.sRR+_xlpm.sOI+_xlpm.sOD,_xlpm.sExp,$Z$32+$AB$32*_xlpm.sRR+($AC$32+INPUTS!$F$13)*_xlpm.sGR+$AD$32*_xlpm.sOR,_xlpm.sGR-_xlpm.sExp+$AA$32))</f>
        <v>0</v>
      </c>
      <c r="K58" s="43">
        <f>IF(8&gt;$Y$16,0,_xlfn.LET(_xlpm.sRR,D$18*$B24*$Y$5*$Y$6*$Y$33,_xlpm.sOR,D$18*$Y$5*$Y$6,_xlpm.sOI,$AE$33*_xlpm.sOR,_xlpm.sOD,$Y$23*_xlpm.sRR,_xlpm.sGR,_xlpm.sRR+_xlpm.sOI+_xlpm.sOD,_xlpm.sExp,$Z$33+$AB$33*_xlpm.sRR+($AC$33+INPUTS!$F$13)*_xlpm.sGR+$AD$33*_xlpm.sOR,_xlpm.sGR-_xlpm.sExp+$AA$33))</f>
        <v>0</v>
      </c>
      <c r="L58" s="43">
        <f>IF(9&gt;$Y$16,0,_xlfn.LET(_xlpm.sRR,D$18*$B24*$Y$5*$Y$6*$Y$34,_xlpm.sOR,D$18*$Y$5*$Y$6,_xlpm.sOI,$AE$34*_xlpm.sOR,_xlpm.sOD,$Y$23*_xlpm.sRR,_xlpm.sGR,_xlpm.sRR+_xlpm.sOI+_xlpm.sOD,_xlpm.sExp,$Z$34+$AB$34*_xlpm.sRR+($AC$34+INPUTS!$F$13)*_xlpm.sGR+$AD$34*_xlpm.sOR,_xlpm.sGR-_xlpm.sExp+$AA$34))</f>
        <v>0</v>
      </c>
      <c r="M58" s="43">
        <f>IF(10&gt;$Y$16,0,IF(10&lt;$Y$16,_xlfn.LET(_xlpm.sRR,D$18*$B24*$Y$5*$Y$6*$Y$35,_xlpm.sOR,D$18*$Y$5*$Y$6,_xlpm.sOI,$AE$35*_xlpm.sOR,_xlpm.sOD,$Y$23*_xlpm.sRR,_xlpm.sGR,_xlpm.sRR+_xlpm.sOI+_xlpm.sOD,_xlpm.sExp,$Z$35+$AB$35*_xlpm.sRR+($AC$35+INPUTS!$F$13)*_xlpm.sGR+$AD$35*_xlpm.sOR,_xlpm.sGR-_xlpm.sExp+$AA$35),_xlfn.LET(_xlpm.sRR,D$18*$B24*$Y$5*$Y$6*$Y$35,_xlpm.sOR,D$18*$Y$5*$Y$6,_xlpm.sOI,$AE$35*_xlpm.sOR,_xlpm.sOD,$Y$23*_xlpm.sRR,_xlpm.sGR,_xlpm.sRR+_xlpm.sOI+_xlpm.sOD,_xlpm.sExp,$Z$35+$AB$35*_xlpm.sRR+($AC$35+INPUTS!$F$13)*_xlpm.sGR+$AD$35*_xlpm.sOR,_xlpm.opCF,_xlpm.sGR-_xlpm.sExp+$AA$35,_xlpm.sale,D$18*$B24*$Y$5*$Y$6*$Y$15*(1-$Y$17),_xlpm.opCF+_xlpm.sale-$Y$22+$Y$24)))</f>
        <v>0</v>
      </c>
    </row>
    <row r="59" spans="2:13" hidden="1">
      <c r="B59" s="933" t="e">
        <f t="shared" si="9"/>
        <v>#VALUE!</v>
      </c>
      <c r="C59">
        <f t="shared" si="8"/>
        <v>0</v>
      </c>
      <c r="D59" s="43">
        <f>IF(1&gt;$Y$16,0,_xlfn.LET(_xlpm.sRR,D$18*$B25*$Y$5*$Y$6*$Y$26,_xlpm.sOR,D$18*$Y$5*$Y$6,_xlpm.sOI,$AE$26*_xlpm.sOR,_xlpm.sOD,$Y$23*_xlpm.sRR,_xlpm.sGR,_xlpm.sRR+_xlpm.sOI+_xlpm.sOD,_xlpm.sExp,$Z$26+$AB$26*_xlpm.sRR+($AC$26+INPUTS!$F$13)*_xlpm.sGR+$AD$26*_xlpm.sOR,_xlpm.sGR-_xlpm.sExp+$AA$26))</f>
        <v>0</v>
      </c>
      <c r="E59" s="43">
        <f>IF(2&gt;$Y$16,0,_xlfn.LET(_xlpm.sRR,D$18*$B25*$Y$5*$Y$6*$Y$27,_xlpm.sOR,D$18*$Y$5*$Y$6,_xlpm.sOI,$AE$27*_xlpm.sOR,_xlpm.sOD,$Y$23*_xlpm.sRR,_xlpm.sGR,_xlpm.sRR+_xlpm.sOI+_xlpm.sOD,_xlpm.sExp,$Z$27+$AB$27*_xlpm.sRR+($AC$27+INPUTS!$F$13)*_xlpm.sGR+$AD$27*_xlpm.sOR,_xlpm.sGR-_xlpm.sExp+$AA$27))</f>
        <v>0</v>
      </c>
      <c r="F59" s="43">
        <f>IF(3&gt;$Y$16,0,_xlfn.LET(_xlpm.sRR,D$18*$B25*$Y$5*$Y$6*$Y$28,_xlpm.sOR,D$18*$Y$5*$Y$6,_xlpm.sOI,$AE$28*_xlpm.sOR,_xlpm.sOD,$Y$23*_xlpm.sRR,_xlpm.sGR,_xlpm.sRR+_xlpm.sOI+_xlpm.sOD,_xlpm.sExp,$Z$28+$AB$28*_xlpm.sRR+($AC$28+INPUTS!$F$13)*_xlpm.sGR+$AD$28*_xlpm.sOR,_xlpm.sGR-_xlpm.sExp+$AA$28))</f>
        <v>0</v>
      </c>
      <c r="G59" s="43">
        <f>IF(4&gt;$Y$16,0,_xlfn.LET(_xlpm.sRR,D$18*$B25*$Y$5*$Y$6*$Y$29,_xlpm.sOR,D$18*$Y$5*$Y$6,_xlpm.sOI,$AE$29*_xlpm.sOR,_xlpm.sOD,$Y$23*_xlpm.sRR,_xlpm.sGR,_xlpm.sRR+_xlpm.sOI+_xlpm.sOD,_xlpm.sExp,$Z$29+$AB$29*_xlpm.sRR+($AC$29+INPUTS!$F$13)*_xlpm.sGR+$AD$29*_xlpm.sOR,_xlpm.sGR-_xlpm.sExp+$AA$29))</f>
        <v>0</v>
      </c>
      <c r="H59" s="43">
        <f>IF(5&gt;$Y$16,0,_xlfn.LET(_xlpm.sRR,D$18*$B25*$Y$5*$Y$6*$Y$30,_xlpm.sOR,D$18*$Y$5*$Y$6,_xlpm.sOI,$AE$30*_xlpm.sOR,_xlpm.sOD,$Y$23*_xlpm.sRR,_xlpm.sGR,_xlpm.sRR+_xlpm.sOI+_xlpm.sOD,_xlpm.sExp,$Z$30+$AB$30*_xlpm.sRR+($AC$30+INPUTS!$F$13)*_xlpm.sGR+$AD$30*_xlpm.sOR,_xlpm.sGR-_xlpm.sExp+$AA$30))</f>
        <v>0</v>
      </c>
      <c r="I59" s="43">
        <f>IF(6&gt;$Y$16,0,_xlfn.LET(_xlpm.sRR,D$18*$B25*$Y$5*$Y$6*$Y$31,_xlpm.sOR,D$18*$Y$5*$Y$6,_xlpm.sOI,$AE$31*_xlpm.sOR,_xlpm.sOD,$Y$23*_xlpm.sRR,_xlpm.sGR,_xlpm.sRR+_xlpm.sOI+_xlpm.sOD,_xlpm.sExp,$Z$31+$AB$31*_xlpm.sRR+($AC$31+INPUTS!$F$13)*_xlpm.sGR+$AD$31*_xlpm.sOR,_xlpm.sGR-_xlpm.sExp+$AA$31))</f>
        <v>0</v>
      </c>
      <c r="J59" s="43">
        <f>IF(7&gt;$Y$16,0,_xlfn.LET(_xlpm.sRR,D$18*$B25*$Y$5*$Y$6*$Y$32,_xlpm.sOR,D$18*$Y$5*$Y$6,_xlpm.sOI,$AE$32*_xlpm.sOR,_xlpm.sOD,$Y$23*_xlpm.sRR,_xlpm.sGR,_xlpm.sRR+_xlpm.sOI+_xlpm.sOD,_xlpm.sExp,$Z$32+$AB$32*_xlpm.sRR+($AC$32+INPUTS!$F$13)*_xlpm.sGR+$AD$32*_xlpm.sOR,_xlpm.sGR-_xlpm.sExp+$AA$32))</f>
        <v>0</v>
      </c>
      <c r="K59" s="43">
        <f>IF(8&gt;$Y$16,0,_xlfn.LET(_xlpm.sRR,D$18*$B25*$Y$5*$Y$6*$Y$33,_xlpm.sOR,D$18*$Y$5*$Y$6,_xlpm.sOI,$AE$33*_xlpm.sOR,_xlpm.sOD,$Y$23*_xlpm.sRR,_xlpm.sGR,_xlpm.sRR+_xlpm.sOI+_xlpm.sOD,_xlpm.sExp,$Z$33+$AB$33*_xlpm.sRR+($AC$33+INPUTS!$F$13)*_xlpm.sGR+$AD$33*_xlpm.sOR,_xlpm.sGR-_xlpm.sExp+$AA$33))</f>
        <v>0</v>
      </c>
      <c r="L59" s="43">
        <f>IF(9&gt;$Y$16,0,_xlfn.LET(_xlpm.sRR,D$18*$B25*$Y$5*$Y$6*$Y$34,_xlpm.sOR,D$18*$Y$5*$Y$6,_xlpm.sOI,$AE$34*_xlpm.sOR,_xlpm.sOD,$Y$23*_xlpm.sRR,_xlpm.sGR,_xlpm.sRR+_xlpm.sOI+_xlpm.sOD,_xlpm.sExp,$Z$34+$AB$34*_xlpm.sRR+($AC$34+INPUTS!$F$13)*_xlpm.sGR+$AD$34*_xlpm.sOR,_xlpm.sGR-_xlpm.sExp+$AA$34))</f>
        <v>0</v>
      </c>
      <c r="M59" s="43">
        <f>IF(10&gt;$Y$16,0,IF(10&lt;$Y$16,_xlfn.LET(_xlpm.sRR,D$18*$B25*$Y$5*$Y$6*$Y$35,_xlpm.sOR,D$18*$Y$5*$Y$6,_xlpm.sOI,$AE$35*_xlpm.sOR,_xlpm.sOD,$Y$23*_xlpm.sRR,_xlpm.sGR,_xlpm.sRR+_xlpm.sOI+_xlpm.sOD,_xlpm.sExp,$Z$35+$AB$35*_xlpm.sRR+($AC$35+INPUTS!$F$13)*_xlpm.sGR+$AD$35*_xlpm.sOR,_xlpm.sGR-_xlpm.sExp+$AA$35),_xlfn.LET(_xlpm.sRR,D$18*$B25*$Y$5*$Y$6*$Y$35,_xlpm.sOR,D$18*$Y$5*$Y$6,_xlpm.sOI,$AE$35*_xlpm.sOR,_xlpm.sOD,$Y$23*_xlpm.sRR,_xlpm.sGR,_xlpm.sRR+_xlpm.sOI+_xlpm.sOD,_xlpm.sExp,$Z$35+$AB$35*_xlpm.sRR+($AC$35+INPUTS!$F$13)*_xlpm.sGR+$AD$35*_xlpm.sOR,_xlpm.opCF,_xlpm.sGR-_xlpm.sExp+$AA$35,_xlpm.sale,D$18*$B25*$Y$5*$Y$6*$Y$15*(1-$Y$17),_xlpm.opCF+_xlpm.sale-$Y$22+$Y$24)))</f>
        <v>0</v>
      </c>
    </row>
    <row r="60" spans="2:13" hidden="1">
      <c r="B60" s="933" t="e">
        <f t="shared" ref="B60:B66" si="10">E$18&amp;" × $"&amp;TEXT($B19,"0")</f>
        <v>#VALUE!</v>
      </c>
      <c r="C60">
        <f t="shared" si="8"/>
        <v>0</v>
      </c>
      <c r="D60" s="43">
        <f>IF(1&gt;$Y$16,0,_xlfn.LET(_xlpm.sRR,E$18*$B19*$Y$5*$Y$6*$Y$26,_xlpm.sOR,E$18*$Y$5*$Y$6,_xlpm.sOI,$AE$26*_xlpm.sOR,_xlpm.sOD,$Y$23*_xlpm.sRR,_xlpm.sGR,_xlpm.sRR+_xlpm.sOI+_xlpm.sOD,_xlpm.sExp,$Z$26+$AB$26*_xlpm.sRR+($AC$26+INPUTS!$F$13)*_xlpm.sGR+$AD$26*_xlpm.sOR,_xlpm.sGR-_xlpm.sExp+$AA$26))</f>
        <v>0</v>
      </c>
      <c r="E60" s="43">
        <f>IF(2&gt;$Y$16,0,_xlfn.LET(_xlpm.sRR,E$18*$B19*$Y$5*$Y$6*$Y$27,_xlpm.sOR,E$18*$Y$5*$Y$6,_xlpm.sOI,$AE$27*_xlpm.sOR,_xlpm.sOD,$Y$23*_xlpm.sRR,_xlpm.sGR,_xlpm.sRR+_xlpm.sOI+_xlpm.sOD,_xlpm.sExp,$Z$27+$AB$27*_xlpm.sRR+($AC$27+INPUTS!$F$13)*_xlpm.sGR+$AD$27*_xlpm.sOR,_xlpm.sGR-_xlpm.sExp+$AA$27))</f>
        <v>0</v>
      </c>
      <c r="F60" s="43">
        <f>IF(3&gt;$Y$16,0,_xlfn.LET(_xlpm.sRR,E$18*$B19*$Y$5*$Y$6*$Y$28,_xlpm.sOR,E$18*$Y$5*$Y$6,_xlpm.sOI,$AE$28*_xlpm.sOR,_xlpm.sOD,$Y$23*_xlpm.sRR,_xlpm.sGR,_xlpm.sRR+_xlpm.sOI+_xlpm.sOD,_xlpm.sExp,$Z$28+$AB$28*_xlpm.sRR+($AC$28+INPUTS!$F$13)*_xlpm.sGR+$AD$28*_xlpm.sOR,_xlpm.sGR-_xlpm.sExp+$AA$28))</f>
        <v>0</v>
      </c>
      <c r="G60" s="43">
        <f>IF(4&gt;$Y$16,0,_xlfn.LET(_xlpm.sRR,E$18*$B19*$Y$5*$Y$6*$Y$29,_xlpm.sOR,E$18*$Y$5*$Y$6,_xlpm.sOI,$AE$29*_xlpm.sOR,_xlpm.sOD,$Y$23*_xlpm.sRR,_xlpm.sGR,_xlpm.sRR+_xlpm.sOI+_xlpm.sOD,_xlpm.sExp,$Z$29+$AB$29*_xlpm.sRR+($AC$29+INPUTS!$F$13)*_xlpm.sGR+$AD$29*_xlpm.sOR,_xlpm.sGR-_xlpm.sExp+$AA$29))</f>
        <v>0</v>
      </c>
      <c r="H60" s="43">
        <f>IF(5&gt;$Y$16,0,_xlfn.LET(_xlpm.sRR,E$18*$B19*$Y$5*$Y$6*$Y$30,_xlpm.sOR,E$18*$Y$5*$Y$6,_xlpm.sOI,$AE$30*_xlpm.sOR,_xlpm.sOD,$Y$23*_xlpm.sRR,_xlpm.sGR,_xlpm.sRR+_xlpm.sOI+_xlpm.sOD,_xlpm.sExp,$Z$30+$AB$30*_xlpm.sRR+($AC$30+INPUTS!$F$13)*_xlpm.sGR+$AD$30*_xlpm.sOR,_xlpm.sGR-_xlpm.sExp+$AA$30))</f>
        <v>0</v>
      </c>
      <c r="I60" s="43">
        <f>IF(6&gt;$Y$16,0,_xlfn.LET(_xlpm.sRR,E$18*$B19*$Y$5*$Y$6*$Y$31,_xlpm.sOR,E$18*$Y$5*$Y$6,_xlpm.sOI,$AE$31*_xlpm.sOR,_xlpm.sOD,$Y$23*_xlpm.sRR,_xlpm.sGR,_xlpm.sRR+_xlpm.sOI+_xlpm.sOD,_xlpm.sExp,$Z$31+$AB$31*_xlpm.sRR+($AC$31+INPUTS!$F$13)*_xlpm.sGR+$AD$31*_xlpm.sOR,_xlpm.sGR-_xlpm.sExp+$AA$31))</f>
        <v>0</v>
      </c>
      <c r="J60" s="43">
        <f>IF(7&gt;$Y$16,0,_xlfn.LET(_xlpm.sRR,E$18*$B19*$Y$5*$Y$6*$Y$32,_xlpm.sOR,E$18*$Y$5*$Y$6,_xlpm.sOI,$AE$32*_xlpm.sOR,_xlpm.sOD,$Y$23*_xlpm.sRR,_xlpm.sGR,_xlpm.sRR+_xlpm.sOI+_xlpm.sOD,_xlpm.sExp,$Z$32+$AB$32*_xlpm.sRR+($AC$32+INPUTS!$F$13)*_xlpm.sGR+$AD$32*_xlpm.sOR,_xlpm.sGR-_xlpm.sExp+$AA$32))</f>
        <v>0</v>
      </c>
      <c r="K60" s="43">
        <f>IF(8&gt;$Y$16,0,_xlfn.LET(_xlpm.sRR,E$18*$B19*$Y$5*$Y$6*$Y$33,_xlpm.sOR,E$18*$Y$5*$Y$6,_xlpm.sOI,$AE$33*_xlpm.sOR,_xlpm.sOD,$Y$23*_xlpm.sRR,_xlpm.sGR,_xlpm.sRR+_xlpm.sOI+_xlpm.sOD,_xlpm.sExp,$Z$33+$AB$33*_xlpm.sRR+($AC$33+INPUTS!$F$13)*_xlpm.sGR+$AD$33*_xlpm.sOR,_xlpm.sGR-_xlpm.sExp+$AA$33))</f>
        <v>0</v>
      </c>
      <c r="L60" s="43">
        <f>IF(9&gt;$Y$16,0,_xlfn.LET(_xlpm.sRR,E$18*$B19*$Y$5*$Y$6*$Y$34,_xlpm.sOR,E$18*$Y$5*$Y$6,_xlpm.sOI,$AE$34*_xlpm.sOR,_xlpm.sOD,$Y$23*_xlpm.sRR,_xlpm.sGR,_xlpm.sRR+_xlpm.sOI+_xlpm.sOD,_xlpm.sExp,$Z$34+$AB$34*_xlpm.sRR+($AC$34+INPUTS!$F$13)*_xlpm.sGR+$AD$34*_xlpm.sOR,_xlpm.sGR-_xlpm.sExp+$AA$34))</f>
        <v>0</v>
      </c>
      <c r="M60" s="43">
        <f>IF(10&gt;$Y$16,0,IF(10&lt;$Y$16,_xlfn.LET(_xlpm.sRR,E$18*$B19*$Y$5*$Y$6*$Y$35,_xlpm.sOR,E$18*$Y$5*$Y$6,_xlpm.sOI,$AE$35*_xlpm.sOR,_xlpm.sOD,$Y$23*_xlpm.sRR,_xlpm.sGR,_xlpm.sRR+_xlpm.sOI+_xlpm.sOD,_xlpm.sExp,$Z$35+$AB$35*_xlpm.sRR+($AC$35+INPUTS!$F$13)*_xlpm.sGR+$AD$35*_xlpm.sOR,_xlpm.sGR-_xlpm.sExp+$AA$35),_xlfn.LET(_xlpm.sRR,E$18*$B19*$Y$5*$Y$6*$Y$35,_xlpm.sOR,E$18*$Y$5*$Y$6,_xlpm.sOI,$AE$35*_xlpm.sOR,_xlpm.sOD,$Y$23*_xlpm.sRR,_xlpm.sGR,_xlpm.sRR+_xlpm.sOI+_xlpm.sOD,_xlpm.sExp,$Z$35+$AB$35*_xlpm.sRR+($AC$35+INPUTS!$F$13)*_xlpm.sGR+$AD$35*_xlpm.sOR,_xlpm.opCF,_xlpm.sGR-_xlpm.sExp+$AA$35,_xlpm.sale,E$18*$B19*$Y$5*$Y$6*$Y$15*(1-$Y$17),_xlpm.opCF+_xlpm.sale-$Y$22+$Y$24)))</f>
        <v>0</v>
      </c>
    </row>
    <row r="61" spans="2:13" hidden="1">
      <c r="B61" s="933" t="e">
        <f t="shared" si="10"/>
        <v>#VALUE!</v>
      </c>
      <c r="C61">
        <f t="shared" si="8"/>
        <v>0</v>
      </c>
      <c r="D61" s="43">
        <f>IF(1&gt;$Y$16,0,_xlfn.LET(_xlpm.sRR,E$18*$B20*$Y$5*$Y$6*$Y$26,_xlpm.sOR,E$18*$Y$5*$Y$6,_xlpm.sOI,$AE$26*_xlpm.sOR,_xlpm.sOD,$Y$23*_xlpm.sRR,_xlpm.sGR,_xlpm.sRR+_xlpm.sOI+_xlpm.sOD,_xlpm.sExp,$Z$26+$AB$26*_xlpm.sRR+($AC$26+INPUTS!$F$13)*_xlpm.sGR+$AD$26*_xlpm.sOR,_xlpm.sGR-_xlpm.sExp+$AA$26))</f>
        <v>0</v>
      </c>
      <c r="E61" s="43">
        <f>IF(2&gt;$Y$16,0,_xlfn.LET(_xlpm.sRR,E$18*$B20*$Y$5*$Y$6*$Y$27,_xlpm.sOR,E$18*$Y$5*$Y$6,_xlpm.sOI,$AE$27*_xlpm.sOR,_xlpm.sOD,$Y$23*_xlpm.sRR,_xlpm.sGR,_xlpm.sRR+_xlpm.sOI+_xlpm.sOD,_xlpm.sExp,$Z$27+$AB$27*_xlpm.sRR+($AC$27+INPUTS!$F$13)*_xlpm.sGR+$AD$27*_xlpm.sOR,_xlpm.sGR-_xlpm.sExp+$AA$27))</f>
        <v>0</v>
      </c>
      <c r="F61" s="43">
        <f>IF(3&gt;$Y$16,0,_xlfn.LET(_xlpm.sRR,E$18*$B20*$Y$5*$Y$6*$Y$28,_xlpm.sOR,E$18*$Y$5*$Y$6,_xlpm.sOI,$AE$28*_xlpm.sOR,_xlpm.sOD,$Y$23*_xlpm.sRR,_xlpm.sGR,_xlpm.sRR+_xlpm.sOI+_xlpm.sOD,_xlpm.sExp,$Z$28+$AB$28*_xlpm.sRR+($AC$28+INPUTS!$F$13)*_xlpm.sGR+$AD$28*_xlpm.sOR,_xlpm.sGR-_xlpm.sExp+$AA$28))</f>
        <v>0</v>
      </c>
      <c r="G61" s="43">
        <f>IF(4&gt;$Y$16,0,_xlfn.LET(_xlpm.sRR,E$18*$B20*$Y$5*$Y$6*$Y$29,_xlpm.sOR,E$18*$Y$5*$Y$6,_xlpm.sOI,$AE$29*_xlpm.sOR,_xlpm.sOD,$Y$23*_xlpm.sRR,_xlpm.sGR,_xlpm.sRR+_xlpm.sOI+_xlpm.sOD,_xlpm.sExp,$Z$29+$AB$29*_xlpm.sRR+($AC$29+INPUTS!$F$13)*_xlpm.sGR+$AD$29*_xlpm.sOR,_xlpm.sGR-_xlpm.sExp+$AA$29))</f>
        <v>0</v>
      </c>
      <c r="H61" s="43">
        <f>IF(5&gt;$Y$16,0,_xlfn.LET(_xlpm.sRR,E$18*$B20*$Y$5*$Y$6*$Y$30,_xlpm.sOR,E$18*$Y$5*$Y$6,_xlpm.sOI,$AE$30*_xlpm.sOR,_xlpm.sOD,$Y$23*_xlpm.sRR,_xlpm.sGR,_xlpm.sRR+_xlpm.sOI+_xlpm.sOD,_xlpm.sExp,$Z$30+$AB$30*_xlpm.sRR+($AC$30+INPUTS!$F$13)*_xlpm.sGR+$AD$30*_xlpm.sOR,_xlpm.sGR-_xlpm.sExp+$AA$30))</f>
        <v>0</v>
      </c>
      <c r="I61" s="43">
        <f>IF(6&gt;$Y$16,0,_xlfn.LET(_xlpm.sRR,E$18*$B20*$Y$5*$Y$6*$Y$31,_xlpm.sOR,E$18*$Y$5*$Y$6,_xlpm.sOI,$AE$31*_xlpm.sOR,_xlpm.sOD,$Y$23*_xlpm.sRR,_xlpm.sGR,_xlpm.sRR+_xlpm.sOI+_xlpm.sOD,_xlpm.sExp,$Z$31+$AB$31*_xlpm.sRR+($AC$31+INPUTS!$F$13)*_xlpm.sGR+$AD$31*_xlpm.sOR,_xlpm.sGR-_xlpm.sExp+$AA$31))</f>
        <v>0</v>
      </c>
      <c r="J61" s="43">
        <f>IF(7&gt;$Y$16,0,_xlfn.LET(_xlpm.sRR,E$18*$B20*$Y$5*$Y$6*$Y$32,_xlpm.sOR,E$18*$Y$5*$Y$6,_xlpm.sOI,$AE$32*_xlpm.sOR,_xlpm.sOD,$Y$23*_xlpm.sRR,_xlpm.sGR,_xlpm.sRR+_xlpm.sOI+_xlpm.sOD,_xlpm.sExp,$Z$32+$AB$32*_xlpm.sRR+($AC$32+INPUTS!$F$13)*_xlpm.sGR+$AD$32*_xlpm.sOR,_xlpm.sGR-_xlpm.sExp+$AA$32))</f>
        <v>0</v>
      </c>
      <c r="K61" s="43">
        <f>IF(8&gt;$Y$16,0,_xlfn.LET(_xlpm.sRR,E$18*$B20*$Y$5*$Y$6*$Y$33,_xlpm.sOR,E$18*$Y$5*$Y$6,_xlpm.sOI,$AE$33*_xlpm.sOR,_xlpm.sOD,$Y$23*_xlpm.sRR,_xlpm.sGR,_xlpm.sRR+_xlpm.sOI+_xlpm.sOD,_xlpm.sExp,$Z$33+$AB$33*_xlpm.sRR+($AC$33+INPUTS!$F$13)*_xlpm.sGR+$AD$33*_xlpm.sOR,_xlpm.sGR-_xlpm.sExp+$AA$33))</f>
        <v>0</v>
      </c>
      <c r="L61" s="43">
        <f>IF(9&gt;$Y$16,0,_xlfn.LET(_xlpm.sRR,E$18*$B20*$Y$5*$Y$6*$Y$34,_xlpm.sOR,E$18*$Y$5*$Y$6,_xlpm.sOI,$AE$34*_xlpm.sOR,_xlpm.sOD,$Y$23*_xlpm.sRR,_xlpm.sGR,_xlpm.sRR+_xlpm.sOI+_xlpm.sOD,_xlpm.sExp,$Z$34+$AB$34*_xlpm.sRR+($AC$34+INPUTS!$F$13)*_xlpm.sGR+$AD$34*_xlpm.sOR,_xlpm.sGR-_xlpm.sExp+$AA$34))</f>
        <v>0</v>
      </c>
      <c r="M61" s="43">
        <f>IF(10&gt;$Y$16,0,IF(10&lt;$Y$16,_xlfn.LET(_xlpm.sRR,E$18*$B20*$Y$5*$Y$6*$Y$35,_xlpm.sOR,E$18*$Y$5*$Y$6,_xlpm.sOI,$AE$35*_xlpm.sOR,_xlpm.sOD,$Y$23*_xlpm.sRR,_xlpm.sGR,_xlpm.sRR+_xlpm.sOI+_xlpm.sOD,_xlpm.sExp,$Z$35+$AB$35*_xlpm.sRR+($AC$35+INPUTS!$F$13)*_xlpm.sGR+$AD$35*_xlpm.sOR,_xlpm.sGR-_xlpm.sExp+$AA$35),_xlfn.LET(_xlpm.sRR,E$18*$B20*$Y$5*$Y$6*$Y$35,_xlpm.sOR,E$18*$Y$5*$Y$6,_xlpm.sOI,$AE$35*_xlpm.sOR,_xlpm.sOD,$Y$23*_xlpm.sRR,_xlpm.sGR,_xlpm.sRR+_xlpm.sOI+_xlpm.sOD,_xlpm.sExp,$Z$35+$AB$35*_xlpm.sRR+($AC$35+INPUTS!$F$13)*_xlpm.sGR+$AD$35*_xlpm.sOR,_xlpm.opCF,_xlpm.sGR-_xlpm.sExp+$AA$35,_xlpm.sale,E$18*$B20*$Y$5*$Y$6*$Y$15*(1-$Y$17),_xlpm.opCF+_xlpm.sale-$Y$22+$Y$24)))</f>
        <v>0</v>
      </c>
    </row>
    <row r="62" spans="2:13" hidden="1">
      <c r="B62" s="933" t="e">
        <f t="shared" si="10"/>
        <v>#VALUE!</v>
      </c>
      <c r="C62">
        <f t="shared" si="8"/>
        <v>0</v>
      </c>
      <c r="D62" s="43">
        <f>IF(1&gt;$Y$16,0,_xlfn.LET(_xlpm.sRR,E$18*$B21*$Y$5*$Y$6*$Y$26,_xlpm.sOR,E$18*$Y$5*$Y$6,_xlpm.sOI,$AE$26*_xlpm.sOR,_xlpm.sOD,$Y$23*_xlpm.sRR,_xlpm.sGR,_xlpm.sRR+_xlpm.sOI+_xlpm.sOD,_xlpm.sExp,$Z$26+$AB$26*_xlpm.sRR+($AC$26+INPUTS!$F$13)*_xlpm.sGR+$AD$26*_xlpm.sOR,_xlpm.sGR-_xlpm.sExp+$AA$26))</f>
        <v>0</v>
      </c>
      <c r="E62" s="43">
        <f>IF(2&gt;$Y$16,0,_xlfn.LET(_xlpm.sRR,E$18*$B21*$Y$5*$Y$6*$Y$27,_xlpm.sOR,E$18*$Y$5*$Y$6,_xlpm.sOI,$AE$27*_xlpm.sOR,_xlpm.sOD,$Y$23*_xlpm.sRR,_xlpm.sGR,_xlpm.sRR+_xlpm.sOI+_xlpm.sOD,_xlpm.sExp,$Z$27+$AB$27*_xlpm.sRR+($AC$27+INPUTS!$F$13)*_xlpm.sGR+$AD$27*_xlpm.sOR,_xlpm.sGR-_xlpm.sExp+$AA$27))</f>
        <v>0</v>
      </c>
      <c r="F62" s="43">
        <f>IF(3&gt;$Y$16,0,_xlfn.LET(_xlpm.sRR,E$18*$B21*$Y$5*$Y$6*$Y$28,_xlpm.sOR,E$18*$Y$5*$Y$6,_xlpm.sOI,$AE$28*_xlpm.sOR,_xlpm.sOD,$Y$23*_xlpm.sRR,_xlpm.sGR,_xlpm.sRR+_xlpm.sOI+_xlpm.sOD,_xlpm.sExp,$Z$28+$AB$28*_xlpm.sRR+($AC$28+INPUTS!$F$13)*_xlpm.sGR+$AD$28*_xlpm.sOR,_xlpm.sGR-_xlpm.sExp+$AA$28))</f>
        <v>0</v>
      </c>
      <c r="G62" s="43">
        <f>IF(4&gt;$Y$16,0,_xlfn.LET(_xlpm.sRR,E$18*$B21*$Y$5*$Y$6*$Y$29,_xlpm.sOR,E$18*$Y$5*$Y$6,_xlpm.sOI,$AE$29*_xlpm.sOR,_xlpm.sOD,$Y$23*_xlpm.sRR,_xlpm.sGR,_xlpm.sRR+_xlpm.sOI+_xlpm.sOD,_xlpm.sExp,$Z$29+$AB$29*_xlpm.sRR+($AC$29+INPUTS!$F$13)*_xlpm.sGR+$AD$29*_xlpm.sOR,_xlpm.sGR-_xlpm.sExp+$AA$29))</f>
        <v>0</v>
      </c>
      <c r="H62" s="43">
        <f>IF(5&gt;$Y$16,0,_xlfn.LET(_xlpm.sRR,E$18*$B21*$Y$5*$Y$6*$Y$30,_xlpm.sOR,E$18*$Y$5*$Y$6,_xlpm.sOI,$AE$30*_xlpm.sOR,_xlpm.sOD,$Y$23*_xlpm.sRR,_xlpm.sGR,_xlpm.sRR+_xlpm.sOI+_xlpm.sOD,_xlpm.sExp,$Z$30+$AB$30*_xlpm.sRR+($AC$30+INPUTS!$F$13)*_xlpm.sGR+$AD$30*_xlpm.sOR,_xlpm.sGR-_xlpm.sExp+$AA$30))</f>
        <v>0</v>
      </c>
      <c r="I62" s="43">
        <f>IF(6&gt;$Y$16,0,_xlfn.LET(_xlpm.sRR,E$18*$B21*$Y$5*$Y$6*$Y$31,_xlpm.sOR,E$18*$Y$5*$Y$6,_xlpm.sOI,$AE$31*_xlpm.sOR,_xlpm.sOD,$Y$23*_xlpm.sRR,_xlpm.sGR,_xlpm.sRR+_xlpm.sOI+_xlpm.sOD,_xlpm.sExp,$Z$31+$AB$31*_xlpm.sRR+($AC$31+INPUTS!$F$13)*_xlpm.sGR+$AD$31*_xlpm.sOR,_xlpm.sGR-_xlpm.sExp+$AA$31))</f>
        <v>0</v>
      </c>
      <c r="J62" s="43">
        <f>IF(7&gt;$Y$16,0,_xlfn.LET(_xlpm.sRR,E$18*$B21*$Y$5*$Y$6*$Y$32,_xlpm.sOR,E$18*$Y$5*$Y$6,_xlpm.sOI,$AE$32*_xlpm.sOR,_xlpm.sOD,$Y$23*_xlpm.sRR,_xlpm.sGR,_xlpm.sRR+_xlpm.sOI+_xlpm.sOD,_xlpm.sExp,$Z$32+$AB$32*_xlpm.sRR+($AC$32+INPUTS!$F$13)*_xlpm.sGR+$AD$32*_xlpm.sOR,_xlpm.sGR-_xlpm.sExp+$AA$32))</f>
        <v>0</v>
      </c>
      <c r="K62" s="43">
        <f>IF(8&gt;$Y$16,0,_xlfn.LET(_xlpm.sRR,E$18*$B21*$Y$5*$Y$6*$Y$33,_xlpm.sOR,E$18*$Y$5*$Y$6,_xlpm.sOI,$AE$33*_xlpm.sOR,_xlpm.sOD,$Y$23*_xlpm.sRR,_xlpm.sGR,_xlpm.sRR+_xlpm.sOI+_xlpm.sOD,_xlpm.sExp,$Z$33+$AB$33*_xlpm.sRR+($AC$33+INPUTS!$F$13)*_xlpm.sGR+$AD$33*_xlpm.sOR,_xlpm.sGR-_xlpm.sExp+$AA$33))</f>
        <v>0</v>
      </c>
      <c r="L62" s="43">
        <f>IF(9&gt;$Y$16,0,_xlfn.LET(_xlpm.sRR,E$18*$B21*$Y$5*$Y$6*$Y$34,_xlpm.sOR,E$18*$Y$5*$Y$6,_xlpm.sOI,$AE$34*_xlpm.sOR,_xlpm.sOD,$Y$23*_xlpm.sRR,_xlpm.sGR,_xlpm.sRR+_xlpm.sOI+_xlpm.sOD,_xlpm.sExp,$Z$34+$AB$34*_xlpm.sRR+($AC$34+INPUTS!$F$13)*_xlpm.sGR+$AD$34*_xlpm.sOR,_xlpm.sGR-_xlpm.sExp+$AA$34))</f>
        <v>0</v>
      </c>
      <c r="M62" s="43">
        <f>IF(10&gt;$Y$16,0,IF(10&lt;$Y$16,_xlfn.LET(_xlpm.sRR,E$18*$B21*$Y$5*$Y$6*$Y$35,_xlpm.sOR,E$18*$Y$5*$Y$6,_xlpm.sOI,$AE$35*_xlpm.sOR,_xlpm.sOD,$Y$23*_xlpm.sRR,_xlpm.sGR,_xlpm.sRR+_xlpm.sOI+_xlpm.sOD,_xlpm.sExp,$Z$35+$AB$35*_xlpm.sRR+($AC$35+INPUTS!$F$13)*_xlpm.sGR+$AD$35*_xlpm.sOR,_xlpm.sGR-_xlpm.sExp+$AA$35),_xlfn.LET(_xlpm.sRR,E$18*$B21*$Y$5*$Y$6*$Y$35,_xlpm.sOR,E$18*$Y$5*$Y$6,_xlpm.sOI,$AE$35*_xlpm.sOR,_xlpm.sOD,$Y$23*_xlpm.sRR,_xlpm.sGR,_xlpm.sRR+_xlpm.sOI+_xlpm.sOD,_xlpm.sExp,$Z$35+$AB$35*_xlpm.sRR+($AC$35+INPUTS!$F$13)*_xlpm.sGR+$AD$35*_xlpm.sOR,_xlpm.opCF,_xlpm.sGR-_xlpm.sExp+$AA$35,_xlpm.sale,E$18*$B21*$Y$5*$Y$6*$Y$15*(1-$Y$17),_xlpm.opCF+_xlpm.sale-$Y$22+$Y$24)))</f>
        <v>0</v>
      </c>
    </row>
    <row r="63" spans="2:13" hidden="1">
      <c r="B63" s="933" t="e">
        <f t="shared" si="10"/>
        <v>#VALUE!</v>
      </c>
      <c r="C63">
        <f t="shared" si="8"/>
        <v>0</v>
      </c>
      <c r="D63" s="43">
        <f>IF(1&gt;$Y$16,0,_xlfn.LET(_xlpm.sRR,E$18*$B22*$Y$5*$Y$6*$Y$26,_xlpm.sOR,E$18*$Y$5*$Y$6,_xlpm.sOI,$AE$26*_xlpm.sOR,_xlpm.sOD,$Y$23*_xlpm.sRR,_xlpm.sGR,_xlpm.sRR+_xlpm.sOI+_xlpm.sOD,_xlpm.sExp,$Z$26+$AB$26*_xlpm.sRR+($AC$26+INPUTS!$F$13)*_xlpm.sGR+$AD$26*_xlpm.sOR,_xlpm.sGR-_xlpm.sExp+$AA$26))</f>
        <v>0</v>
      </c>
      <c r="E63" s="43">
        <f>IF(2&gt;$Y$16,0,_xlfn.LET(_xlpm.sRR,E$18*$B22*$Y$5*$Y$6*$Y$27,_xlpm.sOR,E$18*$Y$5*$Y$6,_xlpm.sOI,$AE$27*_xlpm.sOR,_xlpm.sOD,$Y$23*_xlpm.sRR,_xlpm.sGR,_xlpm.sRR+_xlpm.sOI+_xlpm.sOD,_xlpm.sExp,$Z$27+$AB$27*_xlpm.sRR+($AC$27+INPUTS!$F$13)*_xlpm.sGR+$AD$27*_xlpm.sOR,_xlpm.sGR-_xlpm.sExp+$AA$27))</f>
        <v>0</v>
      </c>
      <c r="F63" s="43">
        <f>IF(3&gt;$Y$16,0,_xlfn.LET(_xlpm.sRR,E$18*$B22*$Y$5*$Y$6*$Y$28,_xlpm.sOR,E$18*$Y$5*$Y$6,_xlpm.sOI,$AE$28*_xlpm.sOR,_xlpm.sOD,$Y$23*_xlpm.sRR,_xlpm.sGR,_xlpm.sRR+_xlpm.sOI+_xlpm.sOD,_xlpm.sExp,$Z$28+$AB$28*_xlpm.sRR+($AC$28+INPUTS!$F$13)*_xlpm.sGR+$AD$28*_xlpm.sOR,_xlpm.sGR-_xlpm.sExp+$AA$28))</f>
        <v>0</v>
      </c>
      <c r="G63" s="43">
        <f>IF(4&gt;$Y$16,0,_xlfn.LET(_xlpm.sRR,E$18*$B22*$Y$5*$Y$6*$Y$29,_xlpm.sOR,E$18*$Y$5*$Y$6,_xlpm.sOI,$AE$29*_xlpm.sOR,_xlpm.sOD,$Y$23*_xlpm.sRR,_xlpm.sGR,_xlpm.sRR+_xlpm.sOI+_xlpm.sOD,_xlpm.sExp,$Z$29+$AB$29*_xlpm.sRR+($AC$29+INPUTS!$F$13)*_xlpm.sGR+$AD$29*_xlpm.sOR,_xlpm.sGR-_xlpm.sExp+$AA$29))</f>
        <v>0</v>
      </c>
      <c r="H63" s="43">
        <f>IF(5&gt;$Y$16,0,_xlfn.LET(_xlpm.sRR,E$18*$B22*$Y$5*$Y$6*$Y$30,_xlpm.sOR,E$18*$Y$5*$Y$6,_xlpm.sOI,$AE$30*_xlpm.sOR,_xlpm.sOD,$Y$23*_xlpm.sRR,_xlpm.sGR,_xlpm.sRR+_xlpm.sOI+_xlpm.sOD,_xlpm.sExp,$Z$30+$AB$30*_xlpm.sRR+($AC$30+INPUTS!$F$13)*_xlpm.sGR+$AD$30*_xlpm.sOR,_xlpm.sGR-_xlpm.sExp+$AA$30))</f>
        <v>0</v>
      </c>
      <c r="I63" s="43">
        <f>IF(6&gt;$Y$16,0,_xlfn.LET(_xlpm.sRR,E$18*$B22*$Y$5*$Y$6*$Y$31,_xlpm.sOR,E$18*$Y$5*$Y$6,_xlpm.sOI,$AE$31*_xlpm.sOR,_xlpm.sOD,$Y$23*_xlpm.sRR,_xlpm.sGR,_xlpm.sRR+_xlpm.sOI+_xlpm.sOD,_xlpm.sExp,$Z$31+$AB$31*_xlpm.sRR+($AC$31+INPUTS!$F$13)*_xlpm.sGR+$AD$31*_xlpm.sOR,_xlpm.sGR-_xlpm.sExp+$AA$31))</f>
        <v>0</v>
      </c>
      <c r="J63" s="43">
        <f>IF(7&gt;$Y$16,0,_xlfn.LET(_xlpm.sRR,E$18*$B22*$Y$5*$Y$6*$Y$32,_xlpm.sOR,E$18*$Y$5*$Y$6,_xlpm.sOI,$AE$32*_xlpm.sOR,_xlpm.sOD,$Y$23*_xlpm.sRR,_xlpm.sGR,_xlpm.sRR+_xlpm.sOI+_xlpm.sOD,_xlpm.sExp,$Z$32+$AB$32*_xlpm.sRR+($AC$32+INPUTS!$F$13)*_xlpm.sGR+$AD$32*_xlpm.sOR,_xlpm.sGR-_xlpm.sExp+$AA$32))</f>
        <v>0</v>
      </c>
      <c r="K63" s="43">
        <f>IF(8&gt;$Y$16,0,_xlfn.LET(_xlpm.sRR,E$18*$B22*$Y$5*$Y$6*$Y$33,_xlpm.sOR,E$18*$Y$5*$Y$6,_xlpm.sOI,$AE$33*_xlpm.sOR,_xlpm.sOD,$Y$23*_xlpm.sRR,_xlpm.sGR,_xlpm.sRR+_xlpm.sOI+_xlpm.sOD,_xlpm.sExp,$Z$33+$AB$33*_xlpm.sRR+($AC$33+INPUTS!$F$13)*_xlpm.sGR+$AD$33*_xlpm.sOR,_xlpm.sGR-_xlpm.sExp+$AA$33))</f>
        <v>0</v>
      </c>
      <c r="L63" s="43">
        <f>IF(9&gt;$Y$16,0,_xlfn.LET(_xlpm.sRR,E$18*$B22*$Y$5*$Y$6*$Y$34,_xlpm.sOR,E$18*$Y$5*$Y$6,_xlpm.sOI,$AE$34*_xlpm.sOR,_xlpm.sOD,$Y$23*_xlpm.sRR,_xlpm.sGR,_xlpm.sRR+_xlpm.sOI+_xlpm.sOD,_xlpm.sExp,$Z$34+$AB$34*_xlpm.sRR+($AC$34+INPUTS!$F$13)*_xlpm.sGR+$AD$34*_xlpm.sOR,_xlpm.sGR-_xlpm.sExp+$AA$34))</f>
        <v>0</v>
      </c>
      <c r="M63" s="43">
        <f>IF(10&gt;$Y$16,0,IF(10&lt;$Y$16,_xlfn.LET(_xlpm.sRR,E$18*$B22*$Y$5*$Y$6*$Y$35,_xlpm.sOR,E$18*$Y$5*$Y$6,_xlpm.sOI,$AE$35*_xlpm.sOR,_xlpm.sOD,$Y$23*_xlpm.sRR,_xlpm.sGR,_xlpm.sRR+_xlpm.sOI+_xlpm.sOD,_xlpm.sExp,$Z$35+$AB$35*_xlpm.sRR+($AC$35+INPUTS!$F$13)*_xlpm.sGR+$AD$35*_xlpm.sOR,_xlpm.sGR-_xlpm.sExp+$AA$35),_xlfn.LET(_xlpm.sRR,E$18*$B22*$Y$5*$Y$6*$Y$35,_xlpm.sOR,E$18*$Y$5*$Y$6,_xlpm.sOI,$AE$35*_xlpm.sOR,_xlpm.sOD,$Y$23*_xlpm.sRR,_xlpm.sGR,_xlpm.sRR+_xlpm.sOI+_xlpm.sOD,_xlpm.sExp,$Z$35+$AB$35*_xlpm.sRR+($AC$35+INPUTS!$F$13)*_xlpm.sGR+$AD$35*_xlpm.sOR,_xlpm.opCF,_xlpm.sGR-_xlpm.sExp+$AA$35,_xlpm.sale,E$18*$B22*$Y$5*$Y$6*$Y$15*(1-$Y$17),_xlpm.opCF+_xlpm.sale-$Y$22+$Y$24)))</f>
        <v>0</v>
      </c>
    </row>
    <row r="64" spans="2:13" hidden="1">
      <c r="B64" s="933" t="e">
        <f t="shared" si="10"/>
        <v>#VALUE!</v>
      </c>
      <c r="C64">
        <f t="shared" si="8"/>
        <v>0</v>
      </c>
      <c r="D64" s="43">
        <f>IF(1&gt;$Y$16,0,_xlfn.LET(_xlpm.sRR,E$18*$B23*$Y$5*$Y$6*$Y$26,_xlpm.sOR,E$18*$Y$5*$Y$6,_xlpm.sOI,$AE$26*_xlpm.sOR,_xlpm.sOD,$Y$23*_xlpm.sRR,_xlpm.sGR,_xlpm.sRR+_xlpm.sOI+_xlpm.sOD,_xlpm.sExp,$Z$26+$AB$26*_xlpm.sRR+($AC$26+INPUTS!$F$13)*_xlpm.sGR+$AD$26*_xlpm.sOR,_xlpm.sGR-_xlpm.sExp+$AA$26))</f>
        <v>0</v>
      </c>
      <c r="E64" s="43">
        <f>IF(2&gt;$Y$16,0,_xlfn.LET(_xlpm.sRR,E$18*$B23*$Y$5*$Y$6*$Y$27,_xlpm.sOR,E$18*$Y$5*$Y$6,_xlpm.sOI,$AE$27*_xlpm.sOR,_xlpm.sOD,$Y$23*_xlpm.sRR,_xlpm.sGR,_xlpm.sRR+_xlpm.sOI+_xlpm.sOD,_xlpm.sExp,$Z$27+$AB$27*_xlpm.sRR+($AC$27+INPUTS!$F$13)*_xlpm.sGR+$AD$27*_xlpm.sOR,_xlpm.sGR-_xlpm.sExp+$AA$27))</f>
        <v>0</v>
      </c>
      <c r="F64" s="43">
        <f>IF(3&gt;$Y$16,0,_xlfn.LET(_xlpm.sRR,E$18*$B23*$Y$5*$Y$6*$Y$28,_xlpm.sOR,E$18*$Y$5*$Y$6,_xlpm.sOI,$AE$28*_xlpm.sOR,_xlpm.sOD,$Y$23*_xlpm.sRR,_xlpm.sGR,_xlpm.sRR+_xlpm.sOI+_xlpm.sOD,_xlpm.sExp,$Z$28+$AB$28*_xlpm.sRR+($AC$28+INPUTS!$F$13)*_xlpm.sGR+$AD$28*_xlpm.sOR,_xlpm.sGR-_xlpm.sExp+$AA$28))</f>
        <v>0</v>
      </c>
      <c r="G64" s="43">
        <f>IF(4&gt;$Y$16,0,_xlfn.LET(_xlpm.sRR,E$18*$B23*$Y$5*$Y$6*$Y$29,_xlpm.sOR,E$18*$Y$5*$Y$6,_xlpm.sOI,$AE$29*_xlpm.sOR,_xlpm.sOD,$Y$23*_xlpm.sRR,_xlpm.sGR,_xlpm.sRR+_xlpm.sOI+_xlpm.sOD,_xlpm.sExp,$Z$29+$AB$29*_xlpm.sRR+($AC$29+INPUTS!$F$13)*_xlpm.sGR+$AD$29*_xlpm.sOR,_xlpm.sGR-_xlpm.sExp+$AA$29))</f>
        <v>0</v>
      </c>
      <c r="H64" s="43">
        <f>IF(5&gt;$Y$16,0,_xlfn.LET(_xlpm.sRR,E$18*$B23*$Y$5*$Y$6*$Y$30,_xlpm.sOR,E$18*$Y$5*$Y$6,_xlpm.sOI,$AE$30*_xlpm.sOR,_xlpm.sOD,$Y$23*_xlpm.sRR,_xlpm.sGR,_xlpm.sRR+_xlpm.sOI+_xlpm.sOD,_xlpm.sExp,$Z$30+$AB$30*_xlpm.sRR+($AC$30+INPUTS!$F$13)*_xlpm.sGR+$AD$30*_xlpm.sOR,_xlpm.sGR-_xlpm.sExp+$AA$30))</f>
        <v>0</v>
      </c>
      <c r="I64" s="43">
        <f>IF(6&gt;$Y$16,0,_xlfn.LET(_xlpm.sRR,E$18*$B23*$Y$5*$Y$6*$Y$31,_xlpm.sOR,E$18*$Y$5*$Y$6,_xlpm.sOI,$AE$31*_xlpm.sOR,_xlpm.sOD,$Y$23*_xlpm.sRR,_xlpm.sGR,_xlpm.sRR+_xlpm.sOI+_xlpm.sOD,_xlpm.sExp,$Z$31+$AB$31*_xlpm.sRR+($AC$31+INPUTS!$F$13)*_xlpm.sGR+$AD$31*_xlpm.sOR,_xlpm.sGR-_xlpm.sExp+$AA$31))</f>
        <v>0</v>
      </c>
      <c r="J64" s="43">
        <f>IF(7&gt;$Y$16,0,_xlfn.LET(_xlpm.sRR,E$18*$B23*$Y$5*$Y$6*$Y$32,_xlpm.sOR,E$18*$Y$5*$Y$6,_xlpm.sOI,$AE$32*_xlpm.sOR,_xlpm.sOD,$Y$23*_xlpm.sRR,_xlpm.sGR,_xlpm.sRR+_xlpm.sOI+_xlpm.sOD,_xlpm.sExp,$Z$32+$AB$32*_xlpm.sRR+($AC$32+INPUTS!$F$13)*_xlpm.sGR+$AD$32*_xlpm.sOR,_xlpm.sGR-_xlpm.sExp+$AA$32))</f>
        <v>0</v>
      </c>
      <c r="K64" s="43">
        <f>IF(8&gt;$Y$16,0,_xlfn.LET(_xlpm.sRR,E$18*$B23*$Y$5*$Y$6*$Y$33,_xlpm.sOR,E$18*$Y$5*$Y$6,_xlpm.sOI,$AE$33*_xlpm.sOR,_xlpm.sOD,$Y$23*_xlpm.sRR,_xlpm.sGR,_xlpm.sRR+_xlpm.sOI+_xlpm.sOD,_xlpm.sExp,$Z$33+$AB$33*_xlpm.sRR+($AC$33+INPUTS!$F$13)*_xlpm.sGR+$AD$33*_xlpm.sOR,_xlpm.sGR-_xlpm.sExp+$AA$33))</f>
        <v>0</v>
      </c>
      <c r="L64" s="43">
        <f>IF(9&gt;$Y$16,0,_xlfn.LET(_xlpm.sRR,E$18*$B23*$Y$5*$Y$6*$Y$34,_xlpm.sOR,E$18*$Y$5*$Y$6,_xlpm.sOI,$AE$34*_xlpm.sOR,_xlpm.sOD,$Y$23*_xlpm.sRR,_xlpm.sGR,_xlpm.sRR+_xlpm.sOI+_xlpm.sOD,_xlpm.sExp,$Z$34+$AB$34*_xlpm.sRR+($AC$34+INPUTS!$F$13)*_xlpm.sGR+$AD$34*_xlpm.sOR,_xlpm.sGR-_xlpm.sExp+$AA$34))</f>
        <v>0</v>
      </c>
      <c r="M64" s="43">
        <f>IF(10&gt;$Y$16,0,IF(10&lt;$Y$16,_xlfn.LET(_xlpm.sRR,E$18*$B23*$Y$5*$Y$6*$Y$35,_xlpm.sOR,E$18*$Y$5*$Y$6,_xlpm.sOI,$AE$35*_xlpm.sOR,_xlpm.sOD,$Y$23*_xlpm.sRR,_xlpm.sGR,_xlpm.sRR+_xlpm.sOI+_xlpm.sOD,_xlpm.sExp,$Z$35+$AB$35*_xlpm.sRR+($AC$35+INPUTS!$F$13)*_xlpm.sGR+$AD$35*_xlpm.sOR,_xlpm.sGR-_xlpm.sExp+$AA$35),_xlfn.LET(_xlpm.sRR,E$18*$B23*$Y$5*$Y$6*$Y$35,_xlpm.sOR,E$18*$Y$5*$Y$6,_xlpm.sOI,$AE$35*_xlpm.sOR,_xlpm.sOD,$Y$23*_xlpm.sRR,_xlpm.sGR,_xlpm.sRR+_xlpm.sOI+_xlpm.sOD,_xlpm.sExp,$Z$35+$AB$35*_xlpm.sRR+($AC$35+INPUTS!$F$13)*_xlpm.sGR+$AD$35*_xlpm.sOR,_xlpm.opCF,_xlpm.sGR-_xlpm.sExp+$AA$35,_xlpm.sale,E$18*$B23*$Y$5*$Y$6*$Y$15*(1-$Y$17),_xlpm.opCF+_xlpm.sale-$Y$22+$Y$24)))</f>
        <v>0</v>
      </c>
    </row>
    <row r="65" spans="2:13" hidden="1">
      <c r="B65" s="933" t="e">
        <f t="shared" si="10"/>
        <v>#VALUE!</v>
      </c>
      <c r="C65">
        <f t="shared" si="8"/>
        <v>0</v>
      </c>
      <c r="D65" s="43">
        <f>IF(1&gt;$Y$16,0,_xlfn.LET(_xlpm.sRR,E$18*$B24*$Y$5*$Y$6*$Y$26,_xlpm.sOR,E$18*$Y$5*$Y$6,_xlpm.sOI,$AE$26*_xlpm.sOR,_xlpm.sOD,$Y$23*_xlpm.sRR,_xlpm.sGR,_xlpm.sRR+_xlpm.sOI+_xlpm.sOD,_xlpm.sExp,$Z$26+$AB$26*_xlpm.sRR+($AC$26+INPUTS!$F$13)*_xlpm.sGR+$AD$26*_xlpm.sOR,_xlpm.sGR-_xlpm.sExp+$AA$26))</f>
        <v>0</v>
      </c>
      <c r="E65" s="43">
        <f>IF(2&gt;$Y$16,0,_xlfn.LET(_xlpm.sRR,E$18*$B24*$Y$5*$Y$6*$Y$27,_xlpm.sOR,E$18*$Y$5*$Y$6,_xlpm.sOI,$AE$27*_xlpm.sOR,_xlpm.sOD,$Y$23*_xlpm.sRR,_xlpm.sGR,_xlpm.sRR+_xlpm.sOI+_xlpm.sOD,_xlpm.sExp,$Z$27+$AB$27*_xlpm.sRR+($AC$27+INPUTS!$F$13)*_xlpm.sGR+$AD$27*_xlpm.sOR,_xlpm.sGR-_xlpm.sExp+$AA$27))</f>
        <v>0</v>
      </c>
      <c r="F65" s="43">
        <f>IF(3&gt;$Y$16,0,_xlfn.LET(_xlpm.sRR,E$18*$B24*$Y$5*$Y$6*$Y$28,_xlpm.sOR,E$18*$Y$5*$Y$6,_xlpm.sOI,$AE$28*_xlpm.sOR,_xlpm.sOD,$Y$23*_xlpm.sRR,_xlpm.sGR,_xlpm.sRR+_xlpm.sOI+_xlpm.sOD,_xlpm.sExp,$Z$28+$AB$28*_xlpm.sRR+($AC$28+INPUTS!$F$13)*_xlpm.sGR+$AD$28*_xlpm.sOR,_xlpm.sGR-_xlpm.sExp+$AA$28))</f>
        <v>0</v>
      </c>
      <c r="G65" s="43">
        <f>IF(4&gt;$Y$16,0,_xlfn.LET(_xlpm.sRR,E$18*$B24*$Y$5*$Y$6*$Y$29,_xlpm.sOR,E$18*$Y$5*$Y$6,_xlpm.sOI,$AE$29*_xlpm.sOR,_xlpm.sOD,$Y$23*_xlpm.sRR,_xlpm.sGR,_xlpm.sRR+_xlpm.sOI+_xlpm.sOD,_xlpm.sExp,$Z$29+$AB$29*_xlpm.sRR+($AC$29+INPUTS!$F$13)*_xlpm.sGR+$AD$29*_xlpm.sOR,_xlpm.sGR-_xlpm.sExp+$AA$29))</f>
        <v>0</v>
      </c>
      <c r="H65" s="43">
        <f>IF(5&gt;$Y$16,0,_xlfn.LET(_xlpm.sRR,E$18*$B24*$Y$5*$Y$6*$Y$30,_xlpm.sOR,E$18*$Y$5*$Y$6,_xlpm.sOI,$AE$30*_xlpm.sOR,_xlpm.sOD,$Y$23*_xlpm.sRR,_xlpm.sGR,_xlpm.sRR+_xlpm.sOI+_xlpm.sOD,_xlpm.sExp,$Z$30+$AB$30*_xlpm.sRR+($AC$30+INPUTS!$F$13)*_xlpm.sGR+$AD$30*_xlpm.sOR,_xlpm.sGR-_xlpm.sExp+$AA$30))</f>
        <v>0</v>
      </c>
      <c r="I65" s="43">
        <f>IF(6&gt;$Y$16,0,_xlfn.LET(_xlpm.sRR,E$18*$B24*$Y$5*$Y$6*$Y$31,_xlpm.sOR,E$18*$Y$5*$Y$6,_xlpm.sOI,$AE$31*_xlpm.sOR,_xlpm.sOD,$Y$23*_xlpm.sRR,_xlpm.sGR,_xlpm.sRR+_xlpm.sOI+_xlpm.sOD,_xlpm.sExp,$Z$31+$AB$31*_xlpm.sRR+($AC$31+INPUTS!$F$13)*_xlpm.sGR+$AD$31*_xlpm.sOR,_xlpm.sGR-_xlpm.sExp+$AA$31))</f>
        <v>0</v>
      </c>
      <c r="J65" s="43">
        <f>IF(7&gt;$Y$16,0,_xlfn.LET(_xlpm.sRR,E$18*$B24*$Y$5*$Y$6*$Y$32,_xlpm.sOR,E$18*$Y$5*$Y$6,_xlpm.sOI,$AE$32*_xlpm.sOR,_xlpm.sOD,$Y$23*_xlpm.sRR,_xlpm.sGR,_xlpm.sRR+_xlpm.sOI+_xlpm.sOD,_xlpm.sExp,$Z$32+$AB$32*_xlpm.sRR+($AC$32+INPUTS!$F$13)*_xlpm.sGR+$AD$32*_xlpm.sOR,_xlpm.sGR-_xlpm.sExp+$AA$32))</f>
        <v>0</v>
      </c>
      <c r="K65" s="43">
        <f>IF(8&gt;$Y$16,0,_xlfn.LET(_xlpm.sRR,E$18*$B24*$Y$5*$Y$6*$Y$33,_xlpm.sOR,E$18*$Y$5*$Y$6,_xlpm.sOI,$AE$33*_xlpm.sOR,_xlpm.sOD,$Y$23*_xlpm.sRR,_xlpm.sGR,_xlpm.sRR+_xlpm.sOI+_xlpm.sOD,_xlpm.sExp,$Z$33+$AB$33*_xlpm.sRR+($AC$33+INPUTS!$F$13)*_xlpm.sGR+$AD$33*_xlpm.sOR,_xlpm.sGR-_xlpm.sExp+$AA$33))</f>
        <v>0</v>
      </c>
      <c r="L65" s="43">
        <f>IF(9&gt;$Y$16,0,_xlfn.LET(_xlpm.sRR,E$18*$B24*$Y$5*$Y$6*$Y$34,_xlpm.sOR,E$18*$Y$5*$Y$6,_xlpm.sOI,$AE$34*_xlpm.sOR,_xlpm.sOD,$Y$23*_xlpm.sRR,_xlpm.sGR,_xlpm.sRR+_xlpm.sOI+_xlpm.sOD,_xlpm.sExp,$Z$34+$AB$34*_xlpm.sRR+($AC$34+INPUTS!$F$13)*_xlpm.sGR+$AD$34*_xlpm.sOR,_xlpm.sGR-_xlpm.sExp+$AA$34))</f>
        <v>0</v>
      </c>
      <c r="M65" s="43">
        <f>IF(10&gt;$Y$16,0,IF(10&lt;$Y$16,_xlfn.LET(_xlpm.sRR,E$18*$B24*$Y$5*$Y$6*$Y$35,_xlpm.sOR,E$18*$Y$5*$Y$6,_xlpm.sOI,$AE$35*_xlpm.sOR,_xlpm.sOD,$Y$23*_xlpm.sRR,_xlpm.sGR,_xlpm.sRR+_xlpm.sOI+_xlpm.sOD,_xlpm.sExp,$Z$35+$AB$35*_xlpm.sRR+($AC$35+INPUTS!$F$13)*_xlpm.sGR+$AD$35*_xlpm.sOR,_xlpm.sGR-_xlpm.sExp+$AA$35),_xlfn.LET(_xlpm.sRR,E$18*$B24*$Y$5*$Y$6*$Y$35,_xlpm.sOR,E$18*$Y$5*$Y$6,_xlpm.sOI,$AE$35*_xlpm.sOR,_xlpm.sOD,$Y$23*_xlpm.sRR,_xlpm.sGR,_xlpm.sRR+_xlpm.sOI+_xlpm.sOD,_xlpm.sExp,$Z$35+$AB$35*_xlpm.sRR+($AC$35+INPUTS!$F$13)*_xlpm.sGR+$AD$35*_xlpm.sOR,_xlpm.opCF,_xlpm.sGR-_xlpm.sExp+$AA$35,_xlpm.sale,E$18*$B24*$Y$5*$Y$6*$Y$15*(1-$Y$17),_xlpm.opCF+_xlpm.sale-$Y$22+$Y$24)))</f>
        <v>0</v>
      </c>
    </row>
    <row r="66" spans="2:13" hidden="1">
      <c r="B66" s="933" t="e">
        <f t="shared" si="10"/>
        <v>#VALUE!</v>
      </c>
      <c r="C66">
        <f t="shared" si="8"/>
        <v>0</v>
      </c>
      <c r="D66" s="43">
        <f>IF(1&gt;$Y$16,0,_xlfn.LET(_xlpm.sRR,E$18*$B25*$Y$5*$Y$6*$Y$26,_xlpm.sOR,E$18*$Y$5*$Y$6,_xlpm.sOI,$AE$26*_xlpm.sOR,_xlpm.sOD,$Y$23*_xlpm.sRR,_xlpm.sGR,_xlpm.sRR+_xlpm.sOI+_xlpm.sOD,_xlpm.sExp,$Z$26+$AB$26*_xlpm.sRR+($AC$26+INPUTS!$F$13)*_xlpm.sGR+$AD$26*_xlpm.sOR,_xlpm.sGR-_xlpm.sExp+$AA$26))</f>
        <v>0</v>
      </c>
      <c r="E66" s="43">
        <f>IF(2&gt;$Y$16,0,_xlfn.LET(_xlpm.sRR,E$18*$B25*$Y$5*$Y$6*$Y$27,_xlpm.sOR,E$18*$Y$5*$Y$6,_xlpm.sOI,$AE$27*_xlpm.sOR,_xlpm.sOD,$Y$23*_xlpm.sRR,_xlpm.sGR,_xlpm.sRR+_xlpm.sOI+_xlpm.sOD,_xlpm.sExp,$Z$27+$AB$27*_xlpm.sRR+($AC$27+INPUTS!$F$13)*_xlpm.sGR+$AD$27*_xlpm.sOR,_xlpm.sGR-_xlpm.sExp+$AA$27))</f>
        <v>0</v>
      </c>
      <c r="F66" s="43">
        <f>IF(3&gt;$Y$16,0,_xlfn.LET(_xlpm.sRR,E$18*$B25*$Y$5*$Y$6*$Y$28,_xlpm.sOR,E$18*$Y$5*$Y$6,_xlpm.sOI,$AE$28*_xlpm.sOR,_xlpm.sOD,$Y$23*_xlpm.sRR,_xlpm.sGR,_xlpm.sRR+_xlpm.sOI+_xlpm.sOD,_xlpm.sExp,$Z$28+$AB$28*_xlpm.sRR+($AC$28+INPUTS!$F$13)*_xlpm.sGR+$AD$28*_xlpm.sOR,_xlpm.sGR-_xlpm.sExp+$AA$28))</f>
        <v>0</v>
      </c>
      <c r="G66" s="43">
        <f>IF(4&gt;$Y$16,0,_xlfn.LET(_xlpm.sRR,E$18*$B25*$Y$5*$Y$6*$Y$29,_xlpm.sOR,E$18*$Y$5*$Y$6,_xlpm.sOI,$AE$29*_xlpm.sOR,_xlpm.sOD,$Y$23*_xlpm.sRR,_xlpm.sGR,_xlpm.sRR+_xlpm.sOI+_xlpm.sOD,_xlpm.sExp,$Z$29+$AB$29*_xlpm.sRR+($AC$29+INPUTS!$F$13)*_xlpm.sGR+$AD$29*_xlpm.sOR,_xlpm.sGR-_xlpm.sExp+$AA$29))</f>
        <v>0</v>
      </c>
      <c r="H66" s="43">
        <f>IF(5&gt;$Y$16,0,_xlfn.LET(_xlpm.sRR,E$18*$B25*$Y$5*$Y$6*$Y$30,_xlpm.sOR,E$18*$Y$5*$Y$6,_xlpm.sOI,$AE$30*_xlpm.sOR,_xlpm.sOD,$Y$23*_xlpm.sRR,_xlpm.sGR,_xlpm.sRR+_xlpm.sOI+_xlpm.sOD,_xlpm.sExp,$Z$30+$AB$30*_xlpm.sRR+($AC$30+INPUTS!$F$13)*_xlpm.sGR+$AD$30*_xlpm.sOR,_xlpm.sGR-_xlpm.sExp+$AA$30))</f>
        <v>0</v>
      </c>
      <c r="I66" s="43">
        <f>IF(6&gt;$Y$16,0,_xlfn.LET(_xlpm.sRR,E$18*$B25*$Y$5*$Y$6*$Y$31,_xlpm.sOR,E$18*$Y$5*$Y$6,_xlpm.sOI,$AE$31*_xlpm.sOR,_xlpm.sOD,$Y$23*_xlpm.sRR,_xlpm.sGR,_xlpm.sRR+_xlpm.sOI+_xlpm.sOD,_xlpm.sExp,$Z$31+$AB$31*_xlpm.sRR+($AC$31+INPUTS!$F$13)*_xlpm.sGR+$AD$31*_xlpm.sOR,_xlpm.sGR-_xlpm.sExp+$AA$31))</f>
        <v>0</v>
      </c>
      <c r="J66" s="43">
        <f>IF(7&gt;$Y$16,0,_xlfn.LET(_xlpm.sRR,E$18*$B25*$Y$5*$Y$6*$Y$32,_xlpm.sOR,E$18*$Y$5*$Y$6,_xlpm.sOI,$AE$32*_xlpm.sOR,_xlpm.sOD,$Y$23*_xlpm.sRR,_xlpm.sGR,_xlpm.sRR+_xlpm.sOI+_xlpm.sOD,_xlpm.sExp,$Z$32+$AB$32*_xlpm.sRR+($AC$32+INPUTS!$F$13)*_xlpm.sGR+$AD$32*_xlpm.sOR,_xlpm.sGR-_xlpm.sExp+$AA$32))</f>
        <v>0</v>
      </c>
      <c r="K66" s="43">
        <f>IF(8&gt;$Y$16,0,_xlfn.LET(_xlpm.sRR,E$18*$B25*$Y$5*$Y$6*$Y$33,_xlpm.sOR,E$18*$Y$5*$Y$6,_xlpm.sOI,$AE$33*_xlpm.sOR,_xlpm.sOD,$Y$23*_xlpm.sRR,_xlpm.sGR,_xlpm.sRR+_xlpm.sOI+_xlpm.sOD,_xlpm.sExp,$Z$33+$AB$33*_xlpm.sRR+($AC$33+INPUTS!$F$13)*_xlpm.sGR+$AD$33*_xlpm.sOR,_xlpm.sGR-_xlpm.sExp+$AA$33))</f>
        <v>0</v>
      </c>
      <c r="L66" s="43">
        <f>IF(9&gt;$Y$16,0,_xlfn.LET(_xlpm.sRR,E$18*$B25*$Y$5*$Y$6*$Y$34,_xlpm.sOR,E$18*$Y$5*$Y$6,_xlpm.sOI,$AE$34*_xlpm.sOR,_xlpm.sOD,$Y$23*_xlpm.sRR,_xlpm.sGR,_xlpm.sRR+_xlpm.sOI+_xlpm.sOD,_xlpm.sExp,$Z$34+$AB$34*_xlpm.sRR+($AC$34+INPUTS!$F$13)*_xlpm.sGR+$AD$34*_xlpm.sOR,_xlpm.sGR-_xlpm.sExp+$AA$34))</f>
        <v>0</v>
      </c>
      <c r="M66" s="43">
        <f>IF(10&gt;$Y$16,0,IF(10&lt;$Y$16,_xlfn.LET(_xlpm.sRR,E$18*$B25*$Y$5*$Y$6*$Y$35,_xlpm.sOR,E$18*$Y$5*$Y$6,_xlpm.sOI,$AE$35*_xlpm.sOR,_xlpm.sOD,$Y$23*_xlpm.sRR,_xlpm.sGR,_xlpm.sRR+_xlpm.sOI+_xlpm.sOD,_xlpm.sExp,$Z$35+$AB$35*_xlpm.sRR+($AC$35+INPUTS!$F$13)*_xlpm.sGR+$AD$35*_xlpm.sOR,_xlpm.sGR-_xlpm.sExp+$AA$35),_xlfn.LET(_xlpm.sRR,E$18*$B25*$Y$5*$Y$6*$Y$35,_xlpm.sOR,E$18*$Y$5*$Y$6,_xlpm.sOI,$AE$35*_xlpm.sOR,_xlpm.sOD,$Y$23*_xlpm.sRR,_xlpm.sGR,_xlpm.sRR+_xlpm.sOI+_xlpm.sOD,_xlpm.sExp,$Z$35+$AB$35*_xlpm.sRR+($AC$35+INPUTS!$F$13)*_xlpm.sGR+$AD$35*_xlpm.sOR,_xlpm.opCF,_xlpm.sGR-_xlpm.sExp+$AA$35,_xlpm.sale,E$18*$B25*$Y$5*$Y$6*$Y$15*(1-$Y$17),_xlpm.opCF+_xlpm.sale-$Y$22+$Y$24)))</f>
        <v>0</v>
      </c>
    </row>
    <row r="67" spans="2:13" hidden="1">
      <c r="B67" s="933" t="e">
        <f t="shared" ref="B67:B73" si="11">F$18&amp;" × $"&amp;TEXT($B19,"0")</f>
        <v>#VALUE!</v>
      </c>
      <c r="C67">
        <f t="shared" si="8"/>
        <v>0</v>
      </c>
      <c r="D67" s="43">
        <f>IF(1&gt;$Y$16,0,_xlfn.LET(_xlpm.sRR,F$18*$B19*$Y$5*$Y$6*$Y$26,_xlpm.sOR,F$18*$Y$5*$Y$6,_xlpm.sOI,$AE$26*_xlpm.sOR,_xlpm.sOD,$Y$23*_xlpm.sRR,_xlpm.sGR,_xlpm.sRR+_xlpm.sOI+_xlpm.sOD,_xlpm.sExp,$Z$26+$AB$26*_xlpm.sRR+($AC$26+INPUTS!$F$13)*_xlpm.sGR+$AD$26*_xlpm.sOR,_xlpm.sGR-_xlpm.sExp+$AA$26))</f>
        <v>0</v>
      </c>
      <c r="E67" s="43">
        <f>IF(2&gt;$Y$16,0,_xlfn.LET(_xlpm.sRR,F$18*$B19*$Y$5*$Y$6*$Y$27,_xlpm.sOR,F$18*$Y$5*$Y$6,_xlpm.sOI,$AE$27*_xlpm.sOR,_xlpm.sOD,$Y$23*_xlpm.sRR,_xlpm.sGR,_xlpm.sRR+_xlpm.sOI+_xlpm.sOD,_xlpm.sExp,$Z$27+$AB$27*_xlpm.sRR+($AC$27+INPUTS!$F$13)*_xlpm.sGR+$AD$27*_xlpm.sOR,_xlpm.sGR-_xlpm.sExp+$AA$27))</f>
        <v>0</v>
      </c>
      <c r="F67" s="43">
        <f>IF(3&gt;$Y$16,0,_xlfn.LET(_xlpm.sRR,F$18*$B19*$Y$5*$Y$6*$Y$28,_xlpm.sOR,F$18*$Y$5*$Y$6,_xlpm.sOI,$AE$28*_xlpm.sOR,_xlpm.sOD,$Y$23*_xlpm.sRR,_xlpm.sGR,_xlpm.sRR+_xlpm.sOI+_xlpm.sOD,_xlpm.sExp,$Z$28+$AB$28*_xlpm.sRR+($AC$28+INPUTS!$F$13)*_xlpm.sGR+$AD$28*_xlpm.sOR,_xlpm.sGR-_xlpm.sExp+$AA$28))</f>
        <v>0</v>
      </c>
      <c r="G67" s="43">
        <f>IF(4&gt;$Y$16,0,_xlfn.LET(_xlpm.sRR,F$18*$B19*$Y$5*$Y$6*$Y$29,_xlpm.sOR,F$18*$Y$5*$Y$6,_xlpm.sOI,$AE$29*_xlpm.sOR,_xlpm.sOD,$Y$23*_xlpm.sRR,_xlpm.sGR,_xlpm.sRR+_xlpm.sOI+_xlpm.sOD,_xlpm.sExp,$Z$29+$AB$29*_xlpm.sRR+($AC$29+INPUTS!$F$13)*_xlpm.sGR+$AD$29*_xlpm.sOR,_xlpm.sGR-_xlpm.sExp+$AA$29))</f>
        <v>0</v>
      </c>
      <c r="H67" s="43">
        <f>IF(5&gt;$Y$16,0,_xlfn.LET(_xlpm.sRR,F$18*$B19*$Y$5*$Y$6*$Y$30,_xlpm.sOR,F$18*$Y$5*$Y$6,_xlpm.sOI,$AE$30*_xlpm.sOR,_xlpm.sOD,$Y$23*_xlpm.sRR,_xlpm.sGR,_xlpm.sRR+_xlpm.sOI+_xlpm.sOD,_xlpm.sExp,$Z$30+$AB$30*_xlpm.sRR+($AC$30+INPUTS!$F$13)*_xlpm.sGR+$AD$30*_xlpm.sOR,_xlpm.sGR-_xlpm.sExp+$AA$30))</f>
        <v>0</v>
      </c>
      <c r="I67" s="43">
        <f>IF(6&gt;$Y$16,0,_xlfn.LET(_xlpm.sRR,F$18*$B19*$Y$5*$Y$6*$Y$31,_xlpm.sOR,F$18*$Y$5*$Y$6,_xlpm.sOI,$AE$31*_xlpm.sOR,_xlpm.sOD,$Y$23*_xlpm.sRR,_xlpm.sGR,_xlpm.sRR+_xlpm.sOI+_xlpm.sOD,_xlpm.sExp,$Z$31+$AB$31*_xlpm.sRR+($AC$31+INPUTS!$F$13)*_xlpm.sGR+$AD$31*_xlpm.sOR,_xlpm.sGR-_xlpm.sExp+$AA$31))</f>
        <v>0</v>
      </c>
      <c r="J67" s="43">
        <f>IF(7&gt;$Y$16,0,_xlfn.LET(_xlpm.sRR,F$18*$B19*$Y$5*$Y$6*$Y$32,_xlpm.sOR,F$18*$Y$5*$Y$6,_xlpm.sOI,$AE$32*_xlpm.sOR,_xlpm.sOD,$Y$23*_xlpm.sRR,_xlpm.sGR,_xlpm.sRR+_xlpm.sOI+_xlpm.sOD,_xlpm.sExp,$Z$32+$AB$32*_xlpm.sRR+($AC$32+INPUTS!$F$13)*_xlpm.sGR+$AD$32*_xlpm.sOR,_xlpm.sGR-_xlpm.sExp+$AA$32))</f>
        <v>0</v>
      </c>
      <c r="K67" s="43">
        <f>IF(8&gt;$Y$16,0,_xlfn.LET(_xlpm.sRR,F$18*$B19*$Y$5*$Y$6*$Y$33,_xlpm.sOR,F$18*$Y$5*$Y$6,_xlpm.sOI,$AE$33*_xlpm.sOR,_xlpm.sOD,$Y$23*_xlpm.sRR,_xlpm.sGR,_xlpm.sRR+_xlpm.sOI+_xlpm.sOD,_xlpm.sExp,$Z$33+$AB$33*_xlpm.sRR+($AC$33+INPUTS!$F$13)*_xlpm.sGR+$AD$33*_xlpm.sOR,_xlpm.sGR-_xlpm.sExp+$AA$33))</f>
        <v>0</v>
      </c>
      <c r="L67" s="43">
        <f>IF(9&gt;$Y$16,0,_xlfn.LET(_xlpm.sRR,F$18*$B19*$Y$5*$Y$6*$Y$34,_xlpm.sOR,F$18*$Y$5*$Y$6,_xlpm.sOI,$AE$34*_xlpm.sOR,_xlpm.sOD,$Y$23*_xlpm.sRR,_xlpm.sGR,_xlpm.sRR+_xlpm.sOI+_xlpm.sOD,_xlpm.sExp,$Z$34+$AB$34*_xlpm.sRR+($AC$34+INPUTS!$F$13)*_xlpm.sGR+$AD$34*_xlpm.sOR,_xlpm.sGR-_xlpm.sExp+$AA$34))</f>
        <v>0</v>
      </c>
      <c r="M67" s="43">
        <f>IF(10&gt;$Y$16,0,IF(10&lt;$Y$16,_xlfn.LET(_xlpm.sRR,F$18*$B19*$Y$5*$Y$6*$Y$35,_xlpm.sOR,F$18*$Y$5*$Y$6,_xlpm.sOI,$AE$35*_xlpm.sOR,_xlpm.sOD,$Y$23*_xlpm.sRR,_xlpm.sGR,_xlpm.sRR+_xlpm.sOI+_xlpm.sOD,_xlpm.sExp,$Z$35+$AB$35*_xlpm.sRR+($AC$35+INPUTS!$F$13)*_xlpm.sGR+$AD$35*_xlpm.sOR,_xlpm.sGR-_xlpm.sExp+$AA$35),_xlfn.LET(_xlpm.sRR,F$18*$B19*$Y$5*$Y$6*$Y$35,_xlpm.sOR,F$18*$Y$5*$Y$6,_xlpm.sOI,$AE$35*_xlpm.sOR,_xlpm.sOD,$Y$23*_xlpm.sRR,_xlpm.sGR,_xlpm.sRR+_xlpm.sOI+_xlpm.sOD,_xlpm.sExp,$Z$35+$AB$35*_xlpm.sRR+($AC$35+INPUTS!$F$13)*_xlpm.sGR+$AD$35*_xlpm.sOR,_xlpm.opCF,_xlpm.sGR-_xlpm.sExp+$AA$35,_xlpm.sale,F$18*$B19*$Y$5*$Y$6*$Y$15*(1-$Y$17),_xlpm.opCF+_xlpm.sale-$Y$22+$Y$24)))</f>
        <v>0</v>
      </c>
    </row>
    <row r="68" spans="2:13" hidden="1">
      <c r="B68" s="933" t="e">
        <f t="shared" si="11"/>
        <v>#VALUE!</v>
      </c>
      <c r="C68">
        <f t="shared" si="8"/>
        <v>0</v>
      </c>
      <c r="D68" s="43">
        <f>IF(1&gt;$Y$16,0,_xlfn.LET(_xlpm.sRR,F$18*$B20*$Y$5*$Y$6*$Y$26,_xlpm.sOR,F$18*$Y$5*$Y$6,_xlpm.sOI,$AE$26*_xlpm.sOR,_xlpm.sOD,$Y$23*_xlpm.sRR,_xlpm.sGR,_xlpm.sRR+_xlpm.sOI+_xlpm.sOD,_xlpm.sExp,$Z$26+$AB$26*_xlpm.sRR+($AC$26+INPUTS!$F$13)*_xlpm.sGR+$AD$26*_xlpm.sOR,_xlpm.sGR-_xlpm.sExp+$AA$26))</f>
        <v>0</v>
      </c>
      <c r="E68" s="43">
        <f>IF(2&gt;$Y$16,0,_xlfn.LET(_xlpm.sRR,F$18*$B20*$Y$5*$Y$6*$Y$27,_xlpm.sOR,F$18*$Y$5*$Y$6,_xlpm.sOI,$AE$27*_xlpm.sOR,_xlpm.sOD,$Y$23*_xlpm.sRR,_xlpm.sGR,_xlpm.sRR+_xlpm.sOI+_xlpm.sOD,_xlpm.sExp,$Z$27+$AB$27*_xlpm.sRR+($AC$27+INPUTS!$F$13)*_xlpm.sGR+$AD$27*_xlpm.sOR,_xlpm.sGR-_xlpm.sExp+$AA$27))</f>
        <v>0</v>
      </c>
      <c r="F68" s="43">
        <f>IF(3&gt;$Y$16,0,_xlfn.LET(_xlpm.sRR,F$18*$B20*$Y$5*$Y$6*$Y$28,_xlpm.sOR,F$18*$Y$5*$Y$6,_xlpm.sOI,$AE$28*_xlpm.sOR,_xlpm.sOD,$Y$23*_xlpm.sRR,_xlpm.sGR,_xlpm.sRR+_xlpm.sOI+_xlpm.sOD,_xlpm.sExp,$Z$28+$AB$28*_xlpm.sRR+($AC$28+INPUTS!$F$13)*_xlpm.sGR+$AD$28*_xlpm.sOR,_xlpm.sGR-_xlpm.sExp+$AA$28))</f>
        <v>0</v>
      </c>
      <c r="G68" s="43">
        <f>IF(4&gt;$Y$16,0,_xlfn.LET(_xlpm.sRR,F$18*$B20*$Y$5*$Y$6*$Y$29,_xlpm.sOR,F$18*$Y$5*$Y$6,_xlpm.sOI,$AE$29*_xlpm.sOR,_xlpm.sOD,$Y$23*_xlpm.sRR,_xlpm.sGR,_xlpm.sRR+_xlpm.sOI+_xlpm.sOD,_xlpm.sExp,$Z$29+$AB$29*_xlpm.sRR+($AC$29+INPUTS!$F$13)*_xlpm.sGR+$AD$29*_xlpm.sOR,_xlpm.sGR-_xlpm.sExp+$AA$29))</f>
        <v>0</v>
      </c>
      <c r="H68" s="43">
        <f>IF(5&gt;$Y$16,0,_xlfn.LET(_xlpm.sRR,F$18*$B20*$Y$5*$Y$6*$Y$30,_xlpm.sOR,F$18*$Y$5*$Y$6,_xlpm.sOI,$AE$30*_xlpm.sOR,_xlpm.sOD,$Y$23*_xlpm.sRR,_xlpm.sGR,_xlpm.sRR+_xlpm.sOI+_xlpm.sOD,_xlpm.sExp,$Z$30+$AB$30*_xlpm.sRR+($AC$30+INPUTS!$F$13)*_xlpm.sGR+$AD$30*_xlpm.sOR,_xlpm.sGR-_xlpm.sExp+$AA$30))</f>
        <v>0</v>
      </c>
      <c r="I68" s="43">
        <f>IF(6&gt;$Y$16,0,_xlfn.LET(_xlpm.sRR,F$18*$B20*$Y$5*$Y$6*$Y$31,_xlpm.sOR,F$18*$Y$5*$Y$6,_xlpm.sOI,$AE$31*_xlpm.sOR,_xlpm.sOD,$Y$23*_xlpm.sRR,_xlpm.sGR,_xlpm.sRR+_xlpm.sOI+_xlpm.sOD,_xlpm.sExp,$Z$31+$AB$31*_xlpm.sRR+($AC$31+INPUTS!$F$13)*_xlpm.sGR+$AD$31*_xlpm.sOR,_xlpm.sGR-_xlpm.sExp+$AA$31))</f>
        <v>0</v>
      </c>
      <c r="J68" s="43">
        <f>IF(7&gt;$Y$16,0,_xlfn.LET(_xlpm.sRR,F$18*$B20*$Y$5*$Y$6*$Y$32,_xlpm.sOR,F$18*$Y$5*$Y$6,_xlpm.sOI,$AE$32*_xlpm.sOR,_xlpm.sOD,$Y$23*_xlpm.sRR,_xlpm.sGR,_xlpm.sRR+_xlpm.sOI+_xlpm.sOD,_xlpm.sExp,$Z$32+$AB$32*_xlpm.sRR+($AC$32+INPUTS!$F$13)*_xlpm.sGR+$AD$32*_xlpm.sOR,_xlpm.sGR-_xlpm.sExp+$AA$32))</f>
        <v>0</v>
      </c>
      <c r="K68" s="43">
        <f>IF(8&gt;$Y$16,0,_xlfn.LET(_xlpm.sRR,F$18*$B20*$Y$5*$Y$6*$Y$33,_xlpm.sOR,F$18*$Y$5*$Y$6,_xlpm.sOI,$AE$33*_xlpm.sOR,_xlpm.sOD,$Y$23*_xlpm.sRR,_xlpm.sGR,_xlpm.sRR+_xlpm.sOI+_xlpm.sOD,_xlpm.sExp,$Z$33+$AB$33*_xlpm.sRR+($AC$33+INPUTS!$F$13)*_xlpm.sGR+$AD$33*_xlpm.sOR,_xlpm.sGR-_xlpm.sExp+$AA$33))</f>
        <v>0</v>
      </c>
      <c r="L68" s="43">
        <f>IF(9&gt;$Y$16,0,_xlfn.LET(_xlpm.sRR,F$18*$B20*$Y$5*$Y$6*$Y$34,_xlpm.sOR,F$18*$Y$5*$Y$6,_xlpm.sOI,$AE$34*_xlpm.sOR,_xlpm.sOD,$Y$23*_xlpm.sRR,_xlpm.sGR,_xlpm.sRR+_xlpm.sOI+_xlpm.sOD,_xlpm.sExp,$Z$34+$AB$34*_xlpm.sRR+($AC$34+INPUTS!$F$13)*_xlpm.sGR+$AD$34*_xlpm.sOR,_xlpm.sGR-_xlpm.sExp+$AA$34))</f>
        <v>0</v>
      </c>
      <c r="M68" s="43">
        <f>IF(10&gt;$Y$16,0,IF(10&lt;$Y$16,_xlfn.LET(_xlpm.sRR,F$18*$B20*$Y$5*$Y$6*$Y$35,_xlpm.sOR,F$18*$Y$5*$Y$6,_xlpm.sOI,$AE$35*_xlpm.sOR,_xlpm.sOD,$Y$23*_xlpm.sRR,_xlpm.sGR,_xlpm.sRR+_xlpm.sOI+_xlpm.sOD,_xlpm.sExp,$Z$35+$AB$35*_xlpm.sRR+($AC$35+INPUTS!$F$13)*_xlpm.sGR+$AD$35*_xlpm.sOR,_xlpm.sGR-_xlpm.sExp+$AA$35),_xlfn.LET(_xlpm.sRR,F$18*$B20*$Y$5*$Y$6*$Y$35,_xlpm.sOR,F$18*$Y$5*$Y$6,_xlpm.sOI,$AE$35*_xlpm.sOR,_xlpm.sOD,$Y$23*_xlpm.sRR,_xlpm.sGR,_xlpm.sRR+_xlpm.sOI+_xlpm.sOD,_xlpm.sExp,$Z$35+$AB$35*_xlpm.sRR+($AC$35+INPUTS!$F$13)*_xlpm.sGR+$AD$35*_xlpm.sOR,_xlpm.opCF,_xlpm.sGR-_xlpm.sExp+$AA$35,_xlpm.sale,F$18*$B20*$Y$5*$Y$6*$Y$15*(1-$Y$17),_xlpm.opCF+_xlpm.sale-$Y$22+$Y$24)))</f>
        <v>0</v>
      </c>
    </row>
    <row r="69" spans="2:13" hidden="1">
      <c r="B69" s="933" t="e">
        <f t="shared" si="11"/>
        <v>#VALUE!</v>
      </c>
      <c r="C69">
        <f t="shared" si="8"/>
        <v>0</v>
      </c>
      <c r="D69" s="43">
        <f>IF(1&gt;$Y$16,0,_xlfn.LET(_xlpm.sRR,F$18*$B21*$Y$5*$Y$6*$Y$26,_xlpm.sOR,F$18*$Y$5*$Y$6,_xlpm.sOI,$AE$26*_xlpm.sOR,_xlpm.sOD,$Y$23*_xlpm.sRR,_xlpm.sGR,_xlpm.sRR+_xlpm.sOI+_xlpm.sOD,_xlpm.sExp,$Z$26+$AB$26*_xlpm.sRR+($AC$26+INPUTS!$F$13)*_xlpm.sGR+$AD$26*_xlpm.sOR,_xlpm.sGR-_xlpm.sExp+$AA$26))</f>
        <v>0</v>
      </c>
      <c r="E69" s="43">
        <f>IF(2&gt;$Y$16,0,_xlfn.LET(_xlpm.sRR,F$18*$B21*$Y$5*$Y$6*$Y$27,_xlpm.sOR,F$18*$Y$5*$Y$6,_xlpm.sOI,$AE$27*_xlpm.sOR,_xlpm.sOD,$Y$23*_xlpm.sRR,_xlpm.sGR,_xlpm.sRR+_xlpm.sOI+_xlpm.sOD,_xlpm.sExp,$Z$27+$AB$27*_xlpm.sRR+($AC$27+INPUTS!$F$13)*_xlpm.sGR+$AD$27*_xlpm.sOR,_xlpm.sGR-_xlpm.sExp+$AA$27))</f>
        <v>0</v>
      </c>
      <c r="F69" s="43">
        <f>IF(3&gt;$Y$16,0,_xlfn.LET(_xlpm.sRR,F$18*$B21*$Y$5*$Y$6*$Y$28,_xlpm.sOR,F$18*$Y$5*$Y$6,_xlpm.sOI,$AE$28*_xlpm.sOR,_xlpm.sOD,$Y$23*_xlpm.sRR,_xlpm.sGR,_xlpm.sRR+_xlpm.sOI+_xlpm.sOD,_xlpm.sExp,$Z$28+$AB$28*_xlpm.sRR+($AC$28+INPUTS!$F$13)*_xlpm.sGR+$AD$28*_xlpm.sOR,_xlpm.sGR-_xlpm.sExp+$AA$28))</f>
        <v>0</v>
      </c>
      <c r="G69" s="43">
        <f>IF(4&gt;$Y$16,0,_xlfn.LET(_xlpm.sRR,F$18*$B21*$Y$5*$Y$6*$Y$29,_xlpm.sOR,F$18*$Y$5*$Y$6,_xlpm.sOI,$AE$29*_xlpm.sOR,_xlpm.sOD,$Y$23*_xlpm.sRR,_xlpm.sGR,_xlpm.sRR+_xlpm.sOI+_xlpm.sOD,_xlpm.sExp,$Z$29+$AB$29*_xlpm.sRR+($AC$29+INPUTS!$F$13)*_xlpm.sGR+$AD$29*_xlpm.sOR,_xlpm.sGR-_xlpm.sExp+$AA$29))</f>
        <v>0</v>
      </c>
      <c r="H69" s="43">
        <f>IF(5&gt;$Y$16,0,_xlfn.LET(_xlpm.sRR,F$18*$B21*$Y$5*$Y$6*$Y$30,_xlpm.sOR,F$18*$Y$5*$Y$6,_xlpm.sOI,$AE$30*_xlpm.sOR,_xlpm.sOD,$Y$23*_xlpm.sRR,_xlpm.sGR,_xlpm.sRR+_xlpm.sOI+_xlpm.sOD,_xlpm.sExp,$Z$30+$AB$30*_xlpm.sRR+($AC$30+INPUTS!$F$13)*_xlpm.sGR+$AD$30*_xlpm.sOR,_xlpm.sGR-_xlpm.sExp+$AA$30))</f>
        <v>0</v>
      </c>
      <c r="I69" s="43">
        <f>IF(6&gt;$Y$16,0,_xlfn.LET(_xlpm.sRR,F$18*$B21*$Y$5*$Y$6*$Y$31,_xlpm.sOR,F$18*$Y$5*$Y$6,_xlpm.sOI,$AE$31*_xlpm.sOR,_xlpm.sOD,$Y$23*_xlpm.sRR,_xlpm.sGR,_xlpm.sRR+_xlpm.sOI+_xlpm.sOD,_xlpm.sExp,$Z$31+$AB$31*_xlpm.sRR+($AC$31+INPUTS!$F$13)*_xlpm.sGR+$AD$31*_xlpm.sOR,_xlpm.sGR-_xlpm.sExp+$AA$31))</f>
        <v>0</v>
      </c>
      <c r="J69" s="43">
        <f>IF(7&gt;$Y$16,0,_xlfn.LET(_xlpm.sRR,F$18*$B21*$Y$5*$Y$6*$Y$32,_xlpm.sOR,F$18*$Y$5*$Y$6,_xlpm.sOI,$AE$32*_xlpm.sOR,_xlpm.sOD,$Y$23*_xlpm.sRR,_xlpm.sGR,_xlpm.sRR+_xlpm.sOI+_xlpm.sOD,_xlpm.sExp,$Z$32+$AB$32*_xlpm.sRR+($AC$32+INPUTS!$F$13)*_xlpm.sGR+$AD$32*_xlpm.sOR,_xlpm.sGR-_xlpm.sExp+$AA$32))</f>
        <v>0</v>
      </c>
      <c r="K69" s="43">
        <f>IF(8&gt;$Y$16,0,_xlfn.LET(_xlpm.sRR,F$18*$B21*$Y$5*$Y$6*$Y$33,_xlpm.sOR,F$18*$Y$5*$Y$6,_xlpm.sOI,$AE$33*_xlpm.sOR,_xlpm.sOD,$Y$23*_xlpm.sRR,_xlpm.sGR,_xlpm.sRR+_xlpm.sOI+_xlpm.sOD,_xlpm.sExp,$Z$33+$AB$33*_xlpm.sRR+($AC$33+INPUTS!$F$13)*_xlpm.sGR+$AD$33*_xlpm.sOR,_xlpm.sGR-_xlpm.sExp+$AA$33))</f>
        <v>0</v>
      </c>
      <c r="L69" s="43">
        <f>IF(9&gt;$Y$16,0,_xlfn.LET(_xlpm.sRR,F$18*$B21*$Y$5*$Y$6*$Y$34,_xlpm.sOR,F$18*$Y$5*$Y$6,_xlpm.sOI,$AE$34*_xlpm.sOR,_xlpm.sOD,$Y$23*_xlpm.sRR,_xlpm.sGR,_xlpm.sRR+_xlpm.sOI+_xlpm.sOD,_xlpm.sExp,$Z$34+$AB$34*_xlpm.sRR+($AC$34+INPUTS!$F$13)*_xlpm.sGR+$AD$34*_xlpm.sOR,_xlpm.sGR-_xlpm.sExp+$AA$34))</f>
        <v>0</v>
      </c>
      <c r="M69" s="43">
        <f>IF(10&gt;$Y$16,0,IF(10&lt;$Y$16,_xlfn.LET(_xlpm.sRR,F$18*$B21*$Y$5*$Y$6*$Y$35,_xlpm.sOR,F$18*$Y$5*$Y$6,_xlpm.sOI,$AE$35*_xlpm.sOR,_xlpm.sOD,$Y$23*_xlpm.sRR,_xlpm.sGR,_xlpm.sRR+_xlpm.sOI+_xlpm.sOD,_xlpm.sExp,$Z$35+$AB$35*_xlpm.sRR+($AC$35+INPUTS!$F$13)*_xlpm.sGR+$AD$35*_xlpm.sOR,_xlpm.sGR-_xlpm.sExp+$AA$35),_xlfn.LET(_xlpm.sRR,F$18*$B21*$Y$5*$Y$6*$Y$35,_xlpm.sOR,F$18*$Y$5*$Y$6,_xlpm.sOI,$AE$35*_xlpm.sOR,_xlpm.sOD,$Y$23*_xlpm.sRR,_xlpm.sGR,_xlpm.sRR+_xlpm.sOI+_xlpm.sOD,_xlpm.sExp,$Z$35+$AB$35*_xlpm.sRR+($AC$35+INPUTS!$F$13)*_xlpm.sGR+$AD$35*_xlpm.sOR,_xlpm.opCF,_xlpm.sGR-_xlpm.sExp+$AA$35,_xlpm.sale,F$18*$B21*$Y$5*$Y$6*$Y$15*(1-$Y$17),_xlpm.opCF+_xlpm.sale-$Y$22+$Y$24)))</f>
        <v>0</v>
      </c>
    </row>
    <row r="70" spans="2:13" hidden="1">
      <c r="B70" s="933" t="e">
        <f t="shared" si="11"/>
        <v>#VALUE!</v>
      </c>
      <c r="C70">
        <f t="shared" si="8"/>
        <v>0</v>
      </c>
      <c r="D70" s="43">
        <f>IF(1&gt;$Y$16,0,_xlfn.LET(_xlpm.sRR,F$18*$B22*$Y$5*$Y$6*$Y$26,_xlpm.sOR,F$18*$Y$5*$Y$6,_xlpm.sOI,$AE$26*_xlpm.sOR,_xlpm.sOD,$Y$23*_xlpm.sRR,_xlpm.sGR,_xlpm.sRR+_xlpm.sOI+_xlpm.sOD,_xlpm.sExp,$Z$26+$AB$26*_xlpm.sRR+($AC$26+INPUTS!$F$13)*_xlpm.sGR+$AD$26*_xlpm.sOR,_xlpm.sGR-_xlpm.sExp+$AA$26))</f>
        <v>0</v>
      </c>
      <c r="E70" s="43">
        <f>IF(2&gt;$Y$16,0,_xlfn.LET(_xlpm.sRR,F$18*$B22*$Y$5*$Y$6*$Y$27,_xlpm.sOR,F$18*$Y$5*$Y$6,_xlpm.sOI,$AE$27*_xlpm.sOR,_xlpm.sOD,$Y$23*_xlpm.sRR,_xlpm.sGR,_xlpm.sRR+_xlpm.sOI+_xlpm.sOD,_xlpm.sExp,$Z$27+$AB$27*_xlpm.sRR+($AC$27+INPUTS!$F$13)*_xlpm.sGR+$AD$27*_xlpm.sOR,_xlpm.sGR-_xlpm.sExp+$AA$27))</f>
        <v>0</v>
      </c>
      <c r="F70" s="43">
        <f>IF(3&gt;$Y$16,0,_xlfn.LET(_xlpm.sRR,F$18*$B22*$Y$5*$Y$6*$Y$28,_xlpm.sOR,F$18*$Y$5*$Y$6,_xlpm.sOI,$AE$28*_xlpm.sOR,_xlpm.sOD,$Y$23*_xlpm.sRR,_xlpm.sGR,_xlpm.sRR+_xlpm.sOI+_xlpm.sOD,_xlpm.sExp,$Z$28+$AB$28*_xlpm.sRR+($AC$28+INPUTS!$F$13)*_xlpm.sGR+$AD$28*_xlpm.sOR,_xlpm.sGR-_xlpm.sExp+$AA$28))</f>
        <v>0</v>
      </c>
      <c r="G70" s="43">
        <f>IF(4&gt;$Y$16,0,_xlfn.LET(_xlpm.sRR,F$18*$B22*$Y$5*$Y$6*$Y$29,_xlpm.sOR,F$18*$Y$5*$Y$6,_xlpm.sOI,$AE$29*_xlpm.sOR,_xlpm.sOD,$Y$23*_xlpm.sRR,_xlpm.sGR,_xlpm.sRR+_xlpm.sOI+_xlpm.sOD,_xlpm.sExp,$Z$29+$AB$29*_xlpm.sRR+($AC$29+INPUTS!$F$13)*_xlpm.sGR+$AD$29*_xlpm.sOR,_xlpm.sGR-_xlpm.sExp+$AA$29))</f>
        <v>0</v>
      </c>
      <c r="H70" s="43">
        <f>IF(5&gt;$Y$16,0,_xlfn.LET(_xlpm.sRR,F$18*$B22*$Y$5*$Y$6*$Y$30,_xlpm.sOR,F$18*$Y$5*$Y$6,_xlpm.sOI,$AE$30*_xlpm.sOR,_xlpm.sOD,$Y$23*_xlpm.sRR,_xlpm.sGR,_xlpm.sRR+_xlpm.sOI+_xlpm.sOD,_xlpm.sExp,$Z$30+$AB$30*_xlpm.sRR+($AC$30+INPUTS!$F$13)*_xlpm.sGR+$AD$30*_xlpm.sOR,_xlpm.sGR-_xlpm.sExp+$AA$30))</f>
        <v>0</v>
      </c>
      <c r="I70" s="43">
        <f>IF(6&gt;$Y$16,0,_xlfn.LET(_xlpm.sRR,F$18*$B22*$Y$5*$Y$6*$Y$31,_xlpm.sOR,F$18*$Y$5*$Y$6,_xlpm.sOI,$AE$31*_xlpm.sOR,_xlpm.sOD,$Y$23*_xlpm.sRR,_xlpm.sGR,_xlpm.sRR+_xlpm.sOI+_xlpm.sOD,_xlpm.sExp,$Z$31+$AB$31*_xlpm.sRR+($AC$31+INPUTS!$F$13)*_xlpm.sGR+$AD$31*_xlpm.sOR,_xlpm.sGR-_xlpm.sExp+$AA$31))</f>
        <v>0</v>
      </c>
      <c r="J70" s="43">
        <f>IF(7&gt;$Y$16,0,_xlfn.LET(_xlpm.sRR,F$18*$B22*$Y$5*$Y$6*$Y$32,_xlpm.sOR,F$18*$Y$5*$Y$6,_xlpm.sOI,$AE$32*_xlpm.sOR,_xlpm.sOD,$Y$23*_xlpm.sRR,_xlpm.sGR,_xlpm.sRR+_xlpm.sOI+_xlpm.sOD,_xlpm.sExp,$Z$32+$AB$32*_xlpm.sRR+($AC$32+INPUTS!$F$13)*_xlpm.sGR+$AD$32*_xlpm.sOR,_xlpm.sGR-_xlpm.sExp+$AA$32))</f>
        <v>0</v>
      </c>
      <c r="K70" s="43">
        <f>IF(8&gt;$Y$16,0,_xlfn.LET(_xlpm.sRR,F$18*$B22*$Y$5*$Y$6*$Y$33,_xlpm.sOR,F$18*$Y$5*$Y$6,_xlpm.sOI,$AE$33*_xlpm.sOR,_xlpm.sOD,$Y$23*_xlpm.sRR,_xlpm.sGR,_xlpm.sRR+_xlpm.sOI+_xlpm.sOD,_xlpm.sExp,$Z$33+$AB$33*_xlpm.sRR+($AC$33+INPUTS!$F$13)*_xlpm.sGR+$AD$33*_xlpm.sOR,_xlpm.sGR-_xlpm.sExp+$AA$33))</f>
        <v>0</v>
      </c>
      <c r="L70" s="43">
        <f>IF(9&gt;$Y$16,0,_xlfn.LET(_xlpm.sRR,F$18*$B22*$Y$5*$Y$6*$Y$34,_xlpm.sOR,F$18*$Y$5*$Y$6,_xlpm.sOI,$AE$34*_xlpm.sOR,_xlpm.sOD,$Y$23*_xlpm.sRR,_xlpm.sGR,_xlpm.sRR+_xlpm.sOI+_xlpm.sOD,_xlpm.sExp,$Z$34+$AB$34*_xlpm.sRR+($AC$34+INPUTS!$F$13)*_xlpm.sGR+$AD$34*_xlpm.sOR,_xlpm.sGR-_xlpm.sExp+$AA$34))</f>
        <v>0</v>
      </c>
      <c r="M70" s="43">
        <f>IF(10&gt;$Y$16,0,IF(10&lt;$Y$16,_xlfn.LET(_xlpm.sRR,F$18*$B22*$Y$5*$Y$6*$Y$35,_xlpm.sOR,F$18*$Y$5*$Y$6,_xlpm.sOI,$AE$35*_xlpm.sOR,_xlpm.sOD,$Y$23*_xlpm.sRR,_xlpm.sGR,_xlpm.sRR+_xlpm.sOI+_xlpm.sOD,_xlpm.sExp,$Z$35+$AB$35*_xlpm.sRR+($AC$35+INPUTS!$F$13)*_xlpm.sGR+$AD$35*_xlpm.sOR,_xlpm.sGR-_xlpm.sExp+$AA$35),_xlfn.LET(_xlpm.sRR,F$18*$B22*$Y$5*$Y$6*$Y$35,_xlpm.sOR,F$18*$Y$5*$Y$6,_xlpm.sOI,$AE$35*_xlpm.sOR,_xlpm.sOD,$Y$23*_xlpm.sRR,_xlpm.sGR,_xlpm.sRR+_xlpm.sOI+_xlpm.sOD,_xlpm.sExp,$Z$35+$AB$35*_xlpm.sRR+($AC$35+INPUTS!$F$13)*_xlpm.sGR+$AD$35*_xlpm.sOR,_xlpm.opCF,_xlpm.sGR-_xlpm.sExp+$AA$35,_xlpm.sale,F$18*$B22*$Y$5*$Y$6*$Y$15*(1-$Y$17),_xlpm.opCF+_xlpm.sale-$Y$22+$Y$24)))</f>
        <v>0</v>
      </c>
    </row>
    <row r="71" spans="2:13" hidden="1">
      <c r="B71" s="933" t="e">
        <f t="shared" si="11"/>
        <v>#VALUE!</v>
      </c>
      <c r="C71">
        <f t="shared" si="8"/>
        <v>0</v>
      </c>
      <c r="D71" s="43">
        <f>IF(1&gt;$Y$16,0,_xlfn.LET(_xlpm.sRR,F$18*$B23*$Y$5*$Y$6*$Y$26,_xlpm.sOR,F$18*$Y$5*$Y$6,_xlpm.sOI,$AE$26*_xlpm.sOR,_xlpm.sOD,$Y$23*_xlpm.sRR,_xlpm.sGR,_xlpm.sRR+_xlpm.sOI+_xlpm.sOD,_xlpm.sExp,$Z$26+$AB$26*_xlpm.sRR+($AC$26+INPUTS!$F$13)*_xlpm.sGR+$AD$26*_xlpm.sOR,_xlpm.sGR-_xlpm.sExp+$AA$26))</f>
        <v>0</v>
      </c>
      <c r="E71" s="43">
        <f>IF(2&gt;$Y$16,0,_xlfn.LET(_xlpm.sRR,F$18*$B23*$Y$5*$Y$6*$Y$27,_xlpm.sOR,F$18*$Y$5*$Y$6,_xlpm.sOI,$AE$27*_xlpm.sOR,_xlpm.sOD,$Y$23*_xlpm.sRR,_xlpm.sGR,_xlpm.sRR+_xlpm.sOI+_xlpm.sOD,_xlpm.sExp,$Z$27+$AB$27*_xlpm.sRR+($AC$27+INPUTS!$F$13)*_xlpm.sGR+$AD$27*_xlpm.sOR,_xlpm.sGR-_xlpm.sExp+$AA$27))</f>
        <v>0</v>
      </c>
      <c r="F71" s="43">
        <f>IF(3&gt;$Y$16,0,_xlfn.LET(_xlpm.sRR,F$18*$B23*$Y$5*$Y$6*$Y$28,_xlpm.sOR,F$18*$Y$5*$Y$6,_xlpm.sOI,$AE$28*_xlpm.sOR,_xlpm.sOD,$Y$23*_xlpm.sRR,_xlpm.sGR,_xlpm.sRR+_xlpm.sOI+_xlpm.sOD,_xlpm.sExp,$Z$28+$AB$28*_xlpm.sRR+($AC$28+INPUTS!$F$13)*_xlpm.sGR+$AD$28*_xlpm.sOR,_xlpm.sGR-_xlpm.sExp+$AA$28))</f>
        <v>0</v>
      </c>
      <c r="G71" s="43">
        <f>IF(4&gt;$Y$16,0,_xlfn.LET(_xlpm.sRR,F$18*$B23*$Y$5*$Y$6*$Y$29,_xlpm.sOR,F$18*$Y$5*$Y$6,_xlpm.sOI,$AE$29*_xlpm.sOR,_xlpm.sOD,$Y$23*_xlpm.sRR,_xlpm.sGR,_xlpm.sRR+_xlpm.sOI+_xlpm.sOD,_xlpm.sExp,$Z$29+$AB$29*_xlpm.sRR+($AC$29+INPUTS!$F$13)*_xlpm.sGR+$AD$29*_xlpm.sOR,_xlpm.sGR-_xlpm.sExp+$AA$29))</f>
        <v>0</v>
      </c>
      <c r="H71" s="43">
        <f>IF(5&gt;$Y$16,0,_xlfn.LET(_xlpm.sRR,F$18*$B23*$Y$5*$Y$6*$Y$30,_xlpm.sOR,F$18*$Y$5*$Y$6,_xlpm.sOI,$AE$30*_xlpm.sOR,_xlpm.sOD,$Y$23*_xlpm.sRR,_xlpm.sGR,_xlpm.sRR+_xlpm.sOI+_xlpm.sOD,_xlpm.sExp,$Z$30+$AB$30*_xlpm.sRR+($AC$30+INPUTS!$F$13)*_xlpm.sGR+$AD$30*_xlpm.sOR,_xlpm.sGR-_xlpm.sExp+$AA$30))</f>
        <v>0</v>
      </c>
      <c r="I71" s="43">
        <f>IF(6&gt;$Y$16,0,_xlfn.LET(_xlpm.sRR,F$18*$B23*$Y$5*$Y$6*$Y$31,_xlpm.sOR,F$18*$Y$5*$Y$6,_xlpm.sOI,$AE$31*_xlpm.sOR,_xlpm.sOD,$Y$23*_xlpm.sRR,_xlpm.sGR,_xlpm.sRR+_xlpm.sOI+_xlpm.sOD,_xlpm.sExp,$Z$31+$AB$31*_xlpm.sRR+($AC$31+INPUTS!$F$13)*_xlpm.sGR+$AD$31*_xlpm.sOR,_xlpm.sGR-_xlpm.sExp+$AA$31))</f>
        <v>0</v>
      </c>
      <c r="J71" s="43">
        <f>IF(7&gt;$Y$16,0,_xlfn.LET(_xlpm.sRR,F$18*$B23*$Y$5*$Y$6*$Y$32,_xlpm.sOR,F$18*$Y$5*$Y$6,_xlpm.sOI,$AE$32*_xlpm.sOR,_xlpm.sOD,$Y$23*_xlpm.sRR,_xlpm.sGR,_xlpm.sRR+_xlpm.sOI+_xlpm.sOD,_xlpm.sExp,$Z$32+$AB$32*_xlpm.sRR+($AC$32+INPUTS!$F$13)*_xlpm.sGR+$AD$32*_xlpm.sOR,_xlpm.sGR-_xlpm.sExp+$AA$32))</f>
        <v>0</v>
      </c>
      <c r="K71" s="43">
        <f>IF(8&gt;$Y$16,0,_xlfn.LET(_xlpm.sRR,F$18*$B23*$Y$5*$Y$6*$Y$33,_xlpm.sOR,F$18*$Y$5*$Y$6,_xlpm.sOI,$AE$33*_xlpm.sOR,_xlpm.sOD,$Y$23*_xlpm.sRR,_xlpm.sGR,_xlpm.sRR+_xlpm.sOI+_xlpm.sOD,_xlpm.sExp,$Z$33+$AB$33*_xlpm.sRR+($AC$33+INPUTS!$F$13)*_xlpm.sGR+$AD$33*_xlpm.sOR,_xlpm.sGR-_xlpm.sExp+$AA$33))</f>
        <v>0</v>
      </c>
      <c r="L71" s="43">
        <f>IF(9&gt;$Y$16,0,_xlfn.LET(_xlpm.sRR,F$18*$B23*$Y$5*$Y$6*$Y$34,_xlpm.sOR,F$18*$Y$5*$Y$6,_xlpm.sOI,$AE$34*_xlpm.sOR,_xlpm.sOD,$Y$23*_xlpm.sRR,_xlpm.sGR,_xlpm.sRR+_xlpm.sOI+_xlpm.sOD,_xlpm.sExp,$Z$34+$AB$34*_xlpm.sRR+($AC$34+INPUTS!$F$13)*_xlpm.sGR+$AD$34*_xlpm.sOR,_xlpm.sGR-_xlpm.sExp+$AA$34))</f>
        <v>0</v>
      </c>
      <c r="M71" s="43">
        <f>IF(10&gt;$Y$16,0,IF(10&lt;$Y$16,_xlfn.LET(_xlpm.sRR,F$18*$B23*$Y$5*$Y$6*$Y$35,_xlpm.sOR,F$18*$Y$5*$Y$6,_xlpm.sOI,$AE$35*_xlpm.sOR,_xlpm.sOD,$Y$23*_xlpm.sRR,_xlpm.sGR,_xlpm.sRR+_xlpm.sOI+_xlpm.sOD,_xlpm.sExp,$Z$35+$AB$35*_xlpm.sRR+($AC$35+INPUTS!$F$13)*_xlpm.sGR+$AD$35*_xlpm.sOR,_xlpm.sGR-_xlpm.sExp+$AA$35),_xlfn.LET(_xlpm.sRR,F$18*$B23*$Y$5*$Y$6*$Y$35,_xlpm.sOR,F$18*$Y$5*$Y$6,_xlpm.sOI,$AE$35*_xlpm.sOR,_xlpm.sOD,$Y$23*_xlpm.sRR,_xlpm.sGR,_xlpm.sRR+_xlpm.sOI+_xlpm.sOD,_xlpm.sExp,$Z$35+$AB$35*_xlpm.sRR+($AC$35+INPUTS!$F$13)*_xlpm.sGR+$AD$35*_xlpm.sOR,_xlpm.opCF,_xlpm.sGR-_xlpm.sExp+$AA$35,_xlpm.sale,F$18*$B23*$Y$5*$Y$6*$Y$15*(1-$Y$17),_xlpm.opCF+_xlpm.sale-$Y$22+$Y$24)))</f>
        <v>0</v>
      </c>
    </row>
    <row r="72" spans="2:13" hidden="1">
      <c r="B72" s="933" t="e">
        <f t="shared" si="11"/>
        <v>#VALUE!</v>
      </c>
      <c r="C72">
        <f t="shared" si="8"/>
        <v>0</v>
      </c>
      <c r="D72" s="43">
        <f>IF(1&gt;$Y$16,0,_xlfn.LET(_xlpm.sRR,F$18*$B24*$Y$5*$Y$6*$Y$26,_xlpm.sOR,F$18*$Y$5*$Y$6,_xlpm.sOI,$AE$26*_xlpm.sOR,_xlpm.sOD,$Y$23*_xlpm.sRR,_xlpm.sGR,_xlpm.sRR+_xlpm.sOI+_xlpm.sOD,_xlpm.sExp,$Z$26+$AB$26*_xlpm.sRR+($AC$26+INPUTS!$F$13)*_xlpm.sGR+$AD$26*_xlpm.sOR,_xlpm.sGR-_xlpm.sExp+$AA$26))</f>
        <v>0</v>
      </c>
      <c r="E72" s="43">
        <f>IF(2&gt;$Y$16,0,_xlfn.LET(_xlpm.sRR,F$18*$B24*$Y$5*$Y$6*$Y$27,_xlpm.sOR,F$18*$Y$5*$Y$6,_xlpm.sOI,$AE$27*_xlpm.sOR,_xlpm.sOD,$Y$23*_xlpm.sRR,_xlpm.sGR,_xlpm.sRR+_xlpm.sOI+_xlpm.sOD,_xlpm.sExp,$Z$27+$AB$27*_xlpm.sRR+($AC$27+INPUTS!$F$13)*_xlpm.sGR+$AD$27*_xlpm.sOR,_xlpm.sGR-_xlpm.sExp+$AA$27))</f>
        <v>0</v>
      </c>
      <c r="F72" s="43">
        <f>IF(3&gt;$Y$16,0,_xlfn.LET(_xlpm.sRR,F$18*$B24*$Y$5*$Y$6*$Y$28,_xlpm.sOR,F$18*$Y$5*$Y$6,_xlpm.sOI,$AE$28*_xlpm.sOR,_xlpm.sOD,$Y$23*_xlpm.sRR,_xlpm.sGR,_xlpm.sRR+_xlpm.sOI+_xlpm.sOD,_xlpm.sExp,$Z$28+$AB$28*_xlpm.sRR+($AC$28+INPUTS!$F$13)*_xlpm.sGR+$AD$28*_xlpm.sOR,_xlpm.sGR-_xlpm.sExp+$AA$28))</f>
        <v>0</v>
      </c>
      <c r="G72" s="43">
        <f>IF(4&gt;$Y$16,0,_xlfn.LET(_xlpm.sRR,F$18*$B24*$Y$5*$Y$6*$Y$29,_xlpm.sOR,F$18*$Y$5*$Y$6,_xlpm.sOI,$AE$29*_xlpm.sOR,_xlpm.sOD,$Y$23*_xlpm.sRR,_xlpm.sGR,_xlpm.sRR+_xlpm.sOI+_xlpm.sOD,_xlpm.sExp,$Z$29+$AB$29*_xlpm.sRR+($AC$29+INPUTS!$F$13)*_xlpm.sGR+$AD$29*_xlpm.sOR,_xlpm.sGR-_xlpm.sExp+$AA$29))</f>
        <v>0</v>
      </c>
      <c r="H72" s="43">
        <f>IF(5&gt;$Y$16,0,_xlfn.LET(_xlpm.sRR,F$18*$B24*$Y$5*$Y$6*$Y$30,_xlpm.sOR,F$18*$Y$5*$Y$6,_xlpm.sOI,$AE$30*_xlpm.sOR,_xlpm.sOD,$Y$23*_xlpm.sRR,_xlpm.sGR,_xlpm.sRR+_xlpm.sOI+_xlpm.sOD,_xlpm.sExp,$Z$30+$AB$30*_xlpm.sRR+($AC$30+INPUTS!$F$13)*_xlpm.sGR+$AD$30*_xlpm.sOR,_xlpm.sGR-_xlpm.sExp+$AA$30))</f>
        <v>0</v>
      </c>
      <c r="I72" s="43">
        <f>IF(6&gt;$Y$16,0,_xlfn.LET(_xlpm.sRR,F$18*$B24*$Y$5*$Y$6*$Y$31,_xlpm.sOR,F$18*$Y$5*$Y$6,_xlpm.sOI,$AE$31*_xlpm.sOR,_xlpm.sOD,$Y$23*_xlpm.sRR,_xlpm.sGR,_xlpm.sRR+_xlpm.sOI+_xlpm.sOD,_xlpm.sExp,$Z$31+$AB$31*_xlpm.sRR+($AC$31+INPUTS!$F$13)*_xlpm.sGR+$AD$31*_xlpm.sOR,_xlpm.sGR-_xlpm.sExp+$AA$31))</f>
        <v>0</v>
      </c>
      <c r="J72" s="43">
        <f>IF(7&gt;$Y$16,0,_xlfn.LET(_xlpm.sRR,F$18*$B24*$Y$5*$Y$6*$Y$32,_xlpm.sOR,F$18*$Y$5*$Y$6,_xlpm.sOI,$AE$32*_xlpm.sOR,_xlpm.sOD,$Y$23*_xlpm.sRR,_xlpm.sGR,_xlpm.sRR+_xlpm.sOI+_xlpm.sOD,_xlpm.sExp,$Z$32+$AB$32*_xlpm.sRR+($AC$32+INPUTS!$F$13)*_xlpm.sGR+$AD$32*_xlpm.sOR,_xlpm.sGR-_xlpm.sExp+$AA$32))</f>
        <v>0</v>
      </c>
      <c r="K72" s="43">
        <f>IF(8&gt;$Y$16,0,_xlfn.LET(_xlpm.sRR,F$18*$B24*$Y$5*$Y$6*$Y$33,_xlpm.sOR,F$18*$Y$5*$Y$6,_xlpm.sOI,$AE$33*_xlpm.sOR,_xlpm.sOD,$Y$23*_xlpm.sRR,_xlpm.sGR,_xlpm.sRR+_xlpm.sOI+_xlpm.sOD,_xlpm.sExp,$Z$33+$AB$33*_xlpm.sRR+($AC$33+INPUTS!$F$13)*_xlpm.sGR+$AD$33*_xlpm.sOR,_xlpm.sGR-_xlpm.sExp+$AA$33))</f>
        <v>0</v>
      </c>
      <c r="L72" s="43">
        <f>IF(9&gt;$Y$16,0,_xlfn.LET(_xlpm.sRR,F$18*$B24*$Y$5*$Y$6*$Y$34,_xlpm.sOR,F$18*$Y$5*$Y$6,_xlpm.sOI,$AE$34*_xlpm.sOR,_xlpm.sOD,$Y$23*_xlpm.sRR,_xlpm.sGR,_xlpm.sRR+_xlpm.sOI+_xlpm.sOD,_xlpm.sExp,$Z$34+$AB$34*_xlpm.sRR+($AC$34+INPUTS!$F$13)*_xlpm.sGR+$AD$34*_xlpm.sOR,_xlpm.sGR-_xlpm.sExp+$AA$34))</f>
        <v>0</v>
      </c>
      <c r="M72" s="43">
        <f>IF(10&gt;$Y$16,0,IF(10&lt;$Y$16,_xlfn.LET(_xlpm.sRR,F$18*$B24*$Y$5*$Y$6*$Y$35,_xlpm.sOR,F$18*$Y$5*$Y$6,_xlpm.sOI,$AE$35*_xlpm.sOR,_xlpm.sOD,$Y$23*_xlpm.sRR,_xlpm.sGR,_xlpm.sRR+_xlpm.sOI+_xlpm.sOD,_xlpm.sExp,$Z$35+$AB$35*_xlpm.sRR+($AC$35+INPUTS!$F$13)*_xlpm.sGR+$AD$35*_xlpm.sOR,_xlpm.sGR-_xlpm.sExp+$AA$35),_xlfn.LET(_xlpm.sRR,F$18*$B24*$Y$5*$Y$6*$Y$35,_xlpm.sOR,F$18*$Y$5*$Y$6,_xlpm.sOI,$AE$35*_xlpm.sOR,_xlpm.sOD,$Y$23*_xlpm.sRR,_xlpm.sGR,_xlpm.sRR+_xlpm.sOI+_xlpm.sOD,_xlpm.sExp,$Z$35+$AB$35*_xlpm.sRR+($AC$35+INPUTS!$F$13)*_xlpm.sGR+$AD$35*_xlpm.sOR,_xlpm.opCF,_xlpm.sGR-_xlpm.sExp+$AA$35,_xlpm.sale,F$18*$B24*$Y$5*$Y$6*$Y$15*(1-$Y$17),_xlpm.opCF+_xlpm.sale-$Y$22+$Y$24)))</f>
        <v>0</v>
      </c>
    </row>
    <row r="73" spans="2:13" hidden="1">
      <c r="B73" s="933" t="e">
        <f t="shared" si="11"/>
        <v>#VALUE!</v>
      </c>
      <c r="C73">
        <f t="shared" si="8"/>
        <v>0</v>
      </c>
      <c r="D73" s="43">
        <f>IF(1&gt;$Y$16,0,_xlfn.LET(_xlpm.sRR,F$18*$B25*$Y$5*$Y$6*$Y$26,_xlpm.sOR,F$18*$Y$5*$Y$6,_xlpm.sOI,$AE$26*_xlpm.sOR,_xlpm.sOD,$Y$23*_xlpm.sRR,_xlpm.sGR,_xlpm.sRR+_xlpm.sOI+_xlpm.sOD,_xlpm.sExp,$Z$26+$AB$26*_xlpm.sRR+($AC$26+INPUTS!$F$13)*_xlpm.sGR+$AD$26*_xlpm.sOR,_xlpm.sGR-_xlpm.sExp+$AA$26))</f>
        <v>0</v>
      </c>
      <c r="E73" s="43">
        <f>IF(2&gt;$Y$16,0,_xlfn.LET(_xlpm.sRR,F$18*$B25*$Y$5*$Y$6*$Y$27,_xlpm.sOR,F$18*$Y$5*$Y$6,_xlpm.sOI,$AE$27*_xlpm.sOR,_xlpm.sOD,$Y$23*_xlpm.sRR,_xlpm.sGR,_xlpm.sRR+_xlpm.sOI+_xlpm.sOD,_xlpm.sExp,$Z$27+$AB$27*_xlpm.sRR+($AC$27+INPUTS!$F$13)*_xlpm.sGR+$AD$27*_xlpm.sOR,_xlpm.sGR-_xlpm.sExp+$AA$27))</f>
        <v>0</v>
      </c>
      <c r="F73" s="43">
        <f>IF(3&gt;$Y$16,0,_xlfn.LET(_xlpm.sRR,F$18*$B25*$Y$5*$Y$6*$Y$28,_xlpm.sOR,F$18*$Y$5*$Y$6,_xlpm.sOI,$AE$28*_xlpm.sOR,_xlpm.sOD,$Y$23*_xlpm.sRR,_xlpm.sGR,_xlpm.sRR+_xlpm.sOI+_xlpm.sOD,_xlpm.sExp,$Z$28+$AB$28*_xlpm.sRR+($AC$28+INPUTS!$F$13)*_xlpm.sGR+$AD$28*_xlpm.sOR,_xlpm.sGR-_xlpm.sExp+$AA$28))</f>
        <v>0</v>
      </c>
      <c r="G73" s="43">
        <f>IF(4&gt;$Y$16,0,_xlfn.LET(_xlpm.sRR,F$18*$B25*$Y$5*$Y$6*$Y$29,_xlpm.sOR,F$18*$Y$5*$Y$6,_xlpm.sOI,$AE$29*_xlpm.sOR,_xlpm.sOD,$Y$23*_xlpm.sRR,_xlpm.sGR,_xlpm.sRR+_xlpm.sOI+_xlpm.sOD,_xlpm.sExp,$Z$29+$AB$29*_xlpm.sRR+($AC$29+INPUTS!$F$13)*_xlpm.sGR+$AD$29*_xlpm.sOR,_xlpm.sGR-_xlpm.sExp+$AA$29))</f>
        <v>0</v>
      </c>
      <c r="H73" s="43">
        <f>IF(5&gt;$Y$16,0,_xlfn.LET(_xlpm.sRR,F$18*$B25*$Y$5*$Y$6*$Y$30,_xlpm.sOR,F$18*$Y$5*$Y$6,_xlpm.sOI,$AE$30*_xlpm.sOR,_xlpm.sOD,$Y$23*_xlpm.sRR,_xlpm.sGR,_xlpm.sRR+_xlpm.sOI+_xlpm.sOD,_xlpm.sExp,$Z$30+$AB$30*_xlpm.sRR+($AC$30+INPUTS!$F$13)*_xlpm.sGR+$AD$30*_xlpm.sOR,_xlpm.sGR-_xlpm.sExp+$AA$30))</f>
        <v>0</v>
      </c>
      <c r="I73" s="43">
        <f>IF(6&gt;$Y$16,0,_xlfn.LET(_xlpm.sRR,F$18*$B25*$Y$5*$Y$6*$Y$31,_xlpm.sOR,F$18*$Y$5*$Y$6,_xlpm.sOI,$AE$31*_xlpm.sOR,_xlpm.sOD,$Y$23*_xlpm.sRR,_xlpm.sGR,_xlpm.sRR+_xlpm.sOI+_xlpm.sOD,_xlpm.sExp,$Z$31+$AB$31*_xlpm.sRR+($AC$31+INPUTS!$F$13)*_xlpm.sGR+$AD$31*_xlpm.sOR,_xlpm.sGR-_xlpm.sExp+$AA$31))</f>
        <v>0</v>
      </c>
      <c r="J73" s="43">
        <f>IF(7&gt;$Y$16,0,_xlfn.LET(_xlpm.sRR,F$18*$B25*$Y$5*$Y$6*$Y$32,_xlpm.sOR,F$18*$Y$5*$Y$6,_xlpm.sOI,$AE$32*_xlpm.sOR,_xlpm.sOD,$Y$23*_xlpm.sRR,_xlpm.sGR,_xlpm.sRR+_xlpm.sOI+_xlpm.sOD,_xlpm.sExp,$Z$32+$AB$32*_xlpm.sRR+($AC$32+INPUTS!$F$13)*_xlpm.sGR+$AD$32*_xlpm.sOR,_xlpm.sGR-_xlpm.sExp+$AA$32))</f>
        <v>0</v>
      </c>
      <c r="K73" s="43">
        <f>IF(8&gt;$Y$16,0,_xlfn.LET(_xlpm.sRR,F$18*$B25*$Y$5*$Y$6*$Y$33,_xlpm.sOR,F$18*$Y$5*$Y$6,_xlpm.sOI,$AE$33*_xlpm.sOR,_xlpm.sOD,$Y$23*_xlpm.sRR,_xlpm.sGR,_xlpm.sRR+_xlpm.sOI+_xlpm.sOD,_xlpm.sExp,$Z$33+$AB$33*_xlpm.sRR+($AC$33+INPUTS!$F$13)*_xlpm.sGR+$AD$33*_xlpm.sOR,_xlpm.sGR-_xlpm.sExp+$AA$33))</f>
        <v>0</v>
      </c>
      <c r="L73" s="43">
        <f>IF(9&gt;$Y$16,0,_xlfn.LET(_xlpm.sRR,F$18*$B25*$Y$5*$Y$6*$Y$34,_xlpm.sOR,F$18*$Y$5*$Y$6,_xlpm.sOI,$AE$34*_xlpm.sOR,_xlpm.sOD,$Y$23*_xlpm.sRR,_xlpm.sGR,_xlpm.sRR+_xlpm.sOI+_xlpm.sOD,_xlpm.sExp,$Z$34+$AB$34*_xlpm.sRR+($AC$34+INPUTS!$F$13)*_xlpm.sGR+$AD$34*_xlpm.sOR,_xlpm.sGR-_xlpm.sExp+$AA$34))</f>
        <v>0</v>
      </c>
      <c r="M73" s="43">
        <f>IF(10&gt;$Y$16,0,IF(10&lt;$Y$16,_xlfn.LET(_xlpm.sRR,F$18*$B25*$Y$5*$Y$6*$Y$35,_xlpm.sOR,F$18*$Y$5*$Y$6,_xlpm.sOI,$AE$35*_xlpm.sOR,_xlpm.sOD,$Y$23*_xlpm.sRR,_xlpm.sGR,_xlpm.sRR+_xlpm.sOI+_xlpm.sOD,_xlpm.sExp,$Z$35+$AB$35*_xlpm.sRR+($AC$35+INPUTS!$F$13)*_xlpm.sGR+$AD$35*_xlpm.sOR,_xlpm.sGR-_xlpm.sExp+$AA$35),_xlfn.LET(_xlpm.sRR,F$18*$B25*$Y$5*$Y$6*$Y$35,_xlpm.sOR,F$18*$Y$5*$Y$6,_xlpm.sOI,$AE$35*_xlpm.sOR,_xlpm.sOD,$Y$23*_xlpm.sRR,_xlpm.sGR,_xlpm.sRR+_xlpm.sOI+_xlpm.sOD,_xlpm.sExp,$Z$35+$AB$35*_xlpm.sRR+($AC$35+INPUTS!$F$13)*_xlpm.sGR+$AD$35*_xlpm.sOR,_xlpm.opCF,_xlpm.sGR-_xlpm.sExp+$AA$35,_xlpm.sale,F$18*$B25*$Y$5*$Y$6*$Y$15*(1-$Y$17),_xlpm.opCF+_xlpm.sale-$Y$22+$Y$24)))</f>
        <v>0</v>
      </c>
    </row>
    <row r="74" spans="2:13" hidden="1">
      <c r="B74" s="933" t="e">
        <f t="shared" ref="B74:B80" si="12">G$18&amp;" × $"&amp;TEXT($B19,"0")</f>
        <v>#VALUE!</v>
      </c>
      <c r="C74">
        <f t="shared" si="8"/>
        <v>0</v>
      </c>
      <c r="D74" s="43">
        <f>IF(1&gt;$Y$16,0,_xlfn.LET(_xlpm.sRR,G$18*$B19*$Y$5*$Y$6*$Y$26,_xlpm.sOR,G$18*$Y$5*$Y$6,_xlpm.sOI,$AE$26*_xlpm.sOR,_xlpm.sOD,$Y$23*_xlpm.sRR,_xlpm.sGR,_xlpm.sRR+_xlpm.sOI+_xlpm.sOD,_xlpm.sExp,$Z$26+$AB$26*_xlpm.sRR+($AC$26+INPUTS!$F$13)*_xlpm.sGR+$AD$26*_xlpm.sOR,_xlpm.sGR-_xlpm.sExp+$AA$26))</f>
        <v>0</v>
      </c>
      <c r="E74" s="43">
        <f>IF(2&gt;$Y$16,0,_xlfn.LET(_xlpm.sRR,G$18*$B19*$Y$5*$Y$6*$Y$27,_xlpm.sOR,G$18*$Y$5*$Y$6,_xlpm.sOI,$AE$27*_xlpm.sOR,_xlpm.sOD,$Y$23*_xlpm.sRR,_xlpm.sGR,_xlpm.sRR+_xlpm.sOI+_xlpm.sOD,_xlpm.sExp,$Z$27+$AB$27*_xlpm.sRR+($AC$27+INPUTS!$F$13)*_xlpm.sGR+$AD$27*_xlpm.sOR,_xlpm.sGR-_xlpm.sExp+$AA$27))</f>
        <v>0</v>
      </c>
      <c r="F74" s="43">
        <f>IF(3&gt;$Y$16,0,_xlfn.LET(_xlpm.sRR,G$18*$B19*$Y$5*$Y$6*$Y$28,_xlpm.sOR,G$18*$Y$5*$Y$6,_xlpm.sOI,$AE$28*_xlpm.sOR,_xlpm.sOD,$Y$23*_xlpm.sRR,_xlpm.sGR,_xlpm.sRR+_xlpm.sOI+_xlpm.sOD,_xlpm.sExp,$Z$28+$AB$28*_xlpm.sRR+($AC$28+INPUTS!$F$13)*_xlpm.sGR+$AD$28*_xlpm.sOR,_xlpm.sGR-_xlpm.sExp+$AA$28))</f>
        <v>0</v>
      </c>
      <c r="G74" s="43">
        <f>IF(4&gt;$Y$16,0,_xlfn.LET(_xlpm.sRR,G$18*$B19*$Y$5*$Y$6*$Y$29,_xlpm.sOR,G$18*$Y$5*$Y$6,_xlpm.sOI,$AE$29*_xlpm.sOR,_xlpm.sOD,$Y$23*_xlpm.sRR,_xlpm.sGR,_xlpm.sRR+_xlpm.sOI+_xlpm.sOD,_xlpm.sExp,$Z$29+$AB$29*_xlpm.sRR+($AC$29+INPUTS!$F$13)*_xlpm.sGR+$AD$29*_xlpm.sOR,_xlpm.sGR-_xlpm.sExp+$AA$29))</f>
        <v>0</v>
      </c>
      <c r="H74" s="43">
        <f>IF(5&gt;$Y$16,0,_xlfn.LET(_xlpm.sRR,G$18*$B19*$Y$5*$Y$6*$Y$30,_xlpm.sOR,G$18*$Y$5*$Y$6,_xlpm.sOI,$AE$30*_xlpm.sOR,_xlpm.sOD,$Y$23*_xlpm.sRR,_xlpm.sGR,_xlpm.sRR+_xlpm.sOI+_xlpm.sOD,_xlpm.sExp,$Z$30+$AB$30*_xlpm.sRR+($AC$30+INPUTS!$F$13)*_xlpm.sGR+$AD$30*_xlpm.sOR,_xlpm.sGR-_xlpm.sExp+$AA$30))</f>
        <v>0</v>
      </c>
      <c r="I74" s="43">
        <f>IF(6&gt;$Y$16,0,_xlfn.LET(_xlpm.sRR,G$18*$B19*$Y$5*$Y$6*$Y$31,_xlpm.sOR,G$18*$Y$5*$Y$6,_xlpm.sOI,$AE$31*_xlpm.sOR,_xlpm.sOD,$Y$23*_xlpm.sRR,_xlpm.sGR,_xlpm.sRR+_xlpm.sOI+_xlpm.sOD,_xlpm.sExp,$Z$31+$AB$31*_xlpm.sRR+($AC$31+INPUTS!$F$13)*_xlpm.sGR+$AD$31*_xlpm.sOR,_xlpm.sGR-_xlpm.sExp+$AA$31))</f>
        <v>0</v>
      </c>
      <c r="J74" s="43">
        <f>IF(7&gt;$Y$16,0,_xlfn.LET(_xlpm.sRR,G$18*$B19*$Y$5*$Y$6*$Y$32,_xlpm.sOR,G$18*$Y$5*$Y$6,_xlpm.sOI,$AE$32*_xlpm.sOR,_xlpm.sOD,$Y$23*_xlpm.sRR,_xlpm.sGR,_xlpm.sRR+_xlpm.sOI+_xlpm.sOD,_xlpm.sExp,$Z$32+$AB$32*_xlpm.sRR+($AC$32+INPUTS!$F$13)*_xlpm.sGR+$AD$32*_xlpm.sOR,_xlpm.sGR-_xlpm.sExp+$AA$32))</f>
        <v>0</v>
      </c>
      <c r="K74" s="43">
        <f>IF(8&gt;$Y$16,0,_xlfn.LET(_xlpm.sRR,G$18*$B19*$Y$5*$Y$6*$Y$33,_xlpm.sOR,G$18*$Y$5*$Y$6,_xlpm.sOI,$AE$33*_xlpm.sOR,_xlpm.sOD,$Y$23*_xlpm.sRR,_xlpm.sGR,_xlpm.sRR+_xlpm.sOI+_xlpm.sOD,_xlpm.sExp,$Z$33+$AB$33*_xlpm.sRR+($AC$33+INPUTS!$F$13)*_xlpm.sGR+$AD$33*_xlpm.sOR,_xlpm.sGR-_xlpm.sExp+$AA$33))</f>
        <v>0</v>
      </c>
      <c r="L74" s="43">
        <f>IF(9&gt;$Y$16,0,_xlfn.LET(_xlpm.sRR,G$18*$B19*$Y$5*$Y$6*$Y$34,_xlpm.sOR,G$18*$Y$5*$Y$6,_xlpm.sOI,$AE$34*_xlpm.sOR,_xlpm.sOD,$Y$23*_xlpm.sRR,_xlpm.sGR,_xlpm.sRR+_xlpm.sOI+_xlpm.sOD,_xlpm.sExp,$Z$34+$AB$34*_xlpm.sRR+($AC$34+INPUTS!$F$13)*_xlpm.sGR+$AD$34*_xlpm.sOR,_xlpm.sGR-_xlpm.sExp+$AA$34))</f>
        <v>0</v>
      </c>
      <c r="M74" s="43">
        <f>IF(10&gt;$Y$16,0,IF(10&lt;$Y$16,_xlfn.LET(_xlpm.sRR,G$18*$B19*$Y$5*$Y$6*$Y$35,_xlpm.sOR,G$18*$Y$5*$Y$6,_xlpm.sOI,$AE$35*_xlpm.sOR,_xlpm.sOD,$Y$23*_xlpm.sRR,_xlpm.sGR,_xlpm.sRR+_xlpm.sOI+_xlpm.sOD,_xlpm.sExp,$Z$35+$AB$35*_xlpm.sRR+($AC$35+INPUTS!$F$13)*_xlpm.sGR+$AD$35*_xlpm.sOR,_xlpm.sGR-_xlpm.sExp+$AA$35),_xlfn.LET(_xlpm.sRR,G$18*$B19*$Y$5*$Y$6*$Y$35,_xlpm.sOR,G$18*$Y$5*$Y$6,_xlpm.sOI,$AE$35*_xlpm.sOR,_xlpm.sOD,$Y$23*_xlpm.sRR,_xlpm.sGR,_xlpm.sRR+_xlpm.sOI+_xlpm.sOD,_xlpm.sExp,$Z$35+$AB$35*_xlpm.sRR+($AC$35+INPUTS!$F$13)*_xlpm.sGR+$AD$35*_xlpm.sOR,_xlpm.opCF,_xlpm.sGR-_xlpm.sExp+$AA$35,_xlpm.sale,G$18*$B19*$Y$5*$Y$6*$Y$15*(1-$Y$17),_xlpm.opCF+_xlpm.sale-$Y$22+$Y$24)))</f>
        <v>0</v>
      </c>
    </row>
    <row r="75" spans="2:13" hidden="1">
      <c r="B75" s="933" t="e">
        <f t="shared" si="12"/>
        <v>#VALUE!</v>
      </c>
      <c r="C75">
        <f t="shared" si="8"/>
        <v>0</v>
      </c>
      <c r="D75" s="43">
        <f>IF(1&gt;$Y$16,0,_xlfn.LET(_xlpm.sRR,G$18*$B20*$Y$5*$Y$6*$Y$26,_xlpm.sOR,G$18*$Y$5*$Y$6,_xlpm.sOI,$AE$26*_xlpm.sOR,_xlpm.sOD,$Y$23*_xlpm.sRR,_xlpm.sGR,_xlpm.sRR+_xlpm.sOI+_xlpm.sOD,_xlpm.sExp,$Z$26+$AB$26*_xlpm.sRR+($AC$26+INPUTS!$F$13)*_xlpm.sGR+$AD$26*_xlpm.sOR,_xlpm.sGR-_xlpm.sExp+$AA$26))</f>
        <v>0</v>
      </c>
      <c r="E75" s="43">
        <f>IF(2&gt;$Y$16,0,_xlfn.LET(_xlpm.sRR,G$18*$B20*$Y$5*$Y$6*$Y$27,_xlpm.sOR,G$18*$Y$5*$Y$6,_xlpm.sOI,$AE$27*_xlpm.sOR,_xlpm.sOD,$Y$23*_xlpm.sRR,_xlpm.sGR,_xlpm.sRR+_xlpm.sOI+_xlpm.sOD,_xlpm.sExp,$Z$27+$AB$27*_xlpm.sRR+($AC$27+INPUTS!$F$13)*_xlpm.sGR+$AD$27*_xlpm.sOR,_xlpm.sGR-_xlpm.sExp+$AA$27))</f>
        <v>0</v>
      </c>
      <c r="F75" s="43">
        <f>IF(3&gt;$Y$16,0,_xlfn.LET(_xlpm.sRR,G$18*$B20*$Y$5*$Y$6*$Y$28,_xlpm.sOR,G$18*$Y$5*$Y$6,_xlpm.sOI,$AE$28*_xlpm.sOR,_xlpm.sOD,$Y$23*_xlpm.sRR,_xlpm.sGR,_xlpm.sRR+_xlpm.sOI+_xlpm.sOD,_xlpm.sExp,$Z$28+$AB$28*_xlpm.sRR+($AC$28+INPUTS!$F$13)*_xlpm.sGR+$AD$28*_xlpm.sOR,_xlpm.sGR-_xlpm.sExp+$AA$28))</f>
        <v>0</v>
      </c>
      <c r="G75" s="43">
        <f>IF(4&gt;$Y$16,0,_xlfn.LET(_xlpm.sRR,G$18*$B20*$Y$5*$Y$6*$Y$29,_xlpm.sOR,G$18*$Y$5*$Y$6,_xlpm.sOI,$AE$29*_xlpm.sOR,_xlpm.sOD,$Y$23*_xlpm.sRR,_xlpm.sGR,_xlpm.sRR+_xlpm.sOI+_xlpm.sOD,_xlpm.sExp,$Z$29+$AB$29*_xlpm.sRR+($AC$29+INPUTS!$F$13)*_xlpm.sGR+$AD$29*_xlpm.sOR,_xlpm.sGR-_xlpm.sExp+$AA$29))</f>
        <v>0</v>
      </c>
      <c r="H75" s="43">
        <f>IF(5&gt;$Y$16,0,_xlfn.LET(_xlpm.sRR,G$18*$B20*$Y$5*$Y$6*$Y$30,_xlpm.sOR,G$18*$Y$5*$Y$6,_xlpm.sOI,$AE$30*_xlpm.sOR,_xlpm.sOD,$Y$23*_xlpm.sRR,_xlpm.sGR,_xlpm.sRR+_xlpm.sOI+_xlpm.sOD,_xlpm.sExp,$Z$30+$AB$30*_xlpm.sRR+($AC$30+INPUTS!$F$13)*_xlpm.sGR+$AD$30*_xlpm.sOR,_xlpm.sGR-_xlpm.sExp+$AA$30))</f>
        <v>0</v>
      </c>
      <c r="I75" s="43">
        <f>IF(6&gt;$Y$16,0,_xlfn.LET(_xlpm.sRR,G$18*$B20*$Y$5*$Y$6*$Y$31,_xlpm.sOR,G$18*$Y$5*$Y$6,_xlpm.sOI,$AE$31*_xlpm.sOR,_xlpm.sOD,$Y$23*_xlpm.sRR,_xlpm.sGR,_xlpm.sRR+_xlpm.sOI+_xlpm.sOD,_xlpm.sExp,$Z$31+$AB$31*_xlpm.sRR+($AC$31+INPUTS!$F$13)*_xlpm.sGR+$AD$31*_xlpm.sOR,_xlpm.sGR-_xlpm.sExp+$AA$31))</f>
        <v>0</v>
      </c>
      <c r="J75" s="43">
        <f>IF(7&gt;$Y$16,0,_xlfn.LET(_xlpm.sRR,G$18*$B20*$Y$5*$Y$6*$Y$32,_xlpm.sOR,G$18*$Y$5*$Y$6,_xlpm.sOI,$AE$32*_xlpm.sOR,_xlpm.sOD,$Y$23*_xlpm.sRR,_xlpm.sGR,_xlpm.sRR+_xlpm.sOI+_xlpm.sOD,_xlpm.sExp,$Z$32+$AB$32*_xlpm.sRR+($AC$32+INPUTS!$F$13)*_xlpm.sGR+$AD$32*_xlpm.sOR,_xlpm.sGR-_xlpm.sExp+$AA$32))</f>
        <v>0</v>
      </c>
      <c r="K75" s="43">
        <f>IF(8&gt;$Y$16,0,_xlfn.LET(_xlpm.sRR,G$18*$B20*$Y$5*$Y$6*$Y$33,_xlpm.sOR,G$18*$Y$5*$Y$6,_xlpm.sOI,$AE$33*_xlpm.sOR,_xlpm.sOD,$Y$23*_xlpm.sRR,_xlpm.sGR,_xlpm.sRR+_xlpm.sOI+_xlpm.sOD,_xlpm.sExp,$Z$33+$AB$33*_xlpm.sRR+($AC$33+INPUTS!$F$13)*_xlpm.sGR+$AD$33*_xlpm.sOR,_xlpm.sGR-_xlpm.sExp+$AA$33))</f>
        <v>0</v>
      </c>
      <c r="L75" s="43">
        <f>IF(9&gt;$Y$16,0,_xlfn.LET(_xlpm.sRR,G$18*$B20*$Y$5*$Y$6*$Y$34,_xlpm.sOR,G$18*$Y$5*$Y$6,_xlpm.sOI,$AE$34*_xlpm.sOR,_xlpm.sOD,$Y$23*_xlpm.sRR,_xlpm.sGR,_xlpm.sRR+_xlpm.sOI+_xlpm.sOD,_xlpm.sExp,$Z$34+$AB$34*_xlpm.sRR+($AC$34+INPUTS!$F$13)*_xlpm.sGR+$AD$34*_xlpm.sOR,_xlpm.sGR-_xlpm.sExp+$AA$34))</f>
        <v>0</v>
      </c>
      <c r="M75" s="43">
        <f>IF(10&gt;$Y$16,0,IF(10&lt;$Y$16,_xlfn.LET(_xlpm.sRR,G$18*$B20*$Y$5*$Y$6*$Y$35,_xlpm.sOR,G$18*$Y$5*$Y$6,_xlpm.sOI,$AE$35*_xlpm.sOR,_xlpm.sOD,$Y$23*_xlpm.sRR,_xlpm.sGR,_xlpm.sRR+_xlpm.sOI+_xlpm.sOD,_xlpm.sExp,$Z$35+$AB$35*_xlpm.sRR+($AC$35+INPUTS!$F$13)*_xlpm.sGR+$AD$35*_xlpm.sOR,_xlpm.sGR-_xlpm.sExp+$AA$35),_xlfn.LET(_xlpm.sRR,G$18*$B20*$Y$5*$Y$6*$Y$35,_xlpm.sOR,G$18*$Y$5*$Y$6,_xlpm.sOI,$AE$35*_xlpm.sOR,_xlpm.sOD,$Y$23*_xlpm.sRR,_xlpm.sGR,_xlpm.sRR+_xlpm.sOI+_xlpm.sOD,_xlpm.sExp,$Z$35+$AB$35*_xlpm.sRR+($AC$35+INPUTS!$F$13)*_xlpm.sGR+$AD$35*_xlpm.sOR,_xlpm.opCF,_xlpm.sGR-_xlpm.sExp+$AA$35,_xlpm.sale,G$18*$B20*$Y$5*$Y$6*$Y$15*(1-$Y$17),_xlpm.opCF+_xlpm.sale-$Y$22+$Y$24)))</f>
        <v>0</v>
      </c>
    </row>
    <row r="76" spans="2:13" hidden="1">
      <c r="B76" s="933" t="e">
        <f t="shared" si="12"/>
        <v>#VALUE!</v>
      </c>
      <c r="C76">
        <f t="shared" si="8"/>
        <v>0</v>
      </c>
      <c r="D76" s="43">
        <f>IF(1&gt;$Y$16,0,_xlfn.LET(_xlpm.sRR,G$18*$B21*$Y$5*$Y$6*$Y$26,_xlpm.sOR,G$18*$Y$5*$Y$6,_xlpm.sOI,$AE$26*_xlpm.sOR,_xlpm.sOD,$Y$23*_xlpm.sRR,_xlpm.sGR,_xlpm.sRR+_xlpm.sOI+_xlpm.sOD,_xlpm.sExp,$Z$26+$AB$26*_xlpm.sRR+($AC$26+INPUTS!$F$13)*_xlpm.sGR+$AD$26*_xlpm.sOR,_xlpm.sGR-_xlpm.sExp+$AA$26))</f>
        <v>0</v>
      </c>
      <c r="E76" s="43">
        <f>IF(2&gt;$Y$16,0,_xlfn.LET(_xlpm.sRR,G$18*$B21*$Y$5*$Y$6*$Y$27,_xlpm.sOR,G$18*$Y$5*$Y$6,_xlpm.sOI,$AE$27*_xlpm.sOR,_xlpm.sOD,$Y$23*_xlpm.sRR,_xlpm.sGR,_xlpm.sRR+_xlpm.sOI+_xlpm.sOD,_xlpm.sExp,$Z$27+$AB$27*_xlpm.sRR+($AC$27+INPUTS!$F$13)*_xlpm.sGR+$AD$27*_xlpm.sOR,_xlpm.sGR-_xlpm.sExp+$AA$27))</f>
        <v>0</v>
      </c>
      <c r="F76" s="43">
        <f>IF(3&gt;$Y$16,0,_xlfn.LET(_xlpm.sRR,G$18*$B21*$Y$5*$Y$6*$Y$28,_xlpm.sOR,G$18*$Y$5*$Y$6,_xlpm.sOI,$AE$28*_xlpm.sOR,_xlpm.sOD,$Y$23*_xlpm.sRR,_xlpm.sGR,_xlpm.sRR+_xlpm.sOI+_xlpm.sOD,_xlpm.sExp,$Z$28+$AB$28*_xlpm.sRR+($AC$28+INPUTS!$F$13)*_xlpm.sGR+$AD$28*_xlpm.sOR,_xlpm.sGR-_xlpm.sExp+$AA$28))</f>
        <v>0</v>
      </c>
      <c r="G76" s="43">
        <f>IF(4&gt;$Y$16,0,_xlfn.LET(_xlpm.sRR,G$18*$B21*$Y$5*$Y$6*$Y$29,_xlpm.sOR,G$18*$Y$5*$Y$6,_xlpm.sOI,$AE$29*_xlpm.sOR,_xlpm.sOD,$Y$23*_xlpm.sRR,_xlpm.sGR,_xlpm.sRR+_xlpm.sOI+_xlpm.sOD,_xlpm.sExp,$Z$29+$AB$29*_xlpm.sRR+($AC$29+INPUTS!$F$13)*_xlpm.sGR+$AD$29*_xlpm.sOR,_xlpm.sGR-_xlpm.sExp+$AA$29))</f>
        <v>0</v>
      </c>
      <c r="H76" s="43">
        <f>IF(5&gt;$Y$16,0,_xlfn.LET(_xlpm.sRR,G$18*$B21*$Y$5*$Y$6*$Y$30,_xlpm.sOR,G$18*$Y$5*$Y$6,_xlpm.sOI,$AE$30*_xlpm.sOR,_xlpm.sOD,$Y$23*_xlpm.sRR,_xlpm.sGR,_xlpm.sRR+_xlpm.sOI+_xlpm.sOD,_xlpm.sExp,$Z$30+$AB$30*_xlpm.sRR+($AC$30+INPUTS!$F$13)*_xlpm.sGR+$AD$30*_xlpm.sOR,_xlpm.sGR-_xlpm.sExp+$AA$30))</f>
        <v>0</v>
      </c>
      <c r="I76" s="43">
        <f>IF(6&gt;$Y$16,0,_xlfn.LET(_xlpm.sRR,G$18*$B21*$Y$5*$Y$6*$Y$31,_xlpm.sOR,G$18*$Y$5*$Y$6,_xlpm.sOI,$AE$31*_xlpm.sOR,_xlpm.sOD,$Y$23*_xlpm.sRR,_xlpm.sGR,_xlpm.sRR+_xlpm.sOI+_xlpm.sOD,_xlpm.sExp,$Z$31+$AB$31*_xlpm.sRR+($AC$31+INPUTS!$F$13)*_xlpm.sGR+$AD$31*_xlpm.sOR,_xlpm.sGR-_xlpm.sExp+$AA$31))</f>
        <v>0</v>
      </c>
      <c r="J76" s="43">
        <f>IF(7&gt;$Y$16,0,_xlfn.LET(_xlpm.sRR,G$18*$B21*$Y$5*$Y$6*$Y$32,_xlpm.sOR,G$18*$Y$5*$Y$6,_xlpm.sOI,$AE$32*_xlpm.sOR,_xlpm.sOD,$Y$23*_xlpm.sRR,_xlpm.sGR,_xlpm.sRR+_xlpm.sOI+_xlpm.sOD,_xlpm.sExp,$Z$32+$AB$32*_xlpm.sRR+($AC$32+INPUTS!$F$13)*_xlpm.sGR+$AD$32*_xlpm.sOR,_xlpm.sGR-_xlpm.sExp+$AA$32))</f>
        <v>0</v>
      </c>
      <c r="K76" s="43">
        <f>IF(8&gt;$Y$16,0,_xlfn.LET(_xlpm.sRR,G$18*$B21*$Y$5*$Y$6*$Y$33,_xlpm.sOR,G$18*$Y$5*$Y$6,_xlpm.sOI,$AE$33*_xlpm.sOR,_xlpm.sOD,$Y$23*_xlpm.sRR,_xlpm.sGR,_xlpm.sRR+_xlpm.sOI+_xlpm.sOD,_xlpm.sExp,$Z$33+$AB$33*_xlpm.sRR+($AC$33+INPUTS!$F$13)*_xlpm.sGR+$AD$33*_xlpm.sOR,_xlpm.sGR-_xlpm.sExp+$AA$33))</f>
        <v>0</v>
      </c>
      <c r="L76" s="43">
        <f>IF(9&gt;$Y$16,0,_xlfn.LET(_xlpm.sRR,G$18*$B21*$Y$5*$Y$6*$Y$34,_xlpm.sOR,G$18*$Y$5*$Y$6,_xlpm.sOI,$AE$34*_xlpm.sOR,_xlpm.sOD,$Y$23*_xlpm.sRR,_xlpm.sGR,_xlpm.sRR+_xlpm.sOI+_xlpm.sOD,_xlpm.sExp,$Z$34+$AB$34*_xlpm.sRR+($AC$34+INPUTS!$F$13)*_xlpm.sGR+$AD$34*_xlpm.sOR,_xlpm.sGR-_xlpm.sExp+$AA$34))</f>
        <v>0</v>
      </c>
      <c r="M76" s="43">
        <f>IF(10&gt;$Y$16,0,IF(10&lt;$Y$16,_xlfn.LET(_xlpm.sRR,G$18*$B21*$Y$5*$Y$6*$Y$35,_xlpm.sOR,G$18*$Y$5*$Y$6,_xlpm.sOI,$AE$35*_xlpm.sOR,_xlpm.sOD,$Y$23*_xlpm.sRR,_xlpm.sGR,_xlpm.sRR+_xlpm.sOI+_xlpm.sOD,_xlpm.sExp,$Z$35+$AB$35*_xlpm.sRR+($AC$35+INPUTS!$F$13)*_xlpm.sGR+$AD$35*_xlpm.sOR,_xlpm.sGR-_xlpm.sExp+$AA$35),_xlfn.LET(_xlpm.sRR,G$18*$B21*$Y$5*$Y$6*$Y$35,_xlpm.sOR,G$18*$Y$5*$Y$6,_xlpm.sOI,$AE$35*_xlpm.sOR,_xlpm.sOD,$Y$23*_xlpm.sRR,_xlpm.sGR,_xlpm.sRR+_xlpm.sOI+_xlpm.sOD,_xlpm.sExp,$Z$35+$AB$35*_xlpm.sRR+($AC$35+INPUTS!$F$13)*_xlpm.sGR+$AD$35*_xlpm.sOR,_xlpm.opCF,_xlpm.sGR-_xlpm.sExp+$AA$35,_xlpm.sale,G$18*$B21*$Y$5*$Y$6*$Y$15*(1-$Y$17),_xlpm.opCF+_xlpm.sale-$Y$22+$Y$24)))</f>
        <v>0</v>
      </c>
    </row>
    <row r="77" spans="2:13" hidden="1">
      <c r="B77" s="933" t="e">
        <f t="shared" si="12"/>
        <v>#VALUE!</v>
      </c>
      <c r="C77">
        <f t="shared" si="8"/>
        <v>0</v>
      </c>
      <c r="D77" s="43">
        <f>IF(1&gt;$Y$16,0,_xlfn.LET(_xlpm.sRR,G$18*$B22*$Y$5*$Y$6*$Y$26,_xlpm.sOR,G$18*$Y$5*$Y$6,_xlpm.sOI,$AE$26*_xlpm.sOR,_xlpm.sOD,$Y$23*_xlpm.sRR,_xlpm.sGR,_xlpm.sRR+_xlpm.sOI+_xlpm.sOD,_xlpm.sExp,$Z$26+$AB$26*_xlpm.sRR+($AC$26+INPUTS!$F$13)*_xlpm.sGR+$AD$26*_xlpm.sOR,_xlpm.sGR-_xlpm.sExp+$AA$26))</f>
        <v>0</v>
      </c>
      <c r="E77" s="43">
        <f>IF(2&gt;$Y$16,0,_xlfn.LET(_xlpm.sRR,G$18*$B22*$Y$5*$Y$6*$Y$27,_xlpm.sOR,G$18*$Y$5*$Y$6,_xlpm.sOI,$AE$27*_xlpm.sOR,_xlpm.sOD,$Y$23*_xlpm.sRR,_xlpm.sGR,_xlpm.sRR+_xlpm.sOI+_xlpm.sOD,_xlpm.sExp,$Z$27+$AB$27*_xlpm.sRR+($AC$27+INPUTS!$F$13)*_xlpm.sGR+$AD$27*_xlpm.sOR,_xlpm.sGR-_xlpm.sExp+$AA$27))</f>
        <v>0</v>
      </c>
      <c r="F77" s="43">
        <f>IF(3&gt;$Y$16,0,_xlfn.LET(_xlpm.sRR,G$18*$B22*$Y$5*$Y$6*$Y$28,_xlpm.sOR,G$18*$Y$5*$Y$6,_xlpm.sOI,$AE$28*_xlpm.sOR,_xlpm.sOD,$Y$23*_xlpm.sRR,_xlpm.sGR,_xlpm.sRR+_xlpm.sOI+_xlpm.sOD,_xlpm.sExp,$Z$28+$AB$28*_xlpm.sRR+($AC$28+INPUTS!$F$13)*_xlpm.sGR+$AD$28*_xlpm.sOR,_xlpm.sGR-_xlpm.sExp+$AA$28))</f>
        <v>0</v>
      </c>
      <c r="G77" s="43">
        <f>IF(4&gt;$Y$16,0,_xlfn.LET(_xlpm.sRR,G$18*$B22*$Y$5*$Y$6*$Y$29,_xlpm.sOR,G$18*$Y$5*$Y$6,_xlpm.sOI,$AE$29*_xlpm.sOR,_xlpm.sOD,$Y$23*_xlpm.sRR,_xlpm.sGR,_xlpm.sRR+_xlpm.sOI+_xlpm.sOD,_xlpm.sExp,$Z$29+$AB$29*_xlpm.sRR+($AC$29+INPUTS!$F$13)*_xlpm.sGR+$AD$29*_xlpm.sOR,_xlpm.sGR-_xlpm.sExp+$AA$29))</f>
        <v>0</v>
      </c>
      <c r="H77" s="43">
        <f>IF(5&gt;$Y$16,0,_xlfn.LET(_xlpm.sRR,G$18*$B22*$Y$5*$Y$6*$Y$30,_xlpm.sOR,G$18*$Y$5*$Y$6,_xlpm.sOI,$AE$30*_xlpm.sOR,_xlpm.sOD,$Y$23*_xlpm.sRR,_xlpm.sGR,_xlpm.sRR+_xlpm.sOI+_xlpm.sOD,_xlpm.sExp,$Z$30+$AB$30*_xlpm.sRR+($AC$30+INPUTS!$F$13)*_xlpm.sGR+$AD$30*_xlpm.sOR,_xlpm.sGR-_xlpm.sExp+$AA$30))</f>
        <v>0</v>
      </c>
      <c r="I77" s="43">
        <f>IF(6&gt;$Y$16,0,_xlfn.LET(_xlpm.sRR,G$18*$B22*$Y$5*$Y$6*$Y$31,_xlpm.sOR,G$18*$Y$5*$Y$6,_xlpm.sOI,$AE$31*_xlpm.sOR,_xlpm.sOD,$Y$23*_xlpm.sRR,_xlpm.sGR,_xlpm.sRR+_xlpm.sOI+_xlpm.sOD,_xlpm.sExp,$Z$31+$AB$31*_xlpm.sRR+($AC$31+INPUTS!$F$13)*_xlpm.sGR+$AD$31*_xlpm.sOR,_xlpm.sGR-_xlpm.sExp+$AA$31))</f>
        <v>0</v>
      </c>
      <c r="J77" s="43">
        <f>IF(7&gt;$Y$16,0,_xlfn.LET(_xlpm.sRR,G$18*$B22*$Y$5*$Y$6*$Y$32,_xlpm.sOR,G$18*$Y$5*$Y$6,_xlpm.sOI,$AE$32*_xlpm.sOR,_xlpm.sOD,$Y$23*_xlpm.sRR,_xlpm.sGR,_xlpm.sRR+_xlpm.sOI+_xlpm.sOD,_xlpm.sExp,$Z$32+$AB$32*_xlpm.sRR+($AC$32+INPUTS!$F$13)*_xlpm.sGR+$AD$32*_xlpm.sOR,_xlpm.sGR-_xlpm.sExp+$AA$32))</f>
        <v>0</v>
      </c>
      <c r="K77" s="43">
        <f>IF(8&gt;$Y$16,0,_xlfn.LET(_xlpm.sRR,G$18*$B22*$Y$5*$Y$6*$Y$33,_xlpm.sOR,G$18*$Y$5*$Y$6,_xlpm.sOI,$AE$33*_xlpm.sOR,_xlpm.sOD,$Y$23*_xlpm.sRR,_xlpm.sGR,_xlpm.sRR+_xlpm.sOI+_xlpm.sOD,_xlpm.sExp,$Z$33+$AB$33*_xlpm.sRR+($AC$33+INPUTS!$F$13)*_xlpm.sGR+$AD$33*_xlpm.sOR,_xlpm.sGR-_xlpm.sExp+$AA$33))</f>
        <v>0</v>
      </c>
      <c r="L77" s="43">
        <f>IF(9&gt;$Y$16,0,_xlfn.LET(_xlpm.sRR,G$18*$B22*$Y$5*$Y$6*$Y$34,_xlpm.sOR,G$18*$Y$5*$Y$6,_xlpm.sOI,$AE$34*_xlpm.sOR,_xlpm.sOD,$Y$23*_xlpm.sRR,_xlpm.sGR,_xlpm.sRR+_xlpm.sOI+_xlpm.sOD,_xlpm.sExp,$Z$34+$AB$34*_xlpm.sRR+($AC$34+INPUTS!$F$13)*_xlpm.sGR+$AD$34*_xlpm.sOR,_xlpm.sGR-_xlpm.sExp+$AA$34))</f>
        <v>0</v>
      </c>
      <c r="M77" s="43">
        <f>IF(10&gt;$Y$16,0,IF(10&lt;$Y$16,_xlfn.LET(_xlpm.sRR,G$18*$B22*$Y$5*$Y$6*$Y$35,_xlpm.sOR,G$18*$Y$5*$Y$6,_xlpm.sOI,$AE$35*_xlpm.sOR,_xlpm.sOD,$Y$23*_xlpm.sRR,_xlpm.sGR,_xlpm.sRR+_xlpm.sOI+_xlpm.sOD,_xlpm.sExp,$Z$35+$AB$35*_xlpm.sRR+($AC$35+INPUTS!$F$13)*_xlpm.sGR+$AD$35*_xlpm.sOR,_xlpm.sGR-_xlpm.sExp+$AA$35),_xlfn.LET(_xlpm.sRR,G$18*$B22*$Y$5*$Y$6*$Y$35,_xlpm.sOR,G$18*$Y$5*$Y$6,_xlpm.sOI,$AE$35*_xlpm.sOR,_xlpm.sOD,$Y$23*_xlpm.sRR,_xlpm.sGR,_xlpm.sRR+_xlpm.sOI+_xlpm.sOD,_xlpm.sExp,$Z$35+$AB$35*_xlpm.sRR+($AC$35+INPUTS!$F$13)*_xlpm.sGR+$AD$35*_xlpm.sOR,_xlpm.opCF,_xlpm.sGR-_xlpm.sExp+$AA$35,_xlpm.sale,G$18*$B22*$Y$5*$Y$6*$Y$15*(1-$Y$17),_xlpm.opCF+_xlpm.sale-$Y$22+$Y$24)))</f>
        <v>0</v>
      </c>
    </row>
    <row r="78" spans="2:13" hidden="1">
      <c r="B78" s="933" t="e">
        <f t="shared" si="12"/>
        <v>#VALUE!</v>
      </c>
      <c r="C78">
        <f t="shared" ref="C78:C94" si="13">-$Y$12</f>
        <v>0</v>
      </c>
      <c r="D78" s="43">
        <f>IF(1&gt;$Y$16,0,_xlfn.LET(_xlpm.sRR,G$18*$B23*$Y$5*$Y$6*$Y$26,_xlpm.sOR,G$18*$Y$5*$Y$6,_xlpm.sOI,$AE$26*_xlpm.sOR,_xlpm.sOD,$Y$23*_xlpm.sRR,_xlpm.sGR,_xlpm.sRR+_xlpm.sOI+_xlpm.sOD,_xlpm.sExp,$Z$26+$AB$26*_xlpm.sRR+($AC$26+INPUTS!$F$13)*_xlpm.sGR+$AD$26*_xlpm.sOR,_xlpm.sGR-_xlpm.sExp+$AA$26))</f>
        <v>0</v>
      </c>
      <c r="E78" s="43">
        <f>IF(2&gt;$Y$16,0,_xlfn.LET(_xlpm.sRR,G$18*$B23*$Y$5*$Y$6*$Y$27,_xlpm.sOR,G$18*$Y$5*$Y$6,_xlpm.sOI,$AE$27*_xlpm.sOR,_xlpm.sOD,$Y$23*_xlpm.sRR,_xlpm.sGR,_xlpm.sRR+_xlpm.sOI+_xlpm.sOD,_xlpm.sExp,$Z$27+$AB$27*_xlpm.sRR+($AC$27+INPUTS!$F$13)*_xlpm.sGR+$AD$27*_xlpm.sOR,_xlpm.sGR-_xlpm.sExp+$AA$27))</f>
        <v>0</v>
      </c>
      <c r="F78" s="43">
        <f>IF(3&gt;$Y$16,0,_xlfn.LET(_xlpm.sRR,G$18*$B23*$Y$5*$Y$6*$Y$28,_xlpm.sOR,G$18*$Y$5*$Y$6,_xlpm.sOI,$AE$28*_xlpm.sOR,_xlpm.sOD,$Y$23*_xlpm.sRR,_xlpm.sGR,_xlpm.sRR+_xlpm.sOI+_xlpm.sOD,_xlpm.sExp,$Z$28+$AB$28*_xlpm.sRR+($AC$28+INPUTS!$F$13)*_xlpm.sGR+$AD$28*_xlpm.sOR,_xlpm.sGR-_xlpm.sExp+$AA$28))</f>
        <v>0</v>
      </c>
      <c r="G78" s="43">
        <f>IF(4&gt;$Y$16,0,_xlfn.LET(_xlpm.sRR,G$18*$B23*$Y$5*$Y$6*$Y$29,_xlpm.sOR,G$18*$Y$5*$Y$6,_xlpm.sOI,$AE$29*_xlpm.sOR,_xlpm.sOD,$Y$23*_xlpm.sRR,_xlpm.sGR,_xlpm.sRR+_xlpm.sOI+_xlpm.sOD,_xlpm.sExp,$Z$29+$AB$29*_xlpm.sRR+($AC$29+INPUTS!$F$13)*_xlpm.sGR+$AD$29*_xlpm.sOR,_xlpm.sGR-_xlpm.sExp+$AA$29))</f>
        <v>0</v>
      </c>
      <c r="H78" s="43">
        <f>IF(5&gt;$Y$16,0,_xlfn.LET(_xlpm.sRR,G$18*$B23*$Y$5*$Y$6*$Y$30,_xlpm.sOR,G$18*$Y$5*$Y$6,_xlpm.sOI,$AE$30*_xlpm.sOR,_xlpm.sOD,$Y$23*_xlpm.sRR,_xlpm.sGR,_xlpm.sRR+_xlpm.sOI+_xlpm.sOD,_xlpm.sExp,$Z$30+$AB$30*_xlpm.sRR+($AC$30+INPUTS!$F$13)*_xlpm.sGR+$AD$30*_xlpm.sOR,_xlpm.sGR-_xlpm.sExp+$AA$30))</f>
        <v>0</v>
      </c>
      <c r="I78" s="43">
        <f>IF(6&gt;$Y$16,0,_xlfn.LET(_xlpm.sRR,G$18*$B23*$Y$5*$Y$6*$Y$31,_xlpm.sOR,G$18*$Y$5*$Y$6,_xlpm.sOI,$AE$31*_xlpm.sOR,_xlpm.sOD,$Y$23*_xlpm.sRR,_xlpm.sGR,_xlpm.sRR+_xlpm.sOI+_xlpm.sOD,_xlpm.sExp,$Z$31+$AB$31*_xlpm.sRR+($AC$31+INPUTS!$F$13)*_xlpm.sGR+$AD$31*_xlpm.sOR,_xlpm.sGR-_xlpm.sExp+$AA$31))</f>
        <v>0</v>
      </c>
      <c r="J78" s="43">
        <f>IF(7&gt;$Y$16,0,_xlfn.LET(_xlpm.sRR,G$18*$B23*$Y$5*$Y$6*$Y$32,_xlpm.sOR,G$18*$Y$5*$Y$6,_xlpm.sOI,$AE$32*_xlpm.sOR,_xlpm.sOD,$Y$23*_xlpm.sRR,_xlpm.sGR,_xlpm.sRR+_xlpm.sOI+_xlpm.sOD,_xlpm.sExp,$Z$32+$AB$32*_xlpm.sRR+($AC$32+INPUTS!$F$13)*_xlpm.sGR+$AD$32*_xlpm.sOR,_xlpm.sGR-_xlpm.sExp+$AA$32))</f>
        <v>0</v>
      </c>
      <c r="K78" s="43">
        <f>IF(8&gt;$Y$16,0,_xlfn.LET(_xlpm.sRR,G$18*$B23*$Y$5*$Y$6*$Y$33,_xlpm.sOR,G$18*$Y$5*$Y$6,_xlpm.sOI,$AE$33*_xlpm.sOR,_xlpm.sOD,$Y$23*_xlpm.sRR,_xlpm.sGR,_xlpm.sRR+_xlpm.sOI+_xlpm.sOD,_xlpm.sExp,$Z$33+$AB$33*_xlpm.sRR+($AC$33+INPUTS!$F$13)*_xlpm.sGR+$AD$33*_xlpm.sOR,_xlpm.sGR-_xlpm.sExp+$AA$33))</f>
        <v>0</v>
      </c>
      <c r="L78" s="43">
        <f>IF(9&gt;$Y$16,0,_xlfn.LET(_xlpm.sRR,G$18*$B23*$Y$5*$Y$6*$Y$34,_xlpm.sOR,G$18*$Y$5*$Y$6,_xlpm.sOI,$AE$34*_xlpm.sOR,_xlpm.sOD,$Y$23*_xlpm.sRR,_xlpm.sGR,_xlpm.sRR+_xlpm.sOI+_xlpm.sOD,_xlpm.sExp,$Z$34+$AB$34*_xlpm.sRR+($AC$34+INPUTS!$F$13)*_xlpm.sGR+$AD$34*_xlpm.sOR,_xlpm.sGR-_xlpm.sExp+$AA$34))</f>
        <v>0</v>
      </c>
      <c r="M78" s="43">
        <f>IF(10&gt;$Y$16,0,IF(10&lt;$Y$16,_xlfn.LET(_xlpm.sRR,G$18*$B23*$Y$5*$Y$6*$Y$35,_xlpm.sOR,G$18*$Y$5*$Y$6,_xlpm.sOI,$AE$35*_xlpm.sOR,_xlpm.sOD,$Y$23*_xlpm.sRR,_xlpm.sGR,_xlpm.sRR+_xlpm.sOI+_xlpm.sOD,_xlpm.sExp,$Z$35+$AB$35*_xlpm.sRR+($AC$35+INPUTS!$F$13)*_xlpm.sGR+$AD$35*_xlpm.sOR,_xlpm.sGR-_xlpm.sExp+$AA$35),_xlfn.LET(_xlpm.sRR,G$18*$B23*$Y$5*$Y$6*$Y$35,_xlpm.sOR,G$18*$Y$5*$Y$6,_xlpm.sOI,$AE$35*_xlpm.sOR,_xlpm.sOD,$Y$23*_xlpm.sRR,_xlpm.sGR,_xlpm.sRR+_xlpm.sOI+_xlpm.sOD,_xlpm.sExp,$Z$35+$AB$35*_xlpm.sRR+($AC$35+INPUTS!$F$13)*_xlpm.sGR+$AD$35*_xlpm.sOR,_xlpm.opCF,_xlpm.sGR-_xlpm.sExp+$AA$35,_xlpm.sale,G$18*$B23*$Y$5*$Y$6*$Y$15*(1-$Y$17),_xlpm.opCF+_xlpm.sale-$Y$22+$Y$24)))</f>
        <v>0</v>
      </c>
    </row>
    <row r="79" spans="2:13" hidden="1">
      <c r="B79" s="933" t="e">
        <f t="shared" si="12"/>
        <v>#VALUE!</v>
      </c>
      <c r="C79">
        <f t="shared" si="13"/>
        <v>0</v>
      </c>
      <c r="D79" s="43">
        <f>IF(1&gt;$Y$16,0,_xlfn.LET(_xlpm.sRR,G$18*$B24*$Y$5*$Y$6*$Y$26,_xlpm.sOR,G$18*$Y$5*$Y$6,_xlpm.sOI,$AE$26*_xlpm.sOR,_xlpm.sOD,$Y$23*_xlpm.sRR,_xlpm.sGR,_xlpm.sRR+_xlpm.sOI+_xlpm.sOD,_xlpm.sExp,$Z$26+$AB$26*_xlpm.sRR+($AC$26+INPUTS!$F$13)*_xlpm.sGR+$AD$26*_xlpm.sOR,_xlpm.sGR-_xlpm.sExp+$AA$26))</f>
        <v>0</v>
      </c>
      <c r="E79" s="43">
        <f>IF(2&gt;$Y$16,0,_xlfn.LET(_xlpm.sRR,G$18*$B24*$Y$5*$Y$6*$Y$27,_xlpm.sOR,G$18*$Y$5*$Y$6,_xlpm.sOI,$AE$27*_xlpm.sOR,_xlpm.sOD,$Y$23*_xlpm.sRR,_xlpm.sGR,_xlpm.sRR+_xlpm.sOI+_xlpm.sOD,_xlpm.sExp,$Z$27+$AB$27*_xlpm.sRR+($AC$27+INPUTS!$F$13)*_xlpm.sGR+$AD$27*_xlpm.sOR,_xlpm.sGR-_xlpm.sExp+$AA$27))</f>
        <v>0</v>
      </c>
      <c r="F79" s="43">
        <f>IF(3&gt;$Y$16,0,_xlfn.LET(_xlpm.sRR,G$18*$B24*$Y$5*$Y$6*$Y$28,_xlpm.sOR,G$18*$Y$5*$Y$6,_xlpm.sOI,$AE$28*_xlpm.sOR,_xlpm.sOD,$Y$23*_xlpm.sRR,_xlpm.sGR,_xlpm.sRR+_xlpm.sOI+_xlpm.sOD,_xlpm.sExp,$Z$28+$AB$28*_xlpm.sRR+($AC$28+INPUTS!$F$13)*_xlpm.sGR+$AD$28*_xlpm.sOR,_xlpm.sGR-_xlpm.sExp+$AA$28))</f>
        <v>0</v>
      </c>
      <c r="G79" s="43">
        <f>IF(4&gt;$Y$16,0,_xlfn.LET(_xlpm.sRR,G$18*$B24*$Y$5*$Y$6*$Y$29,_xlpm.sOR,G$18*$Y$5*$Y$6,_xlpm.sOI,$AE$29*_xlpm.sOR,_xlpm.sOD,$Y$23*_xlpm.sRR,_xlpm.sGR,_xlpm.sRR+_xlpm.sOI+_xlpm.sOD,_xlpm.sExp,$Z$29+$AB$29*_xlpm.sRR+($AC$29+INPUTS!$F$13)*_xlpm.sGR+$AD$29*_xlpm.sOR,_xlpm.sGR-_xlpm.sExp+$AA$29))</f>
        <v>0</v>
      </c>
      <c r="H79" s="43">
        <f>IF(5&gt;$Y$16,0,_xlfn.LET(_xlpm.sRR,G$18*$B24*$Y$5*$Y$6*$Y$30,_xlpm.sOR,G$18*$Y$5*$Y$6,_xlpm.sOI,$AE$30*_xlpm.sOR,_xlpm.sOD,$Y$23*_xlpm.sRR,_xlpm.sGR,_xlpm.sRR+_xlpm.sOI+_xlpm.sOD,_xlpm.sExp,$Z$30+$AB$30*_xlpm.sRR+($AC$30+INPUTS!$F$13)*_xlpm.sGR+$AD$30*_xlpm.sOR,_xlpm.sGR-_xlpm.sExp+$AA$30))</f>
        <v>0</v>
      </c>
      <c r="I79" s="43">
        <f>IF(6&gt;$Y$16,0,_xlfn.LET(_xlpm.sRR,G$18*$B24*$Y$5*$Y$6*$Y$31,_xlpm.sOR,G$18*$Y$5*$Y$6,_xlpm.sOI,$AE$31*_xlpm.sOR,_xlpm.sOD,$Y$23*_xlpm.sRR,_xlpm.sGR,_xlpm.sRR+_xlpm.sOI+_xlpm.sOD,_xlpm.sExp,$Z$31+$AB$31*_xlpm.sRR+($AC$31+INPUTS!$F$13)*_xlpm.sGR+$AD$31*_xlpm.sOR,_xlpm.sGR-_xlpm.sExp+$AA$31))</f>
        <v>0</v>
      </c>
      <c r="J79" s="43">
        <f>IF(7&gt;$Y$16,0,_xlfn.LET(_xlpm.sRR,G$18*$B24*$Y$5*$Y$6*$Y$32,_xlpm.sOR,G$18*$Y$5*$Y$6,_xlpm.sOI,$AE$32*_xlpm.sOR,_xlpm.sOD,$Y$23*_xlpm.sRR,_xlpm.sGR,_xlpm.sRR+_xlpm.sOI+_xlpm.sOD,_xlpm.sExp,$Z$32+$AB$32*_xlpm.sRR+($AC$32+INPUTS!$F$13)*_xlpm.sGR+$AD$32*_xlpm.sOR,_xlpm.sGR-_xlpm.sExp+$AA$32))</f>
        <v>0</v>
      </c>
      <c r="K79" s="43">
        <f>IF(8&gt;$Y$16,0,_xlfn.LET(_xlpm.sRR,G$18*$B24*$Y$5*$Y$6*$Y$33,_xlpm.sOR,G$18*$Y$5*$Y$6,_xlpm.sOI,$AE$33*_xlpm.sOR,_xlpm.sOD,$Y$23*_xlpm.sRR,_xlpm.sGR,_xlpm.sRR+_xlpm.sOI+_xlpm.sOD,_xlpm.sExp,$Z$33+$AB$33*_xlpm.sRR+($AC$33+INPUTS!$F$13)*_xlpm.sGR+$AD$33*_xlpm.sOR,_xlpm.sGR-_xlpm.sExp+$AA$33))</f>
        <v>0</v>
      </c>
      <c r="L79" s="43">
        <f>IF(9&gt;$Y$16,0,_xlfn.LET(_xlpm.sRR,G$18*$B24*$Y$5*$Y$6*$Y$34,_xlpm.sOR,G$18*$Y$5*$Y$6,_xlpm.sOI,$AE$34*_xlpm.sOR,_xlpm.sOD,$Y$23*_xlpm.sRR,_xlpm.sGR,_xlpm.sRR+_xlpm.sOI+_xlpm.sOD,_xlpm.sExp,$Z$34+$AB$34*_xlpm.sRR+($AC$34+INPUTS!$F$13)*_xlpm.sGR+$AD$34*_xlpm.sOR,_xlpm.sGR-_xlpm.sExp+$AA$34))</f>
        <v>0</v>
      </c>
      <c r="M79" s="43">
        <f>IF(10&gt;$Y$16,0,IF(10&lt;$Y$16,_xlfn.LET(_xlpm.sRR,G$18*$B24*$Y$5*$Y$6*$Y$35,_xlpm.sOR,G$18*$Y$5*$Y$6,_xlpm.sOI,$AE$35*_xlpm.sOR,_xlpm.sOD,$Y$23*_xlpm.sRR,_xlpm.sGR,_xlpm.sRR+_xlpm.sOI+_xlpm.sOD,_xlpm.sExp,$Z$35+$AB$35*_xlpm.sRR+($AC$35+INPUTS!$F$13)*_xlpm.sGR+$AD$35*_xlpm.sOR,_xlpm.sGR-_xlpm.sExp+$AA$35),_xlfn.LET(_xlpm.sRR,G$18*$B24*$Y$5*$Y$6*$Y$35,_xlpm.sOR,G$18*$Y$5*$Y$6,_xlpm.sOI,$AE$35*_xlpm.sOR,_xlpm.sOD,$Y$23*_xlpm.sRR,_xlpm.sGR,_xlpm.sRR+_xlpm.sOI+_xlpm.sOD,_xlpm.sExp,$Z$35+$AB$35*_xlpm.sRR+($AC$35+INPUTS!$F$13)*_xlpm.sGR+$AD$35*_xlpm.sOR,_xlpm.opCF,_xlpm.sGR-_xlpm.sExp+$AA$35,_xlpm.sale,G$18*$B24*$Y$5*$Y$6*$Y$15*(1-$Y$17),_xlpm.opCF+_xlpm.sale-$Y$22+$Y$24)))</f>
        <v>0</v>
      </c>
    </row>
    <row r="80" spans="2:13" hidden="1">
      <c r="B80" s="933" t="e">
        <f t="shared" si="12"/>
        <v>#VALUE!</v>
      </c>
      <c r="C80">
        <f t="shared" si="13"/>
        <v>0</v>
      </c>
      <c r="D80" s="43">
        <f>IF(1&gt;$Y$16,0,_xlfn.LET(_xlpm.sRR,G$18*$B25*$Y$5*$Y$6*$Y$26,_xlpm.sOR,G$18*$Y$5*$Y$6,_xlpm.sOI,$AE$26*_xlpm.sOR,_xlpm.sOD,$Y$23*_xlpm.sRR,_xlpm.sGR,_xlpm.sRR+_xlpm.sOI+_xlpm.sOD,_xlpm.sExp,$Z$26+$AB$26*_xlpm.sRR+($AC$26+INPUTS!$F$13)*_xlpm.sGR+$AD$26*_xlpm.sOR,_xlpm.sGR-_xlpm.sExp+$AA$26))</f>
        <v>0</v>
      </c>
      <c r="E80" s="43">
        <f>IF(2&gt;$Y$16,0,_xlfn.LET(_xlpm.sRR,G$18*$B25*$Y$5*$Y$6*$Y$27,_xlpm.sOR,G$18*$Y$5*$Y$6,_xlpm.sOI,$AE$27*_xlpm.sOR,_xlpm.sOD,$Y$23*_xlpm.sRR,_xlpm.sGR,_xlpm.sRR+_xlpm.sOI+_xlpm.sOD,_xlpm.sExp,$Z$27+$AB$27*_xlpm.sRR+($AC$27+INPUTS!$F$13)*_xlpm.sGR+$AD$27*_xlpm.sOR,_xlpm.sGR-_xlpm.sExp+$AA$27))</f>
        <v>0</v>
      </c>
      <c r="F80" s="43">
        <f>IF(3&gt;$Y$16,0,_xlfn.LET(_xlpm.sRR,G$18*$B25*$Y$5*$Y$6*$Y$28,_xlpm.sOR,G$18*$Y$5*$Y$6,_xlpm.sOI,$AE$28*_xlpm.sOR,_xlpm.sOD,$Y$23*_xlpm.sRR,_xlpm.sGR,_xlpm.sRR+_xlpm.sOI+_xlpm.sOD,_xlpm.sExp,$Z$28+$AB$28*_xlpm.sRR+($AC$28+INPUTS!$F$13)*_xlpm.sGR+$AD$28*_xlpm.sOR,_xlpm.sGR-_xlpm.sExp+$AA$28))</f>
        <v>0</v>
      </c>
      <c r="G80" s="43">
        <f>IF(4&gt;$Y$16,0,_xlfn.LET(_xlpm.sRR,G$18*$B25*$Y$5*$Y$6*$Y$29,_xlpm.sOR,G$18*$Y$5*$Y$6,_xlpm.sOI,$AE$29*_xlpm.sOR,_xlpm.sOD,$Y$23*_xlpm.sRR,_xlpm.sGR,_xlpm.sRR+_xlpm.sOI+_xlpm.sOD,_xlpm.sExp,$Z$29+$AB$29*_xlpm.sRR+($AC$29+INPUTS!$F$13)*_xlpm.sGR+$AD$29*_xlpm.sOR,_xlpm.sGR-_xlpm.sExp+$AA$29))</f>
        <v>0</v>
      </c>
      <c r="H80" s="43">
        <f>IF(5&gt;$Y$16,0,_xlfn.LET(_xlpm.sRR,G$18*$B25*$Y$5*$Y$6*$Y$30,_xlpm.sOR,G$18*$Y$5*$Y$6,_xlpm.sOI,$AE$30*_xlpm.sOR,_xlpm.sOD,$Y$23*_xlpm.sRR,_xlpm.sGR,_xlpm.sRR+_xlpm.sOI+_xlpm.sOD,_xlpm.sExp,$Z$30+$AB$30*_xlpm.sRR+($AC$30+INPUTS!$F$13)*_xlpm.sGR+$AD$30*_xlpm.sOR,_xlpm.sGR-_xlpm.sExp+$AA$30))</f>
        <v>0</v>
      </c>
      <c r="I80" s="43">
        <f>IF(6&gt;$Y$16,0,_xlfn.LET(_xlpm.sRR,G$18*$B25*$Y$5*$Y$6*$Y$31,_xlpm.sOR,G$18*$Y$5*$Y$6,_xlpm.sOI,$AE$31*_xlpm.sOR,_xlpm.sOD,$Y$23*_xlpm.sRR,_xlpm.sGR,_xlpm.sRR+_xlpm.sOI+_xlpm.sOD,_xlpm.sExp,$Z$31+$AB$31*_xlpm.sRR+($AC$31+INPUTS!$F$13)*_xlpm.sGR+$AD$31*_xlpm.sOR,_xlpm.sGR-_xlpm.sExp+$AA$31))</f>
        <v>0</v>
      </c>
      <c r="J80" s="43">
        <f>IF(7&gt;$Y$16,0,_xlfn.LET(_xlpm.sRR,G$18*$B25*$Y$5*$Y$6*$Y$32,_xlpm.sOR,G$18*$Y$5*$Y$6,_xlpm.sOI,$AE$32*_xlpm.sOR,_xlpm.sOD,$Y$23*_xlpm.sRR,_xlpm.sGR,_xlpm.sRR+_xlpm.sOI+_xlpm.sOD,_xlpm.sExp,$Z$32+$AB$32*_xlpm.sRR+($AC$32+INPUTS!$F$13)*_xlpm.sGR+$AD$32*_xlpm.sOR,_xlpm.sGR-_xlpm.sExp+$AA$32))</f>
        <v>0</v>
      </c>
      <c r="K80" s="43">
        <f>IF(8&gt;$Y$16,0,_xlfn.LET(_xlpm.sRR,G$18*$B25*$Y$5*$Y$6*$Y$33,_xlpm.sOR,G$18*$Y$5*$Y$6,_xlpm.sOI,$AE$33*_xlpm.sOR,_xlpm.sOD,$Y$23*_xlpm.sRR,_xlpm.sGR,_xlpm.sRR+_xlpm.sOI+_xlpm.sOD,_xlpm.sExp,$Z$33+$AB$33*_xlpm.sRR+($AC$33+INPUTS!$F$13)*_xlpm.sGR+$AD$33*_xlpm.sOR,_xlpm.sGR-_xlpm.sExp+$AA$33))</f>
        <v>0</v>
      </c>
      <c r="L80" s="43">
        <f>IF(9&gt;$Y$16,0,_xlfn.LET(_xlpm.sRR,G$18*$B25*$Y$5*$Y$6*$Y$34,_xlpm.sOR,G$18*$Y$5*$Y$6,_xlpm.sOI,$AE$34*_xlpm.sOR,_xlpm.sOD,$Y$23*_xlpm.sRR,_xlpm.sGR,_xlpm.sRR+_xlpm.sOI+_xlpm.sOD,_xlpm.sExp,$Z$34+$AB$34*_xlpm.sRR+($AC$34+INPUTS!$F$13)*_xlpm.sGR+$AD$34*_xlpm.sOR,_xlpm.sGR-_xlpm.sExp+$AA$34))</f>
        <v>0</v>
      </c>
      <c r="M80" s="43">
        <f>IF(10&gt;$Y$16,0,IF(10&lt;$Y$16,_xlfn.LET(_xlpm.sRR,G$18*$B25*$Y$5*$Y$6*$Y$35,_xlpm.sOR,G$18*$Y$5*$Y$6,_xlpm.sOI,$AE$35*_xlpm.sOR,_xlpm.sOD,$Y$23*_xlpm.sRR,_xlpm.sGR,_xlpm.sRR+_xlpm.sOI+_xlpm.sOD,_xlpm.sExp,$Z$35+$AB$35*_xlpm.sRR+($AC$35+INPUTS!$F$13)*_xlpm.sGR+$AD$35*_xlpm.sOR,_xlpm.sGR-_xlpm.sExp+$AA$35),_xlfn.LET(_xlpm.sRR,G$18*$B25*$Y$5*$Y$6*$Y$35,_xlpm.sOR,G$18*$Y$5*$Y$6,_xlpm.sOI,$AE$35*_xlpm.sOR,_xlpm.sOD,$Y$23*_xlpm.sRR,_xlpm.sGR,_xlpm.sRR+_xlpm.sOI+_xlpm.sOD,_xlpm.sExp,$Z$35+$AB$35*_xlpm.sRR+($AC$35+INPUTS!$F$13)*_xlpm.sGR+$AD$35*_xlpm.sOR,_xlpm.opCF,_xlpm.sGR-_xlpm.sExp+$AA$35,_xlpm.sale,G$18*$B25*$Y$5*$Y$6*$Y$15*(1-$Y$17),_xlpm.opCF+_xlpm.sale-$Y$22+$Y$24)))</f>
        <v>0</v>
      </c>
    </row>
    <row r="81" spans="2:13" hidden="1">
      <c r="B81" s="933" t="e">
        <f t="shared" ref="B81:B87" si="14">H$18&amp;" × $"&amp;TEXT($B19,"0")</f>
        <v>#VALUE!</v>
      </c>
      <c r="C81">
        <f t="shared" si="13"/>
        <v>0</v>
      </c>
      <c r="D81" s="43">
        <f>IF(1&gt;$Y$16,0,_xlfn.LET(_xlpm.sRR,H$18*$B19*$Y$5*$Y$6*$Y$26,_xlpm.sOR,H$18*$Y$5*$Y$6,_xlpm.sOI,$AE$26*_xlpm.sOR,_xlpm.sOD,$Y$23*_xlpm.sRR,_xlpm.sGR,_xlpm.sRR+_xlpm.sOI+_xlpm.sOD,_xlpm.sExp,$Z$26+$AB$26*_xlpm.sRR+($AC$26+INPUTS!$F$13)*_xlpm.sGR+$AD$26*_xlpm.sOR,_xlpm.sGR-_xlpm.sExp+$AA$26))</f>
        <v>0</v>
      </c>
      <c r="E81" s="43">
        <f>IF(2&gt;$Y$16,0,_xlfn.LET(_xlpm.sRR,H$18*$B19*$Y$5*$Y$6*$Y$27,_xlpm.sOR,H$18*$Y$5*$Y$6,_xlpm.sOI,$AE$27*_xlpm.sOR,_xlpm.sOD,$Y$23*_xlpm.sRR,_xlpm.sGR,_xlpm.sRR+_xlpm.sOI+_xlpm.sOD,_xlpm.sExp,$Z$27+$AB$27*_xlpm.sRR+($AC$27+INPUTS!$F$13)*_xlpm.sGR+$AD$27*_xlpm.sOR,_xlpm.sGR-_xlpm.sExp+$AA$27))</f>
        <v>0</v>
      </c>
      <c r="F81" s="43">
        <f>IF(3&gt;$Y$16,0,_xlfn.LET(_xlpm.sRR,H$18*$B19*$Y$5*$Y$6*$Y$28,_xlpm.sOR,H$18*$Y$5*$Y$6,_xlpm.sOI,$AE$28*_xlpm.sOR,_xlpm.sOD,$Y$23*_xlpm.sRR,_xlpm.sGR,_xlpm.sRR+_xlpm.sOI+_xlpm.sOD,_xlpm.sExp,$Z$28+$AB$28*_xlpm.sRR+($AC$28+INPUTS!$F$13)*_xlpm.sGR+$AD$28*_xlpm.sOR,_xlpm.sGR-_xlpm.sExp+$AA$28))</f>
        <v>0</v>
      </c>
      <c r="G81" s="43">
        <f>IF(4&gt;$Y$16,0,_xlfn.LET(_xlpm.sRR,H$18*$B19*$Y$5*$Y$6*$Y$29,_xlpm.sOR,H$18*$Y$5*$Y$6,_xlpm.sOI,$AE$29*_xlpm.sOR,_xlpm.sOD,$Y$23*_xlpm.sRR,_xlpm.sGR,_xlpm.sRR+_xlpm.sOI+_xlpm.sOD,_xlpm.sExp,$Z$29+$AB$29*_xlpm.sRR+($AC$29+INPUTS!$F$13)*_xlpm.sGR+$AD$29*_xlpm.sOR,_xlpm.sGR-_xlpm.sExp+$AA$29))</f>
        <v>0</v>
      </c>
      <c r="H81" s="43">
        <f>IF(5&gt;$Y$16,0,_xlfn.LET(_xlpm.sRR,H$18*$B19*$Y$5*$Y$6*$Y$30,_xlpm.sOR,H$18*$Y$5*$Y$6,_xlpm.sOI,$AE$30*_xlpm.sOR,_xlpm.sOD,$Y$23*_xlpm.sRR,_xlpm.sGR,_xlpm.sRR+_xlpm.sOI+_xlpm.sOD,_xlpm.sExp,$Z$30+$AB$30*_xlpm.sRR+($AC$30+INPUTS!$F$13)*_xlpm.sGR+$AD$30*_xlpm.sOR,_xlpm.sGR-_xlpm.sExp+$AA$30))</f>
        <v>0</v>
      </c>
      <c r="I81" s="43">
        <f>IF(6&gt;$Y$16,0,_xlfn.LET(_xlpm.sRR,H$18*$B19*$Y$5*$Y$6*$Y$31,_xlpm.sOR,H$18*$Y$5*$Y$6,_xlpm.sOI,$AE$31*_xlpm.sOR,_xlpm.sOD,$Y$23*_xlpm.sRR,_xlpm.sGR,_xlpm.sRR+_xlpm.sOI+_xlpm.sOD,_xlpm.sExp,$Z$31+$AB$31*_xlpm.sRR+($AC$31+INPUTS!$F$13)*_xlpm.sGR+$AD$31*_xlpm.sOR,_xlpm.sGR-_xlpm.sExp+$AA$31))</f>
        <v>0</v>
      </c>
      <c r="J81" s="43">
        <f>IF(7&gt;$Y$16,0,_xlfn.LET(_xlpm.sRR,H$18*$B19*$Y$5*$Y$6*$Y$32,_xlpm.sOR,H$18*$Y$5*$Y$6,_xlpm.sOI,$AE$32*_xlpm.sOR,_xlpm.sOD,$Y$23*_xlpm.sRR,_xlpm.sGR,_xlpm.sRR+_xlpm.sOI+_xlpm.sOD,_xlpm.sExp,$Z$32+$AB$32*_xlpm.sRR+($AC$32+INPUTS!$F$13)*_xlpm.sGR+$AD$32*_xlpm.sOR,_xlpm.sGR-_xlpm.sExp+$AA$32))</f>
        <v>0</v>
      </c>
      <c r="K81" s="43">
        <f>IF(8&gt;$Y$16,0,_xlfn.LET(_xlpm.sRR,H$18*$B19*$Y$5*$Y$6*$Y$33,_xlpm.sOR,H$18*$Y$5*$Y$6,_xlpm.sOI,$AE$33*_xlpm.sOR,_xlpm.sOD,$Y$23*_xlpm.sRR,_xlpm.sGR,_xlpm.sRR+_xlpm.sOI+_xlpm.sOD,_xlpm.sExp,$Z$33+$AB$33*_xlpm.sRR+($AC$33+INPUTS!$F$13)*_xlpm.sGR+$AD$33*_xlpm.sOR,_xlpm.sGR-_xlpm.sExp+$AA$33))</f>
        <v>0</v>
      </c>
      <c r="L81" s="43">
        <f>IF(9&gt;$Y$16,0,_xlfn.LET(_xlpm.sRR,H$18*$B19*$Y$5*$Y$6*$Y$34,_xlpm.sOR,H$18*$Y$5*$Y$6,_xlpm.sOI,$AE$34*_xlpm.sOR,_xlpm.sOD,$Y$23*_xlpm.sRR,_xlpm.sGR,_xlpm.sRR+_xlpm.sOI+_xlpm.sOD,_xlpm.sExp,$Z$34+$AB$34*_xlpm.sRR+($AC$34+INPUTS!$F$13)*_xlpm.sGR+$AD$34*_xlpm.sOR,_xlpm.sGR-_xlpm.sExp+$AA$34))</f>
        <v>0</v>
      </c>
      <c r="M81" s="43">
        <f>IF(10&gt;$Y$16,0,IF(10&lt;$Y$16,_xlfn.LET(_xlpm.sRR,H$18*$B19*$Y$5*$Y$6*$Y$35,_xlpm.sOR,H$18*$Y$5*$Y$6,_xlpm.sOI,$AE$35*_xlpm.sOR,_xlpm.sOD,$Y$23*_xlpm.sRR,_xlpm.sGR,_xlpm.sRR+_xlpm.sOI+_xlpm.sOD,_xlpm.sExp,$Z$35+$AB$35*_xlpm.sRR+($AC$35+INPUTS!$F$13)*_xlpm.sGR+$AD$35*_xlpm.sOR,_xlpm.sGR-_xlpm.sExp+$AA$35),_xlfn.LET(_xlpm.sRR,H$18*$B19*$Y$5*$Y$6*$Y$35,_xlpm.sOR,H$18*$Y$5*$Y$6,_xlpm.sOI,$AE$35*_xlpm.sOR,_xlpm.sOD,$Y$23*_xlpm.sRR,_xlpm.sGR,_xlpm.sRR+_xlpm.sOI+_xlpm.sOD,_xlpm.sExp,$Z$35+$AB$35*_xlpm.sRR+($AC$35+INPUTS!$F$13)*_xlpm.sGR+$AD$35*_xlpm.sOR,_xlpm.opCF,_xlpm.sGR-_xlpm.sExp+$AA$35,_xlpm.sale,H$18*$B19*$Y$5*$Y$6*$Y$15*(1-$Y$17),_xlpm.opCF+_xlpm.sale-$Y$22+$Y$24)))</f>
        <v>0</v>
      </c>
    </row>
    <row r="82" spans="2:13" hidden="1">
      <c r="B82" s="933" t="e">
        <f t="shared" si="14"/>
        <v>#VALUE!</v>
      </c>
      <c r="C82">
        <f t="shared" si="13"/>
        <v>0</v>
      </c>
      <c r="D82" s="43">
        <f>IF(1&gt;$Y$16,0,_xlfn.LET(_xlpm.sRR,H$18*$B20*$Y$5*$Y$6*$Y$26,_xlpm.sOR,H$18*$Y$5*$Y$6,_xlpm.sOI,$AE$26*_xlpm.sOR,_xlpm.sOD,$Y$23*_xlpm.sRR,_xlpm.sGR,_xlpm.sRR+_xlpm.sOI+_xlpm.sOD,_xlpm.sExp,$Z$26+$AB$26*_xlpm.sRR+($AC$26+INPUTS!$F$13)*_xlpm.sGR+$AD$26*_xlpm.sOR,_xlpm.sGR-_xlpm.sExp+$AA$26))</f>
        <v>0</v>
      </c>
      <c r="E82" s="43">
        <f>IF(2&gt;$Y$16,0,_xlfn.LET(_xlpm.sRR,H$18*$B20*$Y$5*$Y$6*$Y$27,_xlpm.sOR,H$18*$Y$5*$Y$6,_xlpm.sOI,$AE$27*_xlpm.sOR,_xlpm.sOD,$Y$23*_xlpm.sRR,_xlpm.sGR,_xlpm.sRR+_xlpm.sOI+_xlpm.sOD,_xlpm.sExp,$Z$27+$AB$27*_xlpm.sRR+($AC$27+INPUTS!$F$13)*_xlpm.sGR+$AD$27*_xlpm.sOR,_xlpm.sGR-_xlpm.sExp+$AA$27))</f>
        <v>0</v>
      </c>
      <c r="F82" s="43">
        <f>IF(3&gt;$Y$16,0,_xlfn.LET(_xlpm.sRR,H$18*$B20*$Y$5*$Y$6*$Y$28,_xlpm.sOR,H$18*$Y$5*$Y$6,_xlpm.sOI,$AE$28*_xlpm.sOR,_xlpm.sOD,$Y$23*_xlpm.sRR,_xlpm.sGR,_xlpm.sRR+_xlpm.sOI+_xlpm.sOD,_xlpm.sExp,$Z$28+$AB$28*_xlpm.sRR+($AC$28+INPUTS!$F$13)*_xlpm.sGR+$AD$28*_xlpm.sOR,_xlpm.sGR-_xlpm.sExp+$AA$28))</f>
        <v>0</v>
      </c>
      <c r="G82" s="43">
        <f>IF(4&gt;$Y$16,0,_xlfn.LET(_xlpm.sRR,H$18*$B20*$Y$5*$Y$6*$Y$29,_xlpm.sOR,H$18*$Y$5*$Y$6,_xlpm.sOI,$AE$29*_xlpm.sOR,_xlpm.sOD,$Y$23*_xlpm.sRR,_xlpm.sGR,_xlpm.sRR+_xlpm.sOI+_xlpm.sOD,_xlpm.sExp,$Z$29+$AB$29*_xlpm.sRR+($AC$29+INPUTS!$F$13)*_xlpm.sGR+$AD$29*_xlpm.sOR,_xlpm.sGR-_xlpm.sExp+$AA$29))</f>
        <v>0</v>
      </c>
      <c r="H82" s="43">
        <f>IF(5&gt;$Y$16,0,_xlfn.LET(_xlpm.sRR,H$18*$B20*$Y$5*$Y$6*$Y$30,_xlpm.sOR,H$18*$Y$5*$Y$6,_xlpm.sOI,$AE$30*_xlpm.sOR,_xlpm.sOD,$Y$23*_xlpm.sRR,_xlpm.sGR,_xlpm.sRR+_xlpm.sOI+_xlpm.sOD,_xlpm.sExp,$Z$30+$AB$30*_xlpm.sRR+($AC$30+INPUTS!$F$13)*_xlpm.sGR+$AD$30*_xlpm.sOR,_xlpm.sGR-_xlpm.sExp+$AA$30))</f>
        <v>0</v>
      </c>
      <c r="I82" s="43">
        <f>IF(6&gt;$Y$16,0,_xlfn.LET(_xlpm.sRR,H$18*$B20*$Y$5*$Y$6*$Y$31,_xlpm.sOR,H$18*$Y$5*$Y$6,_xlpm.sOI,$AE$31*_xlpm.sOR,_xlpm.sOD,$Y$23*_xlpm.sRR,_xlpm.sGR,_xlpm.sRR+_xlpm.sOI+_xlpm.sOD,_xlpm.sExp,$Z$31+$AB$31*_xlpm.sRR+($AC$31+INPUTS!$F$13)*_xlpm.sGR+$AD$31*_xlpm.sOR,_xlpm.sGR-_xlpm.sExp+$AA$31))</f>
        <v>0</v>
      </c>
      <c r="J82" s="43">
        <f>IF(7&gt;$Y$16,0,_xlfn.LET(_xlpm.sRR,H$18*$B20*$Y$5*$Y$6*$Y$32,_xlpm.sOR,H$18*$Y$5*$Y$6,_xlpm.sOI,$AE$32*_xlpm.sOR,_xlpm.sOD,$Y$23*_xlpm.sRR,_xlpm.sGR,_xlpm.sRR+_xlpm.sOI+_xlpm.sOD,_xlpm.sExp,$Z$32+$AB$32*_xlpm.sRR+($AC$32+INPUTS!$F$13)*_xlpm.sGR+$AD$32*_xlpm.sOR,_xlpm.sGR-_xlpm.sExp+$AA$32))</f>
        <v>0</v>
      </c>
      <c r="K82" s="43">
        <f>IF(8&gt;$Y$16,0,_xlfn.LET(_xlpm.sRR,H$18*$B20*$Y$5*$Y$6*$Y$33,_xlpm.sOR,H$18*$Y$5*$Y$6,_xlpm.sOI,$AE$33*_xlpm.sOR,_xlpm.sOD,$Y$23*_xlpm.sRR,_xlpm.sGR,_xlpm.sRR+_xlpm.sOI+_xlpm.sOD,_xlpm.sExp,$Z$33+$AB$33*_xlpm.sRR+($AC$33+INPUTS!$F$13)*_xlpm.sGR+$AD$33*_xlpm.sOR,_xlpm.sGR-_xlpm.sExp+$AA$33))</f>
        <v>0</v>
      </c>
      <c r="L82" s="43">
        <f>IF(9&gt;$Y$16,0,_xlfn.LET(_xlpm.sRR,H$18*$B20*$Y$5*$Y$6*$Y$34,_xlpm.sOR,H$18*$Y$5*$Y$6,_xlpm.sOI,$AE$34*_xlpm.sOR,_xlpm.sOD,$Y$23*_xlpm.sRR,_xlpm.sGR,_xlpm.sRR+_xlpm.sOI+_xlpm.sOD,_xlpm.sExp,$Z$34+$AB$34*_xlpm.sRR+($AC$34+INPUTS!$F$13)*_xlpm.sGR+$AD$34*_xlpm.sOR,_xlpm.sGR-_xlpm.sExp+$AA$34))</f>
        <v>0</v>
      </c>
      <c r="M82" s="43">
        <f>IF(10&gt;$Y$16,0,IF(10&lt;$Y$16,_xlfn.LET(_xlpm.sRR,H$18*$B20*$Y$5*$Y$6*$Y$35,_xlpm.sOR,H$18*$Y$5*$Y$6,_xlpm.sOI,$AE$35*_xlpm.sOR,_xlpm.sOD,$Y$23*_xlpm.sRR,_xlpm.sGR,_xlpm.sRR+_xlpm.sOI+_xlpm.sOD,_xlpm.sExp,$Z$35+$AB$35*_xlpm.sRR+($AC$35+INPUTS!$F$13)*_xlpm.sGR+$AD$35*_xlpm.sOR,_xlpm.sGR-_xlpm.sExp+$AA$35),_xlfn.LET(_xlpm.sRR,H$18*$B20*$Y$5*$Y$6*$Y$35,_xlpm.sOR,H$18*$Y$5*$Y$6,_xlpm.sOI,$AE$35*_xlpm.sOR,_xlpm.sOD,$Y$23*_xlpm.sRR,_xlpm.sGR,_xlpm.sRR+_xlpm.sOI+_xlpm.sOD,_xlpm.sExp,$Z$35+$AB$35*_xlpm.sRR+($AC$35+INPUTS!$F$13)*_xlpm.sGR+$AD$35*_xlpm.sOR,_xlpm.opCF,_xlpm.sGR-_xlpm.sExp+$AA$35,_xlpm.sale,H$18*$B20*$Y$5*$Y$6*$Y$15*(1-$Y$17),_xlpm.opCF+_xlpm.sale-$Y$22+$Y$24)))</f>
        <v>0</v>
      </c>
    </row>
    <row r="83" spans="2:13" hidden="1">
      <c r="B83" s="933" t="e">
        <f t="shared" si="14"/>
        <v>#VALUE!</v>
      </c>
      <c r="C83">
        <f t="shared" si="13"/>
        <v>0</v>
      </c>
      <c r="D83" s="43">
        <f>IF(1&gt;$Y$16,0,_xlfn.LET(_xlpm.sRR,H$18*$B21*$Y$5*$Y$6*$Y$26,_xlpm.sOR,H$18*$Y$5*$Y$6,_xlpm.sOI,$AE$26*_xlpm.sOR,_xlpm.sOD,$Y$23*_xlpm.sRR,_xlpm.sGR,_xlpm.sRR+_xlpm.sOI+_xlpm.sOD,_xlpm.sExp,$Z$26+$AB$26*_xlpm.sRR+($AC$26+INPUTS!$F$13)*_xlpm.sGR+$AD$26*_xlpm.sOR,_xlpm.sGR-_xlpm.sExp+$AA$26))</f>
        <v>0</v>
      </c>
      <c r="E83" s="43">
        <f>IF(2&gt;$Y$16,0,_xlfn.LET(_xlpm.sRR,H$18*$B21*$Y$5*$Y$6*$Y$27,_xlpm.sOR,H$18*$Y$5*$Y$6,_xlpm.sOI,$AE$27*_xlpm.sOR,_xlpm.sOD,$Y$23*_xlpm.sRR,_xlpm.sGR,_xlpm.sRR+_xlpm.sOI+_xlpm.sOD,_xlpm.sExp,$Z$27+$AB$27*_xlpm.sRR+($AC$27+INPUTS!$F$13)*_xlpm.sGR+$AD$27*_xlpm.sOR,_xlpm.sGR-_xlpm.sExp+$AA$27))</f>
        <v>0</v>
      </c>
      <c r="F83" s="43">
        <f>IF(3&gt;$Y$16,0,_xlfn.LET(_xlpm.sRR,H$18*$B21*$Y$5*$Y$6*$Y$28,_xlpm.sOR,H$18*$Y$5*$Y$6,_xlpm.sOI,$AE$28*_xlpm.sOR,_xlpm.sOD,$Y$23*_xlpm.sRR,_xlpm.sGR,_xlpm.sRR+_xlpm.sOI+_xlpm.sOD,_xlpm.sExp,$Z$28+$AB$28*_xlpm.sRR+($AC$28+INPUTS!$F$13)*_xlpm.sGR+$AD$28*_xlpm.sOR,_xlpm.sGR-_xlpm.sExp+$AA$28))</f>
        <v>0</v>
      </c>
      <c r="G83" s="43">
        <f>IF(4&gt;$Y$16,0,_xlfn.LET(_xlpm.sRR,H$18*$B21*$Y$5*$Y$6*$Y$29,_xlpm.sOR,H$18*$Y$5*$Y$6,_xlpm.sOI,$AE$29*_xlpm.sOR,_xlpm.sOD,$Y$23*_xlpm.sRR,_xlpm.sGR,_xlpm.sRR+_xlpm.sOI+_xlpm.sOD,_xlpm.sExp,$Z$29+$AB$29*_xlpm.sRR+($AC$29+INPUTS!$F$13)*_xlpm.sGR+$AD$29*_xlpm.sOR,_xlpm.sGR-_xlpm.sExp+$AA$29))</f>
        <v>0</v>
      </c>
      <c r="H83" s="43">
        <f>IF(5&gt;$Y$16,0,_xlfn.LET(_xlpm.sRR,H$18*$B21*$Y$5*$Y$6*$Y$30,_xlpm.sOR,H$18*$Y$5*$Y$6,_xlpm.sOI,$AE$30*_xlpm.sOR,_xlpm.sOD,$Y$23*_xlpm.sRR,_xlpm.sGR,_xlpm.sRR+_xlpm.sOI+_xlpm.sOD,_xlpm.sExp,$Z$30+$AB$30*_xlpm.sRR+($AC$30+INPUTS!$F$13)*_xlpm.sGR+$AD$30*_xlpm.sOR,_xlpm.sGR-_xlpm.sExp+$AA$30))</f>
        <v>0</v>
      </c>
      <c r="I83" s="43">
        <f>IF(6&gt;$Y$16,0,_xlfn.LET(_xlpm.sRR,H$18*$B21*$Y$5*$Y$6*$Y$31,_xlpm.sOR,H$18*$Y$5*$Y$6,_xlpm.sOI,$AE$31*_xlpm.sOR,_xlpm.sOD,$Y$23*_xlpm.sRR,_xlpm.sGR,_xlpm.sRR+_xlpm.sOI+_xlpm.sOD,_xlpm.sExp,$Z$31+$AB$31*_xlpm.sRR+($AC$31+INPUTS!$F$13)*_xlpm.sGR+$AD$31*_xlpm.sOR,_xlpm.sGR-_xlpm.sExp+$AA$31))</f>
        <v>0</v>
      </c>
      <c r="J83" s="43">
        <f>IF(7&gt;$Y$16,0,_xlfn.LET(_xlpm.sRR,H$18*$B21*$Y$5*$Y$6*$Y$32,_xlpm.sOR,H$18*$Y$5*$Y$6,_xlpm.sOI,$AE$32*_xlpm.sOR,_xlpm.sOD,$Y$23*_xlpm.sRR,_xlpm.sGR,_xlpm.sRR+_xlpm.sOI+_xlpm.sOD,_xlpm.sExp,$Z$32+$AB$32*_xlpm.sRR+($AC$32+INPUTS!$F$13)*_xlpm.sGR+$AD$32*_xlpm.sOR,_xlpm.sGR-_xlpm.sExp+$AA$32))</f>
        <v>0</v>
      </c>
      <c r="K83" s="43">
        <f>IF(8&gt;$Y$16,0,_xlfn.LET(_xlpm.sRR,H$18*$B21*$Y$5*$Y$6*$Y$33,_xlpm.sOR,H$18*$Y$5*$Y$6,_xlpm.sOI,$AE$33*_xlpm.sOR,_xlpm.sOD,$Y$23*_xlpm.sRR,_xlpm.sGR,_xlpm.sRR+_xlpm.sOI+_xlpm.sOD,_xlpm.sExp,$Z$33+$AB$33*_xlpm.sRR+($AC$33+INPUTS!$F$13)*_xlpm.sGR+$AD$33*_xlpm.sOR,_xlpm.sGR-_xlpm.sExp+$AA$33))</f>
        <v>0</v>
      </c>
      <c r="L83" s="43">
        <f>IF(9&gt;$Y$16,0,_xlfn.LET(_xlpm.sRR,H$18*$B21*$Y$5*$Y$6*$Y$34,_xlpm.sOR,H$18*$Y$5*$Y$6,_xlpm.sOI,$AE$34*_xlpm.sOR,_xlpm.sOD,$Y$23*_xlpm.sRR,_xlpm.sGR,_xlpm.sRR+_xlpm.sOI+_xlpm.sOD,_xlpm.sExp,$Z$34+$AB$34*_xlpm.sRR+($AC$34+INPUTS!$F$13)*_xlpm.sGR+$AD$34*_xlpm.sOR,_xlpm.sGR-_xlpm.sExp+$AA$34))</f>
        <v>0</v>
      </c>
      <c r="M83" s="43">
        <f>IF(10&gt;$Y$16,0,IF(10&lt;$Y$16,_xlfn.LET(_xlpm.sRR,H$18*$B21*$Y$5*$Y$6*$Y$35,_xlpm.sOR,H$18*$Y$5*$Y$6,_xlpm.sOI,$AE$35*_xlpm.sOR,_xlpm.sOD,$Y$23*_xlpm.sRR,_xlpm.sGR,_xlpm.sRR+_xlpm.sOI+_xlpm.sOD,_xlpm.sExp,$Z$35+$AB$35*_xlpm.sRR+($AC$35+INPUTS!$F$13)*_xlpm.sGR+$AD$35*_xlpm.sOR,_xlpm.sGR-_xlpm.sExp+$AA$35),_xlfn.LET(_xlpm.sRR,H$18*$B21*$Y$5*$Y$6*$Y$35,_xlpm.sOR,H$18*$Y$5*$Y$6,_xlpm.sOI,$AE$35*_xlpm.sOR,_xlpm.sOD,$Y$23*_xlpm.sRR,_xlpm.sGR,_xlpm.sRR+_xlpm.sOI+_xlpm.sOD,_xlpm.sExp,$Z$35+$AB$35*_xlpm.sRR+($AC$35+INPUTS!$F$13)*_xlpm.sGR+$AD$35*_xlpm.sOR,_xlpm.opCF,_xlpm.sGR-_xlpm.sExp+$AA$35,_xlpm.sale,H$18*$B21*$Y$5*$Y$6*$Y$15*(1-$Y$17),_xlpm.opCF+_xlpm.sale-$Y$22+$Y$24)))</f>
        <v>0</v>
      </c>
    </row>
    <row r="84" spans="2:13" hidden="1">
      <c r="B84" s="933" t="e">
        <f t="shared" si="14"/>
        <v>#VALUE!</v>
      </c>
      <c r="C84">
        <f t="shared" si="13"/>
        <v>0</v>
      </c>
      <c r="D84" s="43">
        <f>IF(1&gt;$Y$16,0,_xlfn.LET(_xlpm.sRR,H$18*$B22*$Y$5*$Y$6*$Y$26,_xlpm.sOR,H$18*$Y$5*$Y$6,_xlpm.sOI,$AE$26*_xlpm.sOR,_xlpm.sOD,$Y$23*_xlpm.sRR,_xlpm.sGR,_xlpm.sRR+_xlpm.sOI+_xlpm.sOD,_xlpm.sExp,$Z$26+$AB$26*_xlpm.sRR+($AC$26+INPUTS!$F$13)*_xlpm.sGR+$AD$26*_xlpm.sOR,_xlpm.sGR-_xlpm.sExp+$AA$26))</f>
        <v>0</v>
      </c>
      <c r="E84" s="43">
        <f>IF(2&gt;$Y$16,0,_xlfn.LET(_xlpm.sRR,H$18*$B22*$Y$5*$Y$6*$Y$27,_xlpm.sOR,H$18*$Y$5*$Y$6,_xlpm.sOI,$AE$27*_xlpm.sOR,_xlpm.sOD,$Y$23*_xlpm.sRR,_xlpm.sGR,_xlpm.sRR+_xlpm.sOI+_xlpm.sOD,_xlpm.sExp,$Z$27+$AB$27*_xlpm.sRR+($AC$27+INPUTS!$F$13)*_xlpm.sGR+$AD$27*_xlpm.sOR,_xlpm.sGR-_xlpm.sExp+$AA$27))</f>
        <v>0</v>
      </c>
      <c r="F84" s="43">
        <f>IF(3&gt;$Y$16,0,_xlfn.LET(_xlpm.sRR,H$18*$B22*$Y$5*$Y$6*$Y$28,_xlpm.sOR,H$18*$Y$5*$Y$6,_xlpm.sOI,$AE$28*_xlpm.sOR,_xlpm.sOD,$Y$23*_xlpm.sRR,_xlpm.sGR,_xlpm.sRR+_xlpm.sOI+_xlpm.sOD,_xlpm.sExp,$Z$28+$AB$28*_xlpm.sRR+($AC$28+INPUTS!$F$13)*_xlpm.sGR+$AD$28*_xlpm.sOR,_xlpm.sGR-_xlpm.sExp+$AA$28))</f>
        <v>0</v>
      </c>
      <c r="G84" s="43">
        <f>IF(4&gt;$Y$16,0,_xlfn.LET(_xlpm.sRR,H$18*$B22*$Y$5*$Y$6*$Y$29,_xlpm.sOR,H$18*$Y$5*$Y$6,_xlpm.sOI,$AE$29*_xlpm.sOR,_xlpm.sOD,$Y$23*_xlpm.sRR,_xlpm.sGR,_xlpm.sRR+_xlpm.sOI+_xlpm.sOD,_xlpm.sExp,$Z$29+$AB$29*_xlpm.sRR+($AC$29+INPUTS!$F$13)*_xlpm.sGR+$AD$29*_xlpm.sOR,_xlpm.sGR-_xlpm.sExp+$AA$29))</f>
        <v>0</v>
      </c>
      <c r="H84" s="43">
        <f>IF(5&gt;$Y$16,0,_xlfn.LET(_xlpm.sRR,H$18*$B22*$Y$5*$Y$6*$Y$30,_xlpm.sOR,H$18*$Y$5*$Y$6,_xlpm.sOI,$AE$30*_xlpm.sOR,_xlpm.sOD,$Y$23*_xlpm.sRR,_xlpm.sGR,_xlpm.sRR+_xlpm.sOI+_xlpm.sOD,_xlpm.sExp,$Z$30+$AB$30*_xlpm.sRR+($AC$30+INPUTS!$F$13)*_xlpm.sGR+$AD$30*_xlpm.sOR,_xlpm.sGR-_xlpm.sExp+$AA$30))</f>
        <v>0</v>
      </c>
      <c r="I84" s="43">
        <f>IF(6&gt;$Y$16,0,_xlfn.LET(_xlpm.sRR,H$18*$B22*$Y$5*$Y$6*$Y$31,_xlpm.sOR,H$18*$Y$5*$Y$6,_xlpm.sOI,$AE$31*_xlpm.sOR,_xlpm.sOD,$Y$23*_xlpm.sRR,_xlpm.sGR,_xlpm.sRR+_xlpm.sOI+_xlpm.sOD,_xlpm.sExp,$Z$31+$AB$31*_xlpm.sRR+($AC$31+INPUTS!$F$13)*_xlpm.sGR+$AD$31*_xlpm.sOR,_xlpm.sGR-_xlpm.sExp+$AA$31))</f>
        <v>0</v>
      </c>
      <c r="J84" s="43">
        <f>IF(7&gt;$Y$16,0,_xlfn.LET(_xlpm.sRR,H$18*$B22*$Y$5*$Y$6*$Y$32,_xlpm.sOR,H$18*$Y$5*$Y$6,_xlpm.sOI,$AE$32*_xlpm.sOR,_xlpm.sOD,$Y$23*_xlpm.sRR,_xlpm.sGR,_xlpm.sRR+_xlpm.sOI+_xlpm.sOD,_xlpm.sExp,$Z$32+$AB$32*_xlpm.sRR+($AC$32+INPUTS!$F$13)*_xlpm.sGR+$AD$32*_xlpm.sOR,_xlpm.sGR-_xlpm.sExp+$AA$32))</f>
        <v>0</v>
      </c>
      <c r="K84" s="43">
        <f>IF(8&gt;$Y$16,0,_xlfn.LET(_xlpm.sRR,H$18*$B22*$Y$5*$Y$6*$Y$33,_xlpm.sOR,H$18*$Y$5*$Y$6,_xlpm.sOI,$AE$33*_xlpm.sOR,_xlpm.sOD,$Y$23*_xlpm.sRR,_xlpm.sGR,_xlpm.sRR+_xlpm.sOI+_xlpm.sOD,_xlpm.sExp,$Z$33+$AB$33*_xlpm.sRR+($AC$33+INPUTS!$F$13)*_xlpm.sGR+$AD$33*_xlpm.sOR,_xlpm.sGR-_xlpm.sExp+$AA$33))</f>
        <v>0</v>
      </c>
      <c r="L84" s="43">
        <f>IF(9&gt;$Y$16,0,_xlfn.LET(_xlpm.sRR,H$18*$B22*$Y$5*$Y$6*$Y$34,_xlpm.sOR,H$18*$Y$5*$Y$6,_xlpm.sOI,$AE$34*_xlpm.sOR,_xlpm.sOD,$Y$23*_xlpm.sRR,_xlpm.sGR,_xlpm.sRR+_xlpm.sOI+_xlpm.sOD,_xlpm.sExp,$Z$34+$AB$34*_xlpm.sRR+($AC$34+INPUTS!$F$13)*_xlpm.sGR+$AD$34*_xlpm.sOR,_xlpm.sGR-_xlpm.sExp+$AA$34))</f>
        <v>0</v>
      </c>
      <c r="M84" s="43">
        <f>IF(10&gt;$Y$16,0,IF(10&lt;$Y$16,_xlfn.LET(_xlpm.sRR,H$18*$B22*$Y$5*$Y$6*$Y$35,_xlpm.sOR,H$18*$Y$5*$Y$6,_xlpm.sOI,$AE$35*_xlpm.sOR,_xlpm.sOD,$Y$23*_xlpm.sRR,_xlpm.sGR,_xlpm.sRR+_xlpm.sOI+_xlpm.sOD,_xlpm.sExp,$Z$35+$AB$35*_xlpm.sRR+($AC$35+INPUTS!$F$13)*_xlpm.sGR+$AD$35*_xlpm.sOR,_xlpm.sGR-_xlpm.sExp+$AA$35),_xlfn.LET(_xlpm.sRR,H$18*$B22*$Y$5*$Y$6*$Y$35,_xlpm.sOR,H$18*$Y$5*$Y$6,_xlpm.sOI,$AE$35*_xlpm.sOR,_xlpm.sOD,$Y$23*_xlpm.sRR,_xlpm.sGR,_xlpm.sRR+_xlpm.sOI+_xlpm.sOD,_xlpm.sExp,$Z$35+$AB$35*_xlpm.sRR+($AC$35+INPUTS!$F$13)*_xlpm.sGR+$AD$35*_xlpm.sOR,_xlpm.opCF,_xlpm.sGR-_xlpm.sExp+$AA$35,_xlpm.sale,H$18*$B22*$Y$5*$Y$6*$Y$15*(1-$Y$17),_xlpm.opCF+_xlpm.sale-$Y$22+$Y$24)))</f>
        <v>0</v>
      </c>
    </row>
    <row r="85" spans="2:13" hidden="1">
      <c r="B85" s="933" t="e">
        <f t="shared" si="14"/>
        <v>#VALUE!</v>
      </c>
      <c r="C85">
        <f t="shared" si="13"/>
        <v>0</v>
      </c>
      <c r="D85" s="43">
        <f>IF(1&gt;$Y$16,0,_xlfn.LET(_xlpm.sRR,H$18*$B23*$Y$5*$Y$6*$Y$26,_xlpm.sOR,H$18*$Y$5*$Y$6,_xlpm.sOI,$AE$26*_xlpm.sOR,_xlpm.sOD,$Y$23*_xlpm.sRR,_xlpm.sGR,_xlpm.sRR+_xlpm.sOI+_xlpm.sOD,_xlpm.sExp,$Z$26+$AB$26*_xlpm.sRR+($AC$26+INPUTS!$F$13)*_xlpm.sGR+$AD$26*_xlpm.sOR,_xlpm.sGR-_xlpm.sExp+$AA$26))</f>
        <v>0</v>
      </c>
      <c r="E85" s="43">
        <f>IF(2&gt;$Y$16,0,_xlfn.LET(_xlpm.sRR,H$18*$B23*$Y$5*$Y$6*$Y$27,_xlpm.sOR,H$18*$Y$5*$Y$6,_xlpm.sOI,$AE$27*_xlpm.sOR,_xlpm.sOD,$Y$23*_xlpm.sRR,_xlpm.sGR,_xlpm.sRR+_xlpm.sOI+_xlpm.sOD,_xlpm.sExp,$Z$27+$AB$27*_xlpm.sRR+($AC$27+INPUTS!$F$13)*_xlpm.sGR+$AD$27*_xlpm.sOR,_xlpm.sGR-_xlpm.sExp+$AA$27))</f>
        <v>0</v>
      </c>
      <c r="F85" s="43">
        <f>IF(3&gt;$Y$16,0,_xlfn.LET(_xlpm.sRR,H$18*$B23*$Y$5*$Y$6*$Y$28,_xlpm.sOR,H$18*$Y$5*$Y$6,_xlpm.sOI,$AE$28*_xlpm.sOR,_xlpm.sOD,$Y$23*_xlpm.sRR,_xlpm.sGR,_xlpm.sRR+_xlpm.sOI+_xlpm.sOD,_xlpm.sExp,$Z$28+$AB$28*_xlpm.sRR+($AC$28+INPUTS!$F$13)*_xlpm.sGR+$AD$28*_xlpm.sOR,_xlpm.sGR-_xlpm.sExp+$AA$28))</f>
        <v>0</v>
      </c>
      <c r="G85" s="43">
        <f>IF(4&gt;$Y$16,0,_xlfn.LET(_xlpm.sRR,H$18*$B23*$Y$5*$Y$6*$Y$29,_xlpm.sOR,H$18*$Y$5*$Y$6,_xlpm.sOI,$AE$29*_xlpm.sOR,_xlpm.sOD,$Y$23*_xlpm.sRR,_xlpm.sGR,_xlpm.sRR+_xlpm.sOI+_xlpm.sOD,_xlpm.sExp,$Z$29+$AB$29*_xlpm.sRR+($AC$29+INPUTS!$F$13)*_xlpm.sGR+$AD$29*_xlpm.sOR,_xlpm.sGR-_xlpm.sExp+$AA$29))</f>
        <v>0</v>
      </c>
      <c r="H85" s="43">
        <f>IF(5&gt;$Y$16,0,_xlfn.LET(_xlpm.sRR,H$18*$B23*$Y$5*$Y$6*$Y$30,_xlpm.sOR,H$18*$Y$5*$Y$6,_xlpm.sOI,$AE$30*_xlpm.sOR,_xlpm.sOD,$Y$23*_xlpm.sRR,_xlpm.sGR,_xlpm.sRR+_xlpm.sOI+_xlpm.sOD,_xlpm.sExp,$Z$30+$AB$30*_xlpm.sRR+($AC$30+INPUTS!$F$13)*_xlpm.sGR+$AD$30*_xlpm.sOR,_xlpm.sGR-_xlpm.sExp+$AA$30))</f>
        <v>0</v>
      </c>
      <c r="I85" s="43">
        <f>IF(6&gt;$Y$16,0,_xlfn.LET(_xlpm.sRR,H$18*$B23*$Y$5*$Y$6*$Y$31,_xlpm.sOR,H$18*$Y$5*$Y$6,_xlpm.sOI,$AE$31*_xlpm.sOR,_xlpm.sOD,$Y$23*_xlpm.sRR,_xlpm.sGR,_xlpm.sRR+_xlpm.sOI+_xlpm.sOD,_xlpm.sExp,$Z$31+$AB$31*_xlpm.sRR+($AC$31+INPUTS!$F$13)*_xlpm.sGR+$AD$31*_xlpm.sOR,_xlpm.sGR-_xlpm.sExp+$AA$31))</f>
        <v>0</v>
      </c>
      <c r="J85" s="43">
        <f>IF(7&gt;$Y$16,0,_xlfn.LET(_xlpm.sRR,H$18*$B23*$Y$5*$Y$6*$Y$32,_xlpm.sOR,H$18*$Y$5*$Y$6,_xlpm.sOI,$AE$32*_xlpm.sOR,_xlpm.sOD,$Y$23*_xlpm.sRR,_xlpm.sGR,_xlpm.sRR+_xlpm.sOI+_xlpm.sOD,_xlpm.sExp,$Z$32+$AB$32*_xlpm.sRR+($AC$32+INPUTS!$F$13)*_xlpm.sGR+$AD$32*_xlpm.sOR,_xlpm.sGR-_xlpm.sExp+$AA$32))</f>
        <v>0</v>
      </c>
      <c r="K85" s="43">
        <f>IF(8&gt;$Y$16,0,_xlfn.LET(_xlpm.sRR,H$18*$B23*$Y$5*$Y$6*$Y$33,_xlpm.sOR,H$18*$Y$5*$Y$6,_xlpm.sOI,$AE$33*_xlpm.sOR,_xlpm.sOD,$Y$23*_xlpm.sRR,_xlpm.sGR,_xlpm.sRR+_xlpm.sOI+_xlpm.sOD,_xlpm.sExp,$Z$33+$AB$33*_xlpm.sRR+($AC$33+INPUTS!$F$13)*_xlpm.sGR+$AD$33*_xlpm.sOR,_xlpm.sGR-_xlpm.sExp+$AA$33))</f>
        <v>0</v>
      </c>
      <c r="L85" s="43">
        <f>IF(9&gt;$Y$16,0,_xlfn.LET(_xlpm.sRR,H$18*$B23*$Y$5*$Y$6*$Y$34,_xlpm.sOR,H$18*$Y$5*$Y$6,_xlpm.sOI,$AE$34*_xlpm.sOR,_xlpm.sOD,$Y$23*_xlpm.sRR,_xlpm.sGR,_xlpm.sRR+_xlpm.sOI+_xlpm.sOD,_xlpm.sExp,$Z$34+$AB$34*_xlpm.sRR+($AC$34+INPUTS!$F$13)*_xlpm.sGR+$AD$34*_xlpm.sOR,_xlpm.sGR-_xlpm.sExp+$AA$34))</f>
        <v>0</v>
      </c>
      <c r="M85" s="43">
        <f>IF(10&gt;$Y$16,0,IF(10&lt;$Y$16,_xlfn.LET(_xlpm.sRR,H$18*$B23*$Y$5*$Y$6*$Y$35,_xlpm.sOR,H$18*$Y$5*$Y$6,_xlpm.sOI,$AE$35*_xlpm.sOR,_xlpm.sOD,$Y$23*_xlpm.sRR,_xlpm.sGR,_xlpm.sRR+_xlpm.sOI+_xlpm.sOD,_xlpm.sExp,$Z$35+$AB$35*_xlpm.sRR+($AC$35+INPUTS!$F$13)*_xlpm.sGR+$AD$35*_xlpm.sOR,_xlpm.sGR-_xlpm.sExp+$AA$35),_xlfn.LET(_xlpm.sRR,H$18*$B23*$Y$5*$Y$6*$Y$35,_xlpm.sOR,H$18*$Y$5*$Y$6,_xlpm.sOI,$AE$35*_xlpm.sOR,_xlpm.sOD,$Y$23*_xlpm.sRR,_xlpm.sGR,_xlpm.sRR+_xlpm.sOI+_xlpm.sOD,_xlpm.sExp,$Z$35+$AB$35*_xlpm.sRR+($AC$35+INPUTS!$F$13)*_xlpm.sGR+$AD$35*_xlpm.sOR,_xlpm.opCF,_xlpm.sGR-_xlpm.sExp+$AA$35,_xlpm.sale,H$18*$B23*$Y$5*$Y$6*$Y$15*(1-$Y$17),_xlpm.opCF+_xlpm.sale-$Y$22+$Y$24)))</f>
        <v>0</v>
      </c>
    </row>
    <row r="86" spans="2:13" hidden="1">
      <c r="B86" s="933" t="e">
        <f t="shared" si="14"/>
        <v>#VALUE!</v>
      </c>
      <c r="C86">
        <f t="shared" si="13"/>
        <v>0</v>
      </c>
      <c r="D86" s="43">
        <f>IF(1&gt;$Y$16,0,_xlfn.LET(_xlpm.sRR,H$18*$B24*$Y$5*$Y$6*$Y$26,_xlpm.sOR,H$18*$Y$5*$Y$6,_xlpm.sOI,$AE$26*_xlpm.sOR,_xlpm.sOD,$Y$23*_xlpm.sRR,_xlpm.sGR,_xlpm.sRR+_xlpm.sOI+_xlpm.sOD,_xlpm.sExp,$Z$26+$AB$26*_xlpm.sRR+($AC$26+INPUTS!$F$13)*_xlpm.sGR+$AD$26*_xlpm.sOR,_xlpm.sGR-_xlpm.sExp+$AA$26))</f>
        <v>0</v>
      </c>
      <c r="E86" s="43">
        <f>IF(2&gt;$Y$16,0,_xlfn.LET(_xlpm.sRR,H$18*$B24*$Y$5*$Y$6*$Y$27,_xlpm.sOR,H$18*$Y$5*$Y$6,_xlpm.sOI,$AE$27*_xlpm.sOR,_xlpm.sOD,$Y$23*_xlpm.sRR,_xlpm.sGR,_xlpm.sRR+_xlpm.sOI+_xlpm.sOD,_xlpm.sExp,$Z$27+$AB$27*_xlpm.sRR+($AC$27+INPUTS!$F$13)*_xlpm.sGR+$AD$27*_xlpm.sOR,_xlpm.sGR-_xlpm.sExp+$AA$27))</f>
        <v>0</v>
      </c>
      <c r="F86" s="43">
        <f>IF(3&gt;$Y$16,0,_xlfn.LET(_xlpm.sRR,H$18*$B24*$Y$5*$Y$6*$Y$28,_xlpm.sOR,H$18*$Y$5*$Y$6,_xlpm.sOI,$AE$28*_xlpm.sOR,_xlpm.sOD,$Y$23*_xlpm.sRR,_xlpm.sGR,_xlpm.sRR+_xlpm.sOI+_xlpm.sOD,_xlpm.sExp,$Z$28+$AB$28*_xlpm.sRR+($AC$28+INPUTS!$F$13)*_xlpm.sGR+$AD$28*_xlpm.sOR,_xlpm.sGR-_xlpm.sExp+$AA$28))</f>
        <v>0</v>
      </c>
      <c r="G86" s="43">
        <f>IF(4&gt;$Y$16,0,_xlfn.LET(_xlpm.sRR,H$18*$B24*$Y$5*$Y$6*$Y$29,_xlpm.sOR,H$18*$Y$5*$Y$6,_xlpm.sOI,$AE$29*_xlpm.sOR,_xlpm.sOD,$Y$23*_xlpm.sRR,_xlpm.sGR,_xlpm.sRR+_xlpm.sOI+_xlpm.sOD,_xlpm.sExp,$Z$29+$AB$29*_xlpm.sRR+($AC$29+INPUTS!$F$13)*_xlpm.sGR+$AD$29*_xlpm.sOR,_xlpm.sGR-_xlpm.sExp+$AA$29))</f>
        <v>0</v>
      </c>
      <c r="H86" s="43">
        <f>IF(5&gt;$Y$16,0,_xlfn.LET(_xlpm.sRR,H$18*$B24*$Y$5*$Y$6*$Y$30,_xlpm.sOR,H$18*$Y$5*$Y$6,_xlpm.sOI,$AE$30*_xlpm.sOR,_xlpm.sOD,$Y$23*_xlpm.sRR,_xlpm.sGR,_xlpm.sRR+_xlpm.sOI+_xlpm.sOD,_xlpm.sExp,$Z$30+$AB$30*_xlpm.sRR+($AC$30+INPUTS!$F$13)*_xlpm.sGR+$AD$30*_xlpm.sOR,_xlpm.sGR-_xlpm.sExp+$AA$30))</f>
        <v>0</v>
      </c>
      <c r="I86" s="43">
        <f>IF(6&gt;$Y$16,0,_xlfn.LET(_xlpm.sRR,H$18*$B24*$Y$5*$Y$6*$Y$31,_xlpm.sOR,H$18*$Y$5*$Y$6,_xlpm.sOI,$AE$31*_xlpm.sOR,_xlpm.sOD,$Y$23*_xlpm.sRR,_xlpm.sGR,_xlpm.sRR+_xlpm.sOI+_xlpm.sOD,_xlpm.sExp,$Z$31+$AB$31*_xlpm.sRR+($AC$31+INPUTS!$F$13)*_xlpm.sGR+$AD$31*_xlpm.sOR,_xlpm.sGR-_xlpm.sExp+$AA$31))</f>
        <v>0</v>
      </c>
      <c r="J86" s="43">
        <f>IF(7&gt;$Y$16,0,_xlfn.LET(_xlpm.sRR,H$18*$B24*$Y$5*$Y$6*$Y$32,_xlpm.sOR,H$18*$Y$5*$Y$6,_xlpm.sOI,$AE$32*_xlpm.sOR,_xlpm.sOD,$Y$23*_xlpm.sRR,_xlpm.sGR,_xlpm.sRR+_xlpm.sOI+_xlpm.sOD,_xlpm.sExp,$Z$32+$AB$32*_xlpm.sRR+($AC$32+INPUTS!$F$13)*_xlpm.sGR+$AD$32*_xlpm.sOR,_xlpm.sGR-_xlpm.sExp+$AA$32))</f>
        <v>0</v>
      </c>
      <c r="K86" s="43">
        <f>IF(8&gt;$Y$16,0,_xlfn.LET(_xlpm.sRR,H$18*$B24*$Y$5*$Y$6*$Y$33,_xlpm.sOR,H$18*$Y$5*$Y$6,_xlpm.sOI,$AE$33*_xlpm.sOR,_xlpm.sOD,$Y$23*_xlpm.sRR,_xlpm.sGR,_xlpm.sRR+_xlpm.sOI+_xlpm.sOD,_xlpm.sExp,$Z$33+$AB$33*_xlpm.sRR+($AC$33+INPUTS!$F$13)*_xlpm.sGR+$AD$33*_xlpm.sOR,_xlpm.sGR-_xlpm.sExp+$AA$33))</f>
        <v>0</v>
      </c>
      <c r="L86" s="43">
        <f>IF(9&gt;$Y$16,0,_xlfn.LET(_xlpm.sRR,H$18*$B24*$Y$5*$Y$6*$Y$34,_xlpm.sOR,H$18*$Y$5*$Y$6,_xlpm.sOI,$AE$34*_xlpm.sOR,_xlpm.sOD,$Y$23*_xlpm.sRR,_xlpm.sGR,_xlpm.sRR+_xlpm.sOI+_xlpm.sOD,_xlpm.sExp,$Z$34+$AB$34*_xlpm.sRR+($AC$34+INPUTS!$F$13)*_xlpm.sGR+$AD$34*_xlpm.sOR,_xlpm.sGR-_xlpm.sExp+$AA$34))</f>
        <v>0</v>
      </c>
      <c r="M86" s="43">
        <f>IF(10&gt;$Y$16,0,IF(10&lt;$Y$16,_xlfn.LET(_xlpm.sRR,H$18*$B24*$Y$5*$Y$6*$Y$35,_xlpm.sOR,H$18*$Y$5*$Y$6,_xlpm.sOI,$AE$35*_xlpm.sOR,_xlpm.sOD,$Y$23*_xlpm.sRR,_xlpm.sGR,_xlpm.sRR+_xlpm.sOI+_xlpm.sOD,_xlpm.sExp,$Z$35+$AB$35*_xlpm.sRR+($AC$35+INPUTS!$F$13)*_xlpm.sGR+$AD$35*_xlpm.sOR,_xlpm.sGR-_xlpm.sExp+$AA$35),_xlfn.LET(_xlpm.sRR,H$18*$B24*$Y$5*$Y$6*$Y$35,_xlpm.sOR,H$18*$Y$5*$Y$6,_xlpm.sOI,$AE$35*_xlpm.sOR,_xlpm.sOD,$Y$23*_xlpm.sRR,_xlpm.sGR,_xlpm.sRR+_xlpm.sOI+_xlpm.sOD,_xlpm.sExp,$Z$35+$AB$35*_xlpm.sRR+($AC$35+INPUTS!$F$13)*_xlpm.sGR+$AD$35*_xlpm.sOR,_xlpm.opCF,_xlpm.sGR-_xlpm.sExp+$AA$35,_xlpm.sale,H$18*$B24*$Y$5*$Y$6*$Y$15*(1-$Y$17),_xlpm.opCF+_xlpm.sale-$Y$22+$Y$24)))</f>
        <v>0</v>
      </c>
    </row>
    <row r="87" spans="2:13" hidden="1">
      <c r="B87" s="933" t="e">
        <f t="shared" si="14"/>
        <v>#VALUE!</v>
      </c>
      <c r="C87">
        <f t="shared" si="13"/>
        <v>0</v>
      </c>
      <c r="D87" s="43">
        <f>IF(1&gt;$Y$16,0,_xlfn.LET(_xlpm.sRR,H$18*$B25*$Y$5*$Y$6*$Y$26,_xlpm.sOR,H$18*$Y$5*$Y$6,_xlpm.sOI,$AE$26*_xlpm.sOR,_xlpm.sOD,$Y$23*_xlpm.sRR,_xlpm.sGR,_xlpm.sRR+_xlpm.sOI+_xlpm.sOD,_xlpm.sExp,$Z$26+$AB$26*_xlpm.sRR+($AC$26+INPUTS!$F$13)*_xlpm.sGR+$AD$26*_xlpm.sOR,_xlpm.sGR-_xlpm.sExp+$AA$26))</f>
        <v>0</v>
      </c>
      <c r="E87" s="43">
        <f>IF(2&gt;$Y$16,0,_xlfn.LET(_xlpm.sRR,H$18*$B25*$Y$5*$Y$6*$Y$27,_xlpm.sOR,H$18*$Y$5*$Y$6,_xlpm.sOI,$AE$27*_xlpm.sOR,_xlpm.sOD,$Y$23*_xlpm.sRR,_xlpm.sGR,_xlpm.sRR+_xlpm.sOI+_xlpm.sOD,_xlpm.sExp,$Z$27+$AB$27*_xlpm.sRR+($AC$27+INPUTS!$F$13)*_xlpm.sGR+$AD$27*_xlpm.sOR,_xlpm.sGR-_xlpm.sExp+$AA$27))</f>
        <v>0</v>
      </c>
      <c r="F87" s="43">
        <f>IF(3&gt;$Y$16,0,_xlfn.LET(_xlpm.sRR,H$18*$B25*$Y$5*$Y$6*$Y$28,_xlpm.sOR,H$18*$Y$5*$Y$6,_xlpm.sOI,$AE$28*_xlpm.sOR,_xlpm.sOD,$Y$23*_xlpm.sRR,_xlpm.sGR,_xlpm.sRR+_xlpm.sOI+_xlpm.sOD,_xlpm.sExp,$Z$28+$AB$28*_xlpm.sRR+($AC$28+INPUTS!$F$13)*_xlpm.sGR+$AD$28*_xlpm.sOR,_xlpm.sGR-_xlpm.sExp+$AA$28))</f>
        <v>0</v>
      </c>
      <c r="G87" s="43">
        <f>IF(4&gt;$Y$16,0,_xlfn.LET(_xlpm.sRR,H$18*$B25*$Y$5*$Y$6*$Y$29,_xlpm.sOR,H$18*$Y$5*$Y$6,_xlpm.sOI,$AE$29*_xlpm.sOR,_xlpm.sOD,$Y$23*_xlpm.sRR,_xlpm.sGR,_xlpm.sRR+_xlpm.sOI+_xlpm.sOD,_xlpm.sExp,$Z$29+$AB$29*_xlpm.sRR+($AC$29+INPUTS!$F$13)*_xlpm.sGR+$AD$29*_xlpm.sOR,_xlpm.sGR-_xlpm.sExp+$AA$29))</f>
        <v>0</v>
      </c>
      <c r="H87" s="43">
        <f>IF(5&gt;$Y$16,0,_xlfn.LET(_xlpm.sRR,H$18*$B25*$Y$5*$Y$6*$Y$30,_xlpm.sOR,H$18*$Y$5*$Y$6,_xlpm.sOI,$AE$30*_xlpm.sOR,_xlpm.sOD,$Y$23*_xlpm.sRR,_xlpm.sGR,_xlpm.sRR+_xlpm.sOI+_xlpm.sOD,_xlpm.sExp,$Z$30+$AB$30*_xlpm.sRR+($AC$30+INPUTS!$F$13)*_xlpm.sGR+$AD$30*_xlpm.sOR,_xlpm.sGR-_xlpm.sExp+$AA$30))</f>
        <v>0</v>
      </c>
      <c r="I87" s="43">
        <f>IF(6&gt;$Y$16,0,_xlfn.LET(_xlpm.sRR,H$18*$B25*$Y$5*$Y$6*$Y$31,_xlpm.sOR,H$18*$Y$5*$Y$6,_xlpm.sOI,$AE$31*_xlpm.sOR,_xlpm.sOD,$Y$23*_xlpm.sRR,_xlpm.sGR,_xlpm.sRR+_xlpm.sOI+_xlpm.sOD,_xlpm.sExp,$Z$31+$AB$31*_xlpm.sRR+($AC$31+INPUTS!$F$13)*_xlpm.sGR+$AD$31*_xlpm.sOR,_xlpm.sGR-_xlpm.sExp+$AA$31))</f>
        <v>0</v>
      </c>
      <c r="J87" s="43">
        <f>IF(7&gt;$Y$16,0,_xlfn.LET(_xlpm.sRR,H$18*$B25*$Y$5*$Y$6*$Y$32,_xlpm.sOR,H$18*$Y$5*$Y$6,_xlpm.sOI,$AE$32*_xlpm.sOR,_xlpm.sOD,$Y$23*_xlpm.sRR,_xlpm.sGR,_xlpm.sRR+_xlpm.sOI+_xlpm.sOD,_xlpm.sExp,$Z$32+$AB$32*_xlpm.sRR+($AC$32+INPUTS!$F$13)*_xlpm.sGR+$AD$32*_xlpm.sOR,_xlpm.sGR-_xlpm.sExp+$AA$32))</f>
        <v>0</v>
      </c>
      <c r="K87" s="43">
        <f>IF(8&gt;$Y$16,0,_xlfn.LET(_xlpm.sRR,H$18*$B25*$Y$5*$Y$6*$Y$33,_xlpm.sOR,H$18*$Y$5*$Y$6,_xlpm.sOI,$AE$33*_xlpm.sOR,_xlpm.sOD,$Y$23*_xlpm.sRR,_xlpm.sGR,_xlpm.sRR+_xlpm.sOI+_xlpm.sOD,_xlpm.sExp,$Z$33+$AB$33*_xlpm.sRR+($AC$33+INPUTS!$F$13)*_xlpm.sGR+$AD$33*_xlpm.sOR,_xlpm.sGR-_xlpm.sExp+$AA$33))</f>
        <v>0</v>
      </c>
      <c r="L87" s="43">
        <f>IF(9&gt;$Y$16,0,_xlfn.LET(_xlpm.sRR,H$18*$B25*$Y$5*$Y$6*$Y$34,_xlpm.sOR,H$18*$Y$5*$Y$6,_xlpm.sOI,$AE$34*_xlpm.sOR,_xlpm.sOD,$Y$23*_xlpm.sRR,_xlpm.sGR,_xlpm.sRR+_xlpm.sOI+_xlpm.sOD,_xlpm.sExp,$Z$34+$AB$34*_xlpm.sRR+($AC$34+INPUTS!$F$13)*_xlpm.sGR+$AD$34*_xlpm.sOR,_xlpm.sGR-_xlpm.sExp+$AA$34))</f>
        <v>0</v>
      </c>
      <c r="M87" s="43">
        <f>IF(10&gt;$Y$16,0,IF(10&lt;$Y$16,_xlfn.LET(_xlpm.sRR,H$18*$B25*$Y$5*$Y$6*$Y$35,_xlpm.sOR,H$18*$Y$5*$Y$6,_xlpm.sOI,$AE$35*_xlpm.sOR,_xlpm.sOD,$Y$23*_xlpm.sRR,_xlpm.sGR,_xlpm.sRR+_xlpm.sOI+_xlpm.sOD,_xlpm.sExp,$Z$35+$AB$35*_xlpm.sRR+($AC$35+INPUTS!$F$13)*_xlpm.sGR+$AD$35*_xlpm.sOR,_xlpm.sGR-_xlpm.sExp+$AA$35),_xlfn.LET(_xlpm.sRR,H$18*$B25*$Y$5*$Y$6*$Y$35,_xlpm.sOR,H$18*$Y$5*$Y$6,_xlpm.sOI,$AE$35*_xlpm.sOR,_xlpm.sOD,$Y$23*_xlpm.sRR,_xlpm.sGR,_xlpm.sRR+_xlpm.sOI+_xlpm.sOD,_xlpm.sExp,$Z$35+$AB$35*_xlpm.sRR+($AC$35+INPUTS!$F$13)*_xlpm.sGR+$AD$35*_xlpm.sOR,_xlpm.opCF,_xlpm.sGR-_xlpm.sExp+$AA$35,_xlpm.sale,H$18*$B25*$Y$5*$Y$6*$Y$15*(1-$Y$17),_xlpm.opCF+_xlpm.sale-$Y$22+$Y$24)))</f>
        <v>0</v>
      </c>
    </row>
    <row r="88" spans="2:13" hidden="1">
      <c r="B88" s="933" t="e">
        <f t="shared" ref="B88:B94" si="15">I$18&amp;" × $"&amp;TEXT($B19,"0")</f>
        <v>#VALUE!</v>
      </c>
      <c r="C88">
        <f t="shared" si="13"/>
        <v>0</v>
      </c>
      <c r="D88" s="43">
        <f>IF(1&gt;$Y$16,0,_xlfn.LET(_xlpm.sRR,I$18*$B19*$Y$5*$Y$6*$Y$26,_xlpm.sOR,I$18*$Y$5*$Y$6,_xlpm.sOI,$AE$26*_xlpm.sOR,_xlpm.sOD,$Y$23*_xlpm.sRR,_xlpm.sGR,_xlpm.sRR+_xlpm.sOI+_xlpm.sOD,_xlpm.sExp,$Z$26+$AB$26*_xlpm.sRR+($AC$26+INPUTS!$F$13)*_xlpm.sGR+$AD$26*_xlpm.sOR,_xlpm.sGR-_xlpm.sExp+$AA$26))</f>
        <v>0</v>
      </c>
      <c r="E88" s="43">
        <f>IF(2&gt;$Y$16,0,_xlfn.LET(_xlpm.sRR,I$18*$B19*$Y$5*$Y$6*$Y$27,_xlpm.sOR,I$18*$Y$5*$Y$6,_xlpm.sOI,$AE$27*_xlpm.sOR,_xlpm.sOD,$Y$23*_xlpm.sRR,_xlpm.sGR,_xlpm.sRR+_xlpm.sOI+_xlpm.sOD,_xlpm.sExp,$Z$27+$AB$27*_xlpm.sRR+($AC$27+INPUTS!$F$13)*_xlpm.sGR+$AD$27*_xlpm.sOR,_xlpm.sGR-_xlpm.sExp+$AA$27))</f>
        <v>0</v>
      </c>
      <c r="F88" s="43">
        <f>IF(3&gt;$Y$16,0,_xlfn.LET(_xlpm.sRR,I$18*$B19*$Y$5*$Y$6*$Y$28,_xlpm.sOR,I$18*$Y$5*$Y$6,_xlpm.sOI,$AE$28*_xlpm.sOR,_xlpm.sOD,$Y$23*_xlpm.sRR,_xlpm.sGR,_xlpm.sRR+_xlpm.sOI+_xlpm.sOD,_xlpm.sExp,$Z$28+$AB$28*_xlpm.sRR+($AC$28+INPUTS!$F$13)*_xlpm.sGR+$AD$28*_xlpm.sOR,_xlpm.sGR-_xlpm.sExp+$AA$28))</f>
        <v>0</v>
      </c>
      <c r="G88" s="43">
        <f>IF(4&gt;$Y$16,0,_xlfn.LET(_xlpm.sRR,I$18*$B19*$Y$5*$Y$6*$Y$29,_xlpm.sOR,I$18*$Y$5*$Y$6,_xlpm.sOI,$AE$29*_xlpm.sOR,_xlpm.sOD,$Y$23*_xlpm.sRR,_xlpm.sGR,_xlpm.sRR+_xlpm.sOI+_xlpm.sOD,_xlpm.sExp,$Z$29+$AB$29*_xlpm.sRR+($AC$29+INPUTS!$F$13)*_xlpm.sGR+$AD$29*_xlpm.sOR,_xlpm.sGR-_xlpm.sExp+$AA$29))</f>
        <v>0</v>
      </c>
      <c r="H88" s="43">
        <f>IF(5&gt;$Y$16,0,_xlfn.LET(_xlpm.sRR,I$18*$B19*$Y$5*$Y$6*$Y$30,_xlpm.sOR,I$18*$Y$5*$Y$6,_xlpm.sOI,$AE$30*_xlpm.sOR,_xlpm.sOD,$Y$23*_xlpm.sRR,_xlpm.sGR,_xlpm.sRR+_xlpm.sOI+_xlpm.sOD,_xlpm.sExp,$Z$30+$AB$30*_xlpm.sRR+($AC$30+INPUTS!$F$13)*_xlpm.sGR+$AD$30*_xlpm.sOR,_xlpm.sGR-_xlpm.sExp+$AA$30))</f>
        <v>0</v>
      </c>
      <c r="I88" s="43">
        <f>IF(6&gt;$Y$16,0,_xlfn.LET(_xlpm.sRR,I$18*$B19*$Y$5*$Y$6*$Y$31,_xlpm.sOR,I$18*$Y$5*$Y$6,_xlpm.sOI,$AE$31*_xlpm.sOR,_xlpm.sOD,$Y$23*_xlpm.sRR,_xlpm.sGR,_xlpm.sRR+_xlpm.sOI+_xlpm.sOD,_xlpm.sExp,$Z$31+$AB$31*_xlpm.sRR+($AC$31+INPUTS!$F$13)*_xlpm.sGR+$AD$31*_xlpm.sOR,_xlpm.sGR-_xlpm.sExp+$AA$31))</f>
        <v>0</v>
      </c>
      <c r="J88" s="43">
        <f>IF(7&gt;$Y$16,0,_xlfn.LET(_xlpm.sRR,I$18*$B19*$Y$5*$Y$6*$Y$32,_xlpm.sOR,I$18*$Y$5*$Y$6,_xlpm.sOI,$AE$32*_xlpm.sOR,_xlpm.sOD,$Y$23*_xlpm.sRR,_xlpm.sGR,_xlpm.sRR+_xlpm.sOI+_xlpm.sOD,_xlpm.sExp,$Z$32+$AB$32*_xlpm.sRR+($AC$32+INPUTS!$F$13)*_xlpm.sGR+$AD$32*_xlpm.sOR,_xlpm.sGR-_xlpm.sExp+$AA$32))</f>
        <v>0</v>
      </c>
      <c r="K88" s="43">
        <f>IF(8&gt;$Y$16,0,_xlfn.LET(_xlpm.sRR,I$18*$B19*$Y$5*$Y$6*$Y$33,_xlpm.sOR,I$18*$Y$5*$Y$6,_xlpm.sOI,$AE$33*_xlpm.sOR,_xlpm.sOD,$Y$23*_xlpm.sRR,_xlpm.sGR,_xlpm.sRR+_xlpm.sOI+_xlpm.sOD,_xlpm.sExp,$Z$33+$AB$33*_xlpm.sRR+($AC$33+INPUTS!$F$13)*_xlpm.sGR+$AD$33*_xlpm.sOR,_xlpm.sGR-_xlpm.sExp+$AA$33))</f>
        <v>0</v>
      </c>
      <c r="L88" s="43">
        <f>IF(9&gt;$Y$16,0,_xlfn.LET(_xlpm.sRR,I$18*$B19*$Y$5*$Y$6*$Y$34,_xlpm.sOR,I$18*$Y$5*$Y$6,_xlpm.sOI,$AE$34*_xlpm.sOR,_xlpm.sOD,$Y$23*_xlpm.sRR,_xlpm.sGR,_xlpm.sRR+_xlpm.sOI+_xlpm.sOD,_xlpm.sExp,$Z$34+$AB$34*_xlpm.sRR+($AC$34+INPUTS!$F$13)*_xlpm.sGR+$AD$34*_xlpm.sOR,_xlpm.sGR-_xlpm.sExp+$AA$34))</f>
        <v>0</v>
      </c>
      <c r="M88" s="43">
        <f>IF(10&gt;$Y$16,0,IF(10&lt;$Y$16,_xlfn.LET(_xlpm.sRR,I$18*$B19*$Y$5*$Y$6*$Y$35,_xlpm.sOR,I$18*$Y$5*$Y$6,_xlpm.sOI,$AE$35*_xlpm.sOR,_xlpm.sOD,$Y$23*_xlpm.sRR,_xlpm.sGR,_xlpm.sRR+_xlpm.sOI+_xlpm.sOD,_xlpm.sExp,$Z$35+$AB$35*_xlpm.sRR+($AC$35+INPUTS!$F$13)*_xlpm.sGR+$AD$35*_xlpm.sOR,_xlpm.sGR-_xlpm.sExp+$AA$35),_xlfn.LET(_xlpm.sRR,I$18*$B19*$Y$5*$Y$6*$Y$35,_xlpm.sOR,I$18*$Y$5*$Y$6,_xlpm.sOI,$AE$35*_xlpm.sOR,_xlpm.sOD,$Y$23*_xlpm.sRR,_xlpm.sGR,_xlpm.sRR+_xlpm.sOI+_xlpm.sOD,_xlpm.sExp,$Z$35+$AB$35*_xlpm.sRR+($AC$35+INPUTS!$F$13)*_xlpm.sGR+$AD$35*_xlpm.sOR,_xlpm.opCF,_xlpm.sGR-_xlpm.sExp+$AA$35,_xlpm.sale,I$18*$B19*$Y$5*$Y$6*$Y$15*(1-$Y$17),_xlpm.opCF+_xlpm.sale-$Y$22+$Y$24)))</f>
        <v>0</v>
      </c>
    </row>
    <row r="89" spans="2:13" hidden="1">
      <c r="B89" s="933" t="e">
        <f t="shared" si="15"/>
        <v>#VALUE!</v>
      </c>
      <c r="C89">
        <f t="shared" si="13"/>
        <v>0</v>
      </c>
      <c r="D89" s="43">
        <f>IF(1&gt;$Y$16,0,_xlfn.LET(_xlpm.sRR,I$18*$B20*$Y$5*$Y$6*$Y$26,_xlpm.sOR,I$18*$Y$5*$Y$6,_xlpm.sOI,$AE$26*_xlpm.sOR,_xlpm.sOD,$Y$23*_xlpm.sRR,_xlpm.sGR,_xlpm.sRR+_xlpm.sOI+_xlpm.sOD,_xlpm.sExp,$Z$26+$AB$26*_xlpm.sRR+($AC$26+INPUTS!$F$13)*_xlpm.sGR+$AD$26*_xlpm.sOR,_xlpm.sGR-_xlpm.sExp+$AA$26))</f>
        <v>0</v>
      </c>
      <c r="E89" s="43">
        <f>IF(2&gt;$Y$16,0,_xlfn.LET(_xlpm.sRR,I$18*$B20*$Y$5*$Y$6*$Y$27,_xlpm.sOR,I$18*$Y$5*$Y$6,_xlpm.sOI,$AE$27*_xlpm.sOR,_xlpm.sOD,$Y$23*_xlpm.sRR,_xlpm.sGR,_xlpm.sRR+_xlpm.sOI+_xlpm.sOD,_xlpm.sExp,$Z$27+$AB$27*_xlpm.sRR+($AC$27+INPUTS!$F$13)*_xlpm.sGR+$AD$27*_xlpm.sOR,_xlpm.sGR-_xlpm.sExp+$AA$27))</f>
        <v>0</v>
      </c>
      <c r="F89" s="43">
        <f>IF(3&gt;$Y$16,0,_xlfn.LET(_xlpm.sRR,I$18*$B20*$Y$5*$Y$6*$Y$28,_xlpm.sOR,I$18*$Y$5*$Y$6,_xlpm.sOI,$AE$28*_xlpm.sOR,_xlpm.sOD,$Y$23*_xlpm.sRR,_xlpm.sGR,_xlpm.sRR+_xlpm.sOI+_xlpm.sOD,_xlpm.sExp,$Z$28+$AB$28*_xlpm.sRR+($AC$28+INPUTS!$F$13)*_xlpm.sGR+$AD$28*_xlpm.sOR,_xlpm.sGR-_xlpm.sExp+$AA$28))</f>
        <v>0</v>
      </c>
      <c r="G89" s="43">
        <f>IF(4&gt;$Y$16,0,_xlfn.LET(_xlpm.sRR,I$18*$B20*$Y$5*$Y$6*$Y$29,_xlpm.sOR,I$18*$Y$5*$Y$6,_xlpm.sOI,$AE$29*_xlpm.sOR,_xlpm.sOD,$Y$23*_xlpm.sRR,_xlpm.sGR,_xlpm.sRR+_xlpm.sOI+_xlpm.sOD,_xlpm.sExp,$Z$29+$AB$29*_xlpm.sRR+($AC$29+INPUTS!$F$13)*_xlpm.sGR+$AD$29*_xlpm.sOR,_xlpm.sGR-_xlpm.sExp+$AA$29))</f>
        <v>0</v>
      </c>
      <c r="H89" s="43">
        <f>IF(5&gt;$Y$16,0,_xlfn.LET(_xlpm.sRR,I$18*$B20*$Y$5*$Y$6*$Y$30,_xlpm.sOR,I$18*$Y$5*$Y$6,_xlpm.sOI,$AE$30*_xlpm.sOR,_xlpm.sOD,$Y$23*_xlpm.sRR,_xlpm.sGR,_xlpm.sRR+_xlpm.sOI+_xlpm.sOD,_xlpm.sExp,$Z$30+$AB$30*_xlpm.sRR+($AC$30+INPUTS!$F$13)*_xlpm.sGR+$AD$30*_xlpm.sOR,_xlpm.sGR-_xlpm.sExp+$AA$30))</f>
        <v>0</v>
      </c>
      <c r="I89" s="43">
        <f>IF(6&gt;$Y$16,0,_xlfn.LET(_xlpm.sRR,I$18*$B20*$Y$5*$Y$6*$Y$31,_xlpm.sOR,I$18*$Y$5*$Y$6,_xlpm.sOI,$AE$31*_xlpm.sOR,_xlpm.sOD,$Y$23*_xlpm.sRR,_xlpm.sGR,_xlpm.sRR+_xlpm.sOI+_xlpm.sOD,_xlpm.sExp,$Z$31+$AB$31*_xlpm.sRR+($AC$31+INPUTS!$F$13)*_xlpm.sGR+$AD$31*_xlpm.sOR,_xlpm.sGR-_xlpm.sExp+$AA$31))</f>
        <v>0</v>
      </c>
      <c r="J89" s="43">
        <f>IF(7&gt;$Y$16,0,_xlfn.LET(_xlpm.sRR,I$18*$B20*$Y$5*$Y$6*$Y$32,_xlpm.sOR,I$18*$Y$5*$Y$6,_xlpm.sOI,$AE$32*_xlpm.sOR,_xlpm.sOD,$Y$23*_xlpm.sRR,_xlpm.sGR,_xlpm.sRR+_xlpm.sOI+_xlpm.sOD,_xlpm.sExp,$Z$32+$AB$32*_xlpm.sRR+($AC$32+INPUTS!$F$13)*_xlpm.sGR+$AD$32*_xlpm.sOR,_xlpm.sGR-_xlpm.sExp+$AA$32))</f>
        <v>0</v>
      </c>
      <c r="K89" s="43">
        <f>IF(8&gt;$Y$16,0,_xlfn.LET(_xlpm.sRR,I$18*$B20*$Y$5*$Y$6*$Y$33,_xlpm.sOR,I$18*$Y$5*$Y$6,_xlpm.sOI,$AE$33*_xlpm.sOR,_xlpm.sOD,$Y$23*_xlpm.sRR,_xlpm.sGR,_xlpm.sRR+_xlpm.sOI+_xlpm.sOD,_xlpm.sExp,$Z$33+$AB$33*_xlpm.sRR+($AC$33+INPUTS!$F$13)*_xlpm.sGR+$AD$33*_xlpm.sOR,_xlpm.sGR-_xlpm.sExp+$AA$33))</f>
        <v>0</v>
      </c>
      <c r="L89" s="43">
        <f>IF(9&gt;$Y$16,0,_xlfn.LET(_xlpm.sRR,I$18*$B20*$Y$5*$Y$6*$Y$34,_xlpm.sOR,I$18*$Y$5*$Y$6,_xlpm.sOI,$AE$34*_xlpm.sOR,_xlpm.sOD,$Y$23*_xlpm.sRR,_xlpm.sGR,_xlpm.sRR+_xlpm.sOI+_xlpm.sOD,_xlpm.sExp,$Z$34+$AB$34*_xlpm.sRR+($AC$34+INPUTS!$F$13)*_xlpm.sGR+$AD$34*_xlpm.sOR,_xlpm.sGR-_xlpm.sExp+$AA$34))</f>
        <v>0</v>
      </c>
      <c r="M89" s="43">
        <f>IF(10&gt;$Y$16,0,IF(10&lt;$Y$16,_xlfn.LET(_xlpm.sRR,I$18*$B20*$Y$5*$Y$6*$Y$35,_xlpm.sOR,I$18*$Y$5*$Y$6,_xlpm.sOI,$AE$35*_xlpm.sOR,_xlpm.sOD,$Y$23*_xlpm.sRR,_xlpm.sGR,_xlpm.sRR+_xlpm.sOI+_xlpm.sOD,_xlpm.sExp,$Z$35+$AB$35*_xlpm.sRR+($AC$35+INPUTS!$F$13)*_xlpm.sGR+$AD$35*_xlpm.sOR,_xlpm.sGR-_xlpm.sExp+$AA$35),_xlfn.LET(_xlpm.sRR,I$18*$B20*$Y$5*$Y$6*$Y$35,_xlpm.sOR,I$18*$Y$5*$Y$6,_xlpm.sOI,$AE$35*_xlpm.sOR,_xlpm.sOD,$Y$23*_xlpm.sRR,_xlpm.sGR,_xlpm.sRR+_xlpm.sOI+_xlpm.sOD,_xlpm.sExp,$Z$35+$AB$35*_xlpm.sRR+($AC$35+INPUTS!$F$13)*_xlpm.sGR+$AD$35*_xlpm.sOR,_xlpm.opCF,_xlpm.sGR-_xlpm.sExp+$AA$35,_xlpm.sale,I$18*$B20*$Y$5*$Y$6*$Y$15*(1-$Y$17),_xlpm.opCF+_xlpm.sale-$Y$22+$Y$24)))</f>
        <v>0</v>
      </c>
    </row>
    <row r="90" spans="2:13" hidden="1">
      <c r="B90" s="933" t="e">
        <f t="shared" si="15"/>
        <v>#VALUE!</v>
      </c>
      <c r="C90">
        <f t="shared" si="13"/>
        <v>0</v>
      </c>
      <c r="D90" s="43">
        <f>IF(1&gt;$Y$16,0,_xlfn.LET(_xlpm.sRR,I$18*$B21*$Y$5*$Y$6*$Y$26,_xlpm.sOR,I$18*$Y$5*$Y$6,_xlpm.sOI,$AE$26*_xlpm.sOR,_xlpm.sOD,$Y$23*_xlpm.sRR,_xlpm.sGR,_xlpm.sRR+_xlpm.sOI+_xlpm.sOD,_xlpm.sExp,$Z$26+$AB$26*_xlpm.sRR+($AC$26+INPUTS!$F$13)*_xlpm.sGR+$AD$26*_xlpm.sOR,_xlpm.sGR-_xlpm.sExp+$AA$26))</f>
        <v>0</v>
      </c>
      <c r="E90" s="43">
        <f>IF(2&gt;$Y$16,0,_xlfn.LET(_xlpm.sRR,I$18*$B21*$Y$5*$Y$6*$Y$27,_xlpm.sOR,I$18*$Y$5*$Y$6,_xlpm.sOI,$AE$27*_xlpm.sOR,_xlpm.sOD,$Y$23*_xlpm.sRR,_xlpm.sGR,_xlpm.sRR+_xlpm.sOI+_xlpm.sOD,_xlpm.sExp,$Z$27+$AB$27*_xlpm.sRR+($AC$27+INPUTS!$F$13)*_xlpm.sGR+$AD$27*_xlpm.sOR,_xlpm.sGR-_xlpm.sExp+$AA$27))</f>
        <v>0</v>
      </c>
      <c r="F90" s="43">
        <f>IF(3&gt;$Y$16,0,_xlfn.LET(_xlpm.sRR,I$18*$B21*$Y$5*$Y$6*$Y$28,_xlpm.sOR,I$18*$Y$5*$Y$6,_xlpm.sOI,$AE$28*_xlpm.sOR,_xlpm.sOD,$Y$23*_xlpm.sRR,_xlpm.sGR,_xlpm.sRR+_xlpm.sOI+_xlpm.sOD,_xlpm.sExp,$Z$28+$AB$28*_xlpm.sRR+($AC$28+INPUTS!$F$13)*_xlpm.sGR+$AD$28*_xlpm.sOR,_xlpm.sGR-_xlpm.sExp+$AA$28))</f>
        <v>0</v>
      </c>
      <c r="G90" s="43">
        <f>IF(4&gt;$Y$16,0,_xlfn.LET(_xlpm.sRR,I$18*$B21*$Y$5*$Y$6*$Y$29,_xlpm.sOR,I$18*$Y$5*$Y$6,_xlpm.sOI,$AE$29*_xlpm.sOR,_xlpm.sOD,$Y$23*_xlpm.sRR,_xlpm.sGR,_xlpm.sRR+_xlpm.sOI+_xlpm.sOD,_xlpm.sExp,$Z$29+$AB$29*_xlpm.sRR+($AC$29+INPUTS!$F$13)*_xlpm.sGR+$AD$29*_xlpm.sOR,_xlpm.sGR-_xlpm.sExp+$AA$29))</f>
        <v>0</v>
      </c>
      <c r="H90" s="43">
        <f>IF(5&gt;$Y$16,0,_xlfn.LET(_xlpm.sRR,I$18*$B21*$Y$5*$Y$6*$Y$30,_xlpm.sOR,I$18*$Y$5*$Y$6,_xlpm.sOI,$AE$30*_xlpm.sOR,_xlpm.sOD,$Y$23*_xlpm.sRR,_xlpm.sGR,_xlpm.sRR+_xlpm.sOI+_xlpm.sOD,_xlpm.sExp,$Z$30+$AB$30*_xlpm.sRR+($AC$30+INPUTS!$F$13)*_xlpm.sGR+$AD$30*_xlpm.sOR,_xlpm.sGR-_xlpm.sExp+$AA$30))</f>
        <v>0</v>
      </c>
      <c r="I90" s="43">
        <f>IF(6&gt;$Y$16,0,_xlfn.LET(_xlpm.sRR,I$18*$B21*$Y$5*$Y$6*$Y$31,_xlpm.sOR,I$18*$Y$5*$Y$6,_xlpm.sOI,$AE$31*_xlpm.sOR,_xlpm.sOD,$Y$23*_xlpm.sRR,_xlpm.sGR,_xlpm.sRR+_xlpm.sOI+_xlpm.sOD,_xlpm.sExp,$Z$31+$AB$31*_xlpm.sRR+($AC$31+INPUTS!$F$13)*_xlpm.sGR+$AD$31*_xlpm.sOR,_xlpm.sGR-_xlpm.sExp+$AA$31))</f>
        <v>0</v>
      </c>
      <c r="J90" s="43">
        <f>IF(7&gt;$Y$16,0,_xlfn.LET(_xlpm.sRR,I$18*$B21*$Y$5*$Y$6*$Y$32,_xlpm.sOR,I$18*$Y$5*$Y$6,_xlpm.sOI,$AE$32*_xlpm.sOR,_xlpm.sOD,$Y$23*_xlpm.sRR,_xlpm.sGR,_xlpm.sRR+_xlpm.sOI+_xlpm.sOD,_xlpm.sExp,$Z$32+$AB$32*_xlpm.sRR+($AC$32+INPUTS!$F$13)*_xlpm.sGR+$AD$32*_xlpm.sOR,_xlpm.sGR-_xlpm.sExp+$AA$32))</f>
        <v>0</v>
      </c>
      <c r="K90" s="43">
        <f>IF(8&gt;$Y$16,0,_xlfn.LET(_xlpm.sRR,I$18*$B21*$Y$5*$Y$6*$Y$33,_xlpm.sOR,I$18*$Y$5*$Y$6,_xlpm.sOI,$AE$33*_xlpm.sOR,_xlpm.sOD,$Y$23*_xlpm.sRR,_xlpm.sGR,_xlpm.sRR+_xlpm.sOI+_xlpm.sOD,_xlpm.sExp,$Z$33+$AB$33*_xlpm.sRR+($AC$33+INPUTS!$F$13)*_xlpm.sGR+$AD$33*_xlpm.sOR,_xlpm.sGR-_xlpm.sExp+$AA$33))</f>
        <v>0</v>
      </c>
      <c r="L90" s="43">
        <f>IF(9&gt;$Y$16,0,_xlfn.LET(_xlpm.sRR,I$18*$B21*$Y$5*$Y$6*$Y$34,_xlpm.sOR,I$18*$Y$5*$Y$6,_xlpm.sOI,$AE$34*_xlpm.sOR,_xlpm.sOD,$Y$23*_xlpm.sRR,_xlpm.sGR,_xlpm.sRR+_xlpm.sOI+_xlpm.sOD,_xlpm.sExp,$Z$34+$AB$34*_xlpm.sRR+($AC$34+INPUTS!$F$13)*_xlpm.sGR+$AD$34*_xlpm.sOR,_xlpm.sGR-_xlpm.sExp+$AA$34))</f>
        <v>0</v>
      </c>
      <c r="M90" s="43">
        <f>IF(10&gt;$Y$16,0,IF(10&lt;$Y$16,_xlfn.LET(_xlpm.sRR,I$18*$B21*$Y$5*$Y$6*$Y$35,_xlpm.sOR,I$18*$Y$5*$Y$6,_xlpm.sOI,$AE$35*_xlpm.sOR,_xlpm.sOD,$Y$23*_xlpm.sRR,_xlpm.sGR,_xlpm.sRR+_xlpm.sOI+_xlpm.sOD,_xlpm.sExp,$Z$35+$AB$35*_xlpm.sRR+($AC$35+INPUTS!$F$13)*_xlpm.sGR+$AD$35*_xlpm.sOR,_xlpm.sGR-_xlpm.sExp+$AA$35),_xlfn.LET(_xlpm.sRR,I$18*$B21*$Y$5*$Y$6*$Y$35,_xlpm.sOR,I$18*$Y$5*$Y$6,_xlpm.sOI,$AE$35*_xlpm.sOR,_xlpm.sOD,$Y$23*_xlpm.sRR,_xlpm.sGR,_xlpm.sRR+_xlpm.sOI+_xlpm.sOD,_xlpm.sExp,$Z$35+$AB$35*_xlpm.sRR+($AC$35+INPUTS!$F$13)*_xlpm.sGR+$AD$35*_xlpm.sOR,_xlpm.opCF,_xlpm.sGR-_xlpm.sExp+$AA$35,_xlpm.sale,I$18*$B21*$Y$5*$Y$6*$Y$15*(1-$Y$17),_xlpm.opCF+_xlpm.sale-$Y$22+$Y$24)))</f>
        <v>0</v>
      </c>
    </row>
    <row r="91" spans="2:13" hidden="1">
      <c r="B91" s="933" t="e">
        <f t="shared" si="15"/>
        <v>#VALUE!</v>
      </c>
      <c r="C91">
        <f t="shared" si="13"/>
        <v>0</v>
      </c>
      <c r="D91" s="43">
        <f>IF(1&gt;$Y$16,0,_xlfn.LET(_xlpm.sRR,I$18*$B22*$Y$5*$Y$6*$Y$26,_xlpm.sOR,I$18*$Y$5*$Y$6,_xlpm.sOI,$AE$26*_xlpm.sOR,_xlpm.sOD,$Y$23*_xlpm.sRR,_xlpm.sGR,_xlpm.sRR+_xlpm.sOI+_xlpm.sOD,_xlpm.sExp,$Z$26+$AB$26*_xlpm.sRR+($AC$26+INPUTS!$F$13)*_xlpm.sGR+$AD$26*_xlpm.sOR,_xlpm.sGR-_xlpm.sExp+$AA$26))</f>
        <v>0</v>
      </c>
      <c r="E91" s="43">
        <f>IF(2&gt;$Y$16,0,_xlfn.LET(_xlpm.sRR,I$18*$B22*$Y$5*$Y$6*$Y$27,_xlpm.sOR,I$18*$Y$5*$Y$6,_xlpm.sOI,$AE$27*_xlpm.sOR,_xlpm.sOD,$Y$23*_xlpm.sRR,_xlpm.sGR,_xlpm.sRR+_xlpm.sOI+_xlpm.sOD,_xlpm.sExp,$Z$27+$AB$27*_xlpm.sRR+($AC$27+INPUTS!$F$13)*_xlpm.sGR+$AD$27*_xlpm.sOR,_xlpm.sGR-_xlpm.sExp+$AA$27))</f>
        <v>0</v>
      </c>
      <c r="F91" s="43">
        <f>IF(3&gt;$Y$16,0,_xlfn.LET(_xlpm.sRR,I$18*$B22*$Y$5*$Y$6*$Y$28,_xlpm.sOR,I$18*$Y$5*$Y$6,_xlpm.sOI,$AE$28*_xlpm.sOR,_xlpm.sOD,$Y$23*_xlpm.sRR,_xlpm.sGR,_xlpm.sRR+_xlpm.sOI+_xlpm.sOD,_xlpm.sExp,$Z$28+$AB$28*_xlpm.sRR+($AC$28+INPUTS!$F$13)*_xlpm.sGR+$AD$28*_xlpm.sOR,_xlpm.sGR-_xlpm.sExp+$AA$28))</f>
        <v>0</v>
      </c>
      <c r="G91" s="43">
        <f>IF(4&gt;$Y$16,0,_xlfn.LET(_xlpm.sRR,I$18*$B22*$Y$5*$Y$6*$Y$29,_xlpm.sOR,I$18*$Y$5*$Y$6,_xlpm.sOI,$AE$29*_xlpm.sOR,_xlpm.sOD,$Y$23*_xlpm.sRR,_xlpm.sGR,_xlpm.sRR+_xlpm.sOI+_xlpm.sOD,_xlpm.sExp,$Z$29+$AB$29*_xlpm.sRR+($AC$29+INPUTS!$F$13)*_xlpm.sGR+$AD$29*_xlpm.sOR,_xlpm.sGR-_xlpm.sExp+$AA$29))</f>
        <v>0</v>
      </c>
      <c r="H91" s="43">
        <f>IF(5&gt;$Y$16,0,_xlfn.LET(_xlpm.sRR,I$18*$B22*$Y$5*$Y$6*$Y$30,_xlpm.sOR,I$18*$Y$5*$Y$6,_xlpm.sOI,$AE$30*_xlpm.sOR,_xlpm.sOD,$Y$23*_xlpm.sRR,_xlpm.sGR,_xlpm.sRR+_xlpm.sOI+_xlpm.sOD,_xlpm.sExp,$Z$30+$AB$30*_xlpm.sRR+($AC$30+INPUTS!$F$13)*_xlpm.sGR+$AD$30*_xlpm.sOR,_xlpm.sGR-_xlpm.sExp+$AA$30))</f>
        <v>0</v>
      </c>
      <c r="I91" s="43">
        <f>IF(6&gt;$Y$16,0,_xlfn.LET(_xlpm.sRR,I$18*$B22*$Y$5*$Y$6*$Y$31,_xlpm.sOR,I$18*$Y$5*$Y$6,_xlpm.sOI,$AE$31*_xlpm.sOR,_xlpm.sOD,$Y$23*_xlpm.sRR,_xlpm.sGR,_xlpm.sRR+_xlpm.sOI+_xlpm.sOD,_xlpm.sExp,$Z$31+$AB$31*_xlpm.sRR+($AC$31+INPUTS!$F$13)*_xlpm.sGR+$AD$31*_xlpm.sOR,_xlpm.sGR-_xlpm.sExp+$AA$31))</f>
        <v>0</v>
      </c>
      <c r="J91" s="43">
        <f>IF(7&gt;$Y$16,0,_xlfn.LET(_xlpm.sRR,I$18*$B22*$Y$5*$Y$6*$Y$32,_xlpm.sOR,I$18*$Y$5*$Y$6,_xlpm.sOI,$AE$32*_xlpm.sOR,_xlpm.sOD,$Y$23*_xlpm.sRR,_xlpm.sGR,_xlpm.sRR+_xlpm.sOI+_xlpm.sOD,_xlpm.sExp,$Z$32+$AB$32*_xlpm.sRR+($AC$32+INPUTS!$F$13)*_xlpm.sGR+$AD$32*_xlpm.sOR,_xlpm.sGR-_xlpm.sExp+$AA$32))</f>
        <v>0</v>
      </c>
      <c r="K91" s="43">
        <f>IF(8&gt;$Y$16,0,_xlfn.LET(_xlpm.sRR,I$18*$B22*$Y$5*$Y$6*$Y$33,_xlpm.sOR,I$18*$Y$5*$Y$6,_xlpm.sOI,$AE$33*_xlpm.sOR,_xlpm.sOD,$Y$23*_xlpm.sRR,_xlpm.sGR,_xlpm.sRR+_xlpm.sOI+_xlpm.sOD,_xlpm.sExp,$Z$33+$AB$33*_xlpm.sRR+($AC$33+INPUTS!$F$13)*_xlpm.sGR+$AD$33*_xlpm.sOR,_xlpm.sGR-_xlpm.sExp+$AA$33))</f>
        <v>0</v>
      </c>
      <c r="L91" s="43">
        <f>IF(9&gt;$Y$16,0,_xlfn.LET(_xlpm.sRR,I$18*$B22*$Y$5*$Y$6*$Y$34,_xlpm.sOR,I$18*$Y$5*$Y$6,_xlpm.sOI,$AE$34*_xlpm.sOR,_xlpm.sOD,$Y$23*_xlpm.sRR,_xlpm.sGR,_xlpm.sRR+_xlpm.sOI+_xlpm.sOD,_xlpm.sExp,$Z$34+$AB$34*_xlpm.sRR+($AC$34+INPUTS!$F$13)*_xlpm.sGR+$AD$34*_xlpm.sOR,_xlpm.sGR-_xlpm.sExp+$AA$34))</f>
        <v>0</v>
      </c>
      <c r="M91" s="43">
        <f>IF(10&gt;$Y$16,0,IF(10&lt;$Y$16,_xlfn.LET(_xlpm.sRR,I$18*$B22*$Y$5*$Y$6*$Y$35,_xlpm.sOR,I$18*$Y$5*$Y$6,_xlpm.sOI,$AE$35*_xlpm.sOR,_xlpm.sOD,$Y$23*_xlpm.sRR,_xlpm.sGR,_xlpm.sRR+_xlpm.sOI+_xlpm.sOD,_xlpm.sExp,$Z$35+$AB$35*_xlpm.sRR+($AC$35+INPUTS!$F$13)*_xlpm.sGR+$AD$35*_xlpm.sOR,_xlpm.sGR-_xlpm.sExp+$AA$35),_xlfn.LET(_xlpm.sRR,I$18*$B22*$Y$5*$Y$6*$Y$35,_xlpm.sOR,I$18*$Y$5*$Y$6,_xlpm.sOI,$AE$35*_xlpm.sOR,_xlpm.sOD,$Y$23*_xlpm.sRR,_xlpm.sGR,_xlpm.sRR+_xlpm.sOI+_xlpm.sOD,_xlpm.sExp,$Z$35+$AB$35*_xlpm.sRR+($AC$35+INPUTS!$F$13)*_xlpm.sGR+$AD$35*_xlpm.sOR,_xlpm.opCF,_xlpm.sGR-_xlpm.sExp+$AA$35,_xlpm.sale,I$18*$B22*$Y$5*$Y$6*$Y$15*(1-$Y$17),_xlpm.opCF+_xlpm.sale-$Y$22+$Y$24)))</f>
        <v>0</v>
      </c>
    </row>
    <row r="92" spans="2:13" hidden="1">
      <c r="B92" s="933" t="e">
        <f t="shared" si="15"/>
        <v>#VALUE!</v>
      </c>
      <c r="C92">
        <f t="shared" si="13"/>
        <v>0</v>
      </c>
      <c r="D92" s="43">
        <f>IF(1&gt;$Y$16,0,_xlfn.LET(_xlpm.sRR,I$18*$B23*$Y$5*$Y$6*$Y$26,_xlpm.sOR,I$18*$Y$5*$Y$6,_xlpm.sOI,$AE$26*_xlpm.sOR,_xlpm.sOD,$Y$23*_xlpm.sRR,_xlpm.sGR,_xlpm.sRR+_xlpm.sOI+_xlpm.sOD,_xlpm.sExp,$Z$26+$AB$26*_xlpm.sRR+($AC$26+INPUTS!$F$13)*_xlpm.sGR+$AD$26*_xlpm.sOR,_xlpm.sGR-_xlpm.sExp+$AA$26))</f>
        <v>0</v>
      </c>
      <c r="E92" s="43">
        <f>IF(2&gt;$Y$16,0,_xlfn.LET(_xlpm.sRR,I$18*$B23*$Y$5*$Y$6*$Y$27,_xlpm.sOR,I$18*$Y$5*$Y$6,_xlpm.sOI,$AE$27*_xlpm.sOR,_xlpm.sOD,$Y$23*_xlpm.sRR,_xlpm.sGR,_xlpm.sRR+_xlpm.sOI+_xlpm.sOD,_xlpm.sExp,$Z$27+$AB$27*_xlpm.sRR+($AC$27+INPUTS!$F$13)*_xlpm.sGR+$AD$27*_xlpm.sOR,_xlpm.sGR-_xlpm.sExp+$AA$27))</f>
        <v>0</v>
      </c>
      <c r="F92" s="43">
        <f>IF(3&gt;$Y$16,0,_xlfn.LET(_xlpm.sRR,I$18*$B23*$Y$5*$Y$6*$Y$28,_xlpm.sOR,I$18*$Y$5*$Y$6,_xlpm.sOI,$AE$28*_xlpm.sOR,_xlpm.sOD,$Y$23*_xlpm.sRR,_xlpm.sGR,_xlpm.sRR+_xlpm.sOI+_xlpm.sOD,_xlpm.sExp,$Z$28+$AB$28*_xlpm.sRR+($AC$28+INPUTS!$F$13)*_xlpm.sGR+$AD$28*_xlpm.sOR,_xlpm.sGR-_xlpm.sExp+$AA$28))</f>
        <v>0</v>
      </c>
      <c r="G92" s="43">
        <f>IF(4&gt;$Y$16,0,_xlfn.LET(_xlpm.sRR,I$18*$B23*$Y$5*$Y$6*$Y$29,_xlpm.sOR,I$18*$Y$5*$Y$6,_xlpm.sOI,$AE$29*_xlpm.sOR,_xlpm.sOD,$Y$23*_xlpm.sRR,_xlpm.sGR,_xlpm.sRR+_xlpm.sOI+_xlpm.sOD,_xlpm.sExp,$Z$29+$AB$29*_xlpm.sRR+($AC$29+INPUTS!$F$13)*_xlpm.sGR+$AD$29*_xlpm.sOR,_xlpm.sGR-_xlpm.sExp+$AA$29))</f>
        <v>0</v>
      </c>
      <c r="H92" s="43">
        <f>IF(5&gt;$Y$16,0,_xlfn.LET(_xlpm.sRR,I$18*$B23*$Y$5*$Y$6*$Y$30,_xlpm.sOR,I$18*$Y$5*$Y$6,_xlpm.sOI,$AE$30*_xlpm.sOR,_xlpm.sOD,$Y$23*_xlpm.sRR,_xlpm.sGR,_xlpm.sRR+_xlpm.sOI+_xlpm.sOD,_xlpm.sExp,$Z$30+$AB$30*_xlpm.sRR+($AC$30+INPUTS!$F$13)*_xlpm.sGR+$AD$30*_xlpm.sOR,_xlpm.sGR-_xlpm.sExp+$AA$30))</f>
        <v>0</v>
      </c>
      <c r="I92" s="43">
        <f>IF(6&gt;$Y$16,0,_xlfn.LET(_xlpm.sRR,I$18*$B23*$Y$5*$Y$6*$Y$31,_xlpm.sOR,I$18*$Y$5*$Y$6,_xlpm.sOI,$AE$31*_xlpm.sOR,_xlpm.sOD,$Y$23*_xlpm.sRR,_xlpm.sGR,_xlpm.sRR+_xlpm.sOI+_xlpm.sOD,_xlpm.sExp,$Z$31+$AB$31*_xlpm.sRR+($AC$31+INPUTS!$F$13)*_xlpm.sGR+$AD$31*_xlpm.sOR,_xlpm.sGR-_xlpm.sExp+$AA$31))</f>
        <v>0</v>
      </c>
      <c r="J92" s="43">
        <f>IF(7&gt;$Y$16,0,_xlfn.LET(_xlpm.sRR,I$18*$B23*$Y$5*$Y$6*$Y$32,_xlpm.sOR,I$18*$Y$5*$Y$6,_xlpm.sOI,$AE$32*_xlpm.sOR,_xlpm.sOD,$Y$23*_xlpm.sRR,_xlpm.sGR,_xlpm.sRR+_xlpm.sOI+_xlpm.sOD,_xlpm.sExp,$Z$32+$AB$32*_xlpm.sRR+($AC$32+INPUTS!$F$13)*_xlpm.sGR+$AD$32*_xlpm.sOR,_xlpm.sGR-_xlpm.sExp+$AA$32))</f>
        <v>0</v>
      </c>
      <c r="K92" s="43">
        <f>IF(8&gt;$Y$16,0,_xlfn.LET(_xlpm.sRR,I$18*$B23*$Y$5*$Y$6*$Y$33,_xlpm.sOR,I$18*$Y$5*$Y$6,_xlpm.sOI,$AE$33*_xlpm.sOR,_xlpm.sOD,$Y$23*_xlpm.sRR,_xlpm.sGR,_xlpm.sRR+_xlpm.sOI+_xlpm.sOD,_xlpm.sExp,$Z$33+$AB$33*_xlpm.sRR+($AC$33+INPUTS!$F$13)*_xlpm.sGR+$AD$33*_xlpm.sOR,_xlpm.sGR-_xlpm.sExp+$AA$33))</f>
        <v>0</v>
      </c>
      <c r="L92" s="43">
        <f>IF(9&gt;$Y$16,0,_xlfn.LET(_xlpm.sRR,I$18*$B23*$Y$5*$Y$6*$Y$34,_xlpm.sOR,I$18*$Y$5*$Y$6,_xlpm.sOI,$AE$34*_xlpm.sOR,_xlpm.sOD,$Y$23*_xlpm.sRR,_xlpm.sGR,_xlpm.sRR+_xlpm.sOI+_xlpm.sOD,_xlpm.sExp,$Z$34+$AB$34*_xlpm.sRR+($AC$34+INPUTS!$F$13)*_xlpm.sGR+$AD$34*_xlpm.sOR,_xlpm.sGR-_xlpm.sExp+$AA$34))</f>
        <v>0</v>
      </c>
      <c r="M92" s="43">
        <f>IF(10&gt;$Y$16,0,IF(10&lt;$Y$16,_xlfn.LET(_xlpm.sRR,I$18*$B23*$Y$5*$Y$6*$Y$35,_xlpm.sOR,I$18*$Y$5*$Y$6,_xlpm.sOI,$AE$35*_xlpm.sOR,_xlpm.sOD,$Y$23*_xlpm.sRR,_xlpm.sGR,_xlpm.sRR+_xlpm.sOI+_xlpm.sOD,_xlpm.sExp,$Z$35+$AB$35*_xlpm.sRR+($AC$35+INPUTS!$F$13)*_xlpm.sGR+$AD$35*_xlpm.sOR,_xlpm.sGR-_xlpm.sExp+$AA$35),_xlfn.LET(_xlpm.sRR,I$18*$B23*$Y$5*$Y$6*$Y$35,_xlpm.sOR,I$18*$Y$5*$Y$6,_xlpm.sOI,$AE$35*_xlpm.sOR,_xlpm.sOD,$Y$23*_xlpm.sRR,_xlpm.sGR,_xlpm.sRR+_xlpm.sOI+_xlpm.sOD,_xlpm.sExp,$Z$35+$AB$35*_xlpm.sRR+($AC$35+INPUTS!$F$13)*_xlpm.sGR+$AD$35*_xlpm.sOR,_xlpm.opCF,_xlpm.sGR-_xlpm.sExp+$AA$35,_xlpm.sale,I$18*$B23*$Y$5*$Y$6*$Y$15*(1-$Y$17),_xlpm.opCF+_xlpm.sale-$Y$22+$Y$24)))</f>
        <v>0</v>
      </c>
    </row>
    <row r="93" spans="2:13" hidden="1">
      <c r="B93" s="933" t="e">
        <f t="shared" si="15"/>
        <v>#VALUE!</v>
      </c>
      <c r="C93">
        <f t="shared" si="13"/>
        <v>0</v>
      </c>
      <c r="D93" s="43">
        <f>IF(1&gt;$Y$16,0,_xlfn.LET(_xlpm.sRR,I$18*$B24*$Y$5*$Y$6*$Y$26,_xlpm.sOR,I$18*$Y$5*$Y$6,_xlpm.sOI,$AE$26*_xlpm.sOR,_xlpm.sOD,$Y$23*_xlpm.sRR,_xlpm.sGR,_xlpm.sRR+_xlpm.sOI+_xlpm.sOD,_xlpm.sExp,$Z$26+$AB$26*_xlpm.sRR+($AC$26+INPUTS!$F$13)*_xlpm.sGR+$AD$26*_xlpm.sOR,_xlpm.sGR-_xlpm.sExp+$AA$26))</f>
        <v>0</v>
      </c>
      <c r="E93" s="43">
        <f>IF(2&gt;$Y$16,0,_xlfn.LET(_xlpm.sRR,I$18*$B24*$Y$5*$Y$6*$Y$27,_xlpm.sOR,I$18*$Y$5*$Y$6,_xlpm.sOI,$AE$27*_xlpm.sOR,_xlpm.sOD,$Y$23*_xlpm.sRR,_xlpm.sGR,_xlpm.sRR+_xlpm.sOI+_xlpm.sOD,_xlpm.sExp,$Z$27+$AB$27*_xlpm.sRR+($AC$27+INPUTS!$F$13)*_xlpm.sGR+$AD$27*_xlpm.sOR,_xlpm.sGR-_xlpm.sExp+$AA$27))</f>
        <v>0</v>
      </c>
      <c r="F93" s="43">
        <f>IF(3&gt;$Y$16,0,_xlfn.LET(_xlpm.sRR,I$18*$B24*$Y$5*$Y$6*$Y$28,_xlpm.sOR,I$18*$Y$5*$Y$6,_xlpm.sOI,$AE$28*_xlpm.sOR,_xlpm.sOD,$Y$23*_xlpm.sRR,_xlpm.sGR,_xlpm.sRR+_xlpm.sOI+_xlpm.sOD,_xlpm.sExp,$Z$28+$AB$28*_xlpm.sRR+($AC$28+INPUTS!$F$13)*_xlpm.sGR+$AD$28*_xlpm.sOR,_xlpm.sGR-_xlpm.sExp+$AA$28))</f>
        <v>0</v>
      </c>
      <c r="G93" s="43">
        <f>IF(4&gt;$Y$16,0,_xlfn.LET(_xlpm.sRR,I$18*$B24*$Y$5*$Y$6*$Y$29,_xlpm.sOR,I$18*$Y$5*$Y$6,_xlpm.sOI,$AE$29*_xlpm.sOR,_xlpm.sOD,$Y$23*_xlpm.sRR,_xlpm.sGR,_xlpm.sRR+_xlpm.sOI+_xlpm.sOD,_xlpm.sExp,$Z$29+$AB$29*_xlpm.sRR+($AC$29+INPUTS!$F$13)*_xlpm.sGR+$AD$29*_xlpm.sOR,_xlpm.sGR-_xlpm.sExp+$AA$29))</f>
        <v>0</v>
      </c>
      <c r="H93" s="43">
        <f>IF(5&gt;$Y$16,0,_xlfn.LET(_xlpm.sRR,I$18*$B24*$Y$5*$Y$6*$Y$30,_xlpm.sOR,I$18*$Y$5*$Y$6,_xlpm.sOI,$AE$30*_xlpm.sOR,_xlpm.sOD,$Y$23*_xlpm.sRR,_xlpm.sGR,_xlpm.sRR+_xlpm.sOI+_xlpm.sOD,_xlpm.sExp,$Z$30+$AB$30*_xlpm.sRR+($AC$30+INPUTS!$F$13)*_xlpm.sGR+$AD$30*_xlpm.sOR,_xlpm.sGR-_xlpm.sExp+$AA$30))</f>
        <v>0</v>
      </c>
      <c r="I93" s="43">
        <f>IF(6&gt;$Y$16,0,_xlfn.LET(_xlpm.sRR,I$18*$B24*$Y$5*$Y$6*$Y$31,_xlpm.sOR,I$18*$Y$5*$Y$6,_xlpm.sOI,$AE$31*_xlpm.sOR,_xlpm.sOD,$Y$23*_xlpm.sRR,_xlpm.sGR,_xlpm.sRR+_xlpm.sOI+_xlpm.sOD,_xlpm.sExp,$Z$31+$AB$31*_xlpm.sRR+($AC$31+INPUTS!$F$13)*_xlpm.sGR+$AD$31*_xlpm.sOR,_xlpm.sGR-_xlpm.sExp+$AA$31))</f>
        <v>0</v>
      </c>
      <c r="J93" s="43">
        <f>IF(7&gt;$Y$16,0,_xlfn.LET(_xlpm.sRR,I$18*$B24*$Y$5*$Y$6*$Y$32,_xlpm.sOR,I$18*$Y$5*$Y$6,_xlpm.sOI,$AE$32*_xlpm.sOR,_xlpm.sOD,$Y$23*_xlpm.sRR,_xlpm.sGR,_xlpm.sRR+_xlpm.sOI+_xlpm.sOD,_xlpm.sExp,$Z$32+$AB$32*_xlpm.sRR+($AC$32+INPUTS!$F$13)*_xlpm.sGR+$AD$32*_xlpm.sOR,_xlpm.sGR-_xlpm.sExp+$AA$32))</f>
        <v>0</v>
      </c>
      <c r="K93" s="43">
        <f>IF(8&gt;$Y$16,0,_xlfn.LET(_xlpm.sRR,I$18*$B24*$Y$5*$Y$6*$Y$33,_xlpm.sOR,I$18*$Y$5*$Y$6,_xlpm.sOI,$AE$33*_xlpm.sOR,_xlpm.sOD,$Y$23*_xlpm.sRR,_xlpm.sGR,_xlpm.sRR+_xlpm.sOI+_xlpm.sOD,_xlpm.sExp,$Z$33+$AB$33*_xlpm.sRR+($AC$33+INPUTS!$F$13)*_xlpm.sGR+$AD$33*_xlpm.sOR,_xlpm.sGR-_xlpm.sExp+$AA$33))</f>
        <v>0</v>
      </c>
      <c r="L93" s="43">
        <f>IF(9&gt;$Y$16,0,_xlfn.LET(_xlpm.sRR,I$18*$B24*$Y$5*$Y$6*$Y$34,_xlpm.sOR,I$18*$Y$5*$Y$6,_xlpm.sOI,$AE$34*_xlpm.sOR,_xlpm.sOD,$Y$23*_xlpm.sRR,_xlpm.sGR,_xlpm.sRR+_xlpm.sOI+_xlpm.sOD,_xlpm.sExp,$Z$34+$AB$34*_xlpm.sRR+($AC$34+INPUTS!$F$13)*_xlpm.sGR+$AD$34*_xlpm.sOR,_xlpm.sGR-_xlpm.sExp+$AA$34))</f>
        <v>0</v>
      </c>
      <c r="M93" s="43">
        <f>IF(10&gt;$Y$16,0,IF(10&lt;$Y$16,_xlfn.LET(_xlpm.sRR,I$18*$B24*$Y$5*$Y$6*$Y$35,_xlpm.sOR,I$18*$Y$5*$Y$6,_xlpm.sOI,$AE$35*_xlpm.sOR,_xlpm.sOD,$Y$23*_xlpm.sRR,_xlpm.sGR,_xlpm.sRR+_xlpm.sOI+_xlpm.sOD,_xlpm.sExp,$Z$35+$AB$35*_xlpm.sRR+($AC$35+INPUTS!$F$13)*_xlpm.sGR+$AD$35*_xlpm.sOR,_xlpm.sGR-_xlpm.sExp+$AA$35),_xlfn.LET(_xlpm.sRR,I$18*$B24*$Y$5*$Y$6*$Y$35,_xlpm.sOR,I$18*$Y$5*$Y$6,_xlpm.sOI,$AE$35*_xlpm.sOR,_xlpm.sOD,$Y$23*_xlpm.sRR,_xlpm.sGR,_xlpm.sRR+_xlpm.sOI+_xlpm.sOD,_xlpm.sExp,$Z$35+$AB$35*_xlpm.sRR+($AC$35+INPUTS!$F$13)*_xlpm.sGR+$AD$35*_xlpm.sOR,_xlpm.opCF,_xlpm.sGR-_xlpm.sExp+$AA$35,_xlpm.sale,I$18*$B24*$Y$5*$Y$6*$Y$15*(1-$Y$17),_xlpm.opCF+_xlpm.sale-$Y$22+$Y$24)))</f>
        <v>0</v>
      </c>
    </row>
    <row r="94" spans="2:13" hidden="1">
      <c r="B94" s="933" t="e">
        <f t="shared" si="15"/>
        <v>#VALUE!</v>
      </c>
      <c r="C94">
        <f t="shared" si="13"/>
        <v>0</v>
      </c>
      <c r="D94" s="43">
        <f>IF(1&gt;$Y$16,0,_xlfn.LET(_xlpm.sRR,I$18*$B25*$Y$5*$Y$6*$Y$26,_xlpm.sOR,I$18*$Y$5*$Y$6,_xlpm.sOI,$AE$26*_xlpm.sOR,_xlpm.sOD,$Y$23*_xlpm.sRR,_xlpm.sGR,_xlpm.sRR+_xlpm.sOI+_xlpm.sOD,_xlpm.sExp,$Z$26+$AB$26*_xlpm.sRR+($AC$26+INPUTS!$F$13)*_xlpm.sGR+$AD$26*_xlpm.sOR,_xlpm.sGR-_xlpm.sExp+$AA$26))</f>
        <v>0</v>
      </c>
      <c r="E94" s="43">
        <f>IF(2&gt;$Y$16,0,_xlfn.LET(_xlpm.sRR,I$18*$B25*$Y$5*$Y$6*$Y$27,_xlpm.sOR,I$18*$Y$5*$Y$6,_xlpm.sOI,$AE$27*_xlpm.sOR,_xlpm.sOD,$Y$23*_xlpm.sRR,_xlpm.sGR,_xlpm.sRR+_xlpm.sOI+_xlpm.sOD,_xlpm.sExp,$Z$27+$AB$27*_xlpm.sRR+($AC$27+INPUTS!$F$13)*_xlpm.sGR+$AD$27*_xlpm.sOR,_xlpm.sGR-_xlpm.sExp+$AA$27))</f>
        <v>0</v>
      </c>
      <c r="F94" s="43">
        <f>IF(3&gt;$Y$16,0,_xlfn.LET(_xlpm.sRR,I$18*$B25*$Y$5*$Y$6*$Y$28,_xlpm.sOR,I$18*$Y$5*$Y$6,_xlpm.sOI,$AE$28*_xlpm.sOR,_xlpm.sOD,$Y$23*_xlpm.sRR,_xlpm.sGR,_xlpm.sRR+_xlpm.sOI+_xlpm.sOD,_xlpm.sExp,$Z$28+$AB$28*_xlpm.sRR+($AC$28+INPUTS!$F$13)*_xlpm.sGR+$AD$28*_xlpm.sOR,_xlpm.sGR-_xlpm.sExp+$AA$28))</f>
        <v>0</v>
      </c>
      <c r="G94" s="43">
        <f>IF(4&gt;$Y$16,0,_xlfn.LET(_xlpm.sRR,I$18*$B25*$Y$5*$Y$6*$Y$29,_xlpm.sOR,I$18*$Y$5*$Y$6,_xlpm.sOI,$AE$29*_xlpm.sOR,_xlpm.sOD,$Y$23*_xlpm.sRR,_xlpm.sGR,_xlpm.sRR+_xlpm.sOI+_xlpm.sOD,_xlpm.sExp,$Z$29+$AB$29*_xlpm.sRR+($AC$29+INPUTS!$F$13)*_xlpm.sGR+$AD$29*_xlpm.sOR,_xlpm.sGR-_xlpm.sExp+$AA$29))</f>
        <v>0</v>
      </c>
      <c r="H94" s="43">
        <f>IF(5&gt;$Y$16,0,_xlfn.LET(_xlpm.sRR,I$18*$B25*$Y$5*$Y$6*$Y$30,_xlpm.sOR,I$18*$Y$5*$Y$6,_xlpm.sOI,$AE$30*_xlpm.sOR,_xlpm.sOD,$Y$23*_xlpm.sRR,_xlpm.sGR,_xlpm.sRR+_xlpm.sOI+_xlpm.sOD,_xlpm.sExp,$Z$30+$AB$30*_xlpm.sRR+($AC$30+INPUTS!$F$13)*_xlpm.sGR+$AD$30*_xlpm.sOR,_xlpm.sGR-_xlpm.sExp+$AA$30))</f>
        <v>0</v>
      </c>
      <c r="I94" s="43">
        <f>IF(6&gt;$Y$16,0,_xlfn.LET(_xlpm.sRR,I$18*$B25*$Y$5*$Y$6*$Y$31,_xlpm.sOR,I$18*$Y$5*$Y$6,_xlpm.sOI,$AE$31*_xlpm.sOR,_xlpm.sOD,$Y$23*_xlpm.sRR,_xlpm.sGR,_xlpm.sRR+_xlpm.sOI+_xlpm.sOD,_xlpm.sExp,$Z$31+$AB$31*_xlpm.sRR+($AC$31+INPUTS!$F$13)*_xlpm.sGR+$AD$31*_xlpm.sOR,_xlpm.sGR-_xlpm.sExp+$AA$31))</f>
        <v>0</v>
      </c>
      <c r="J94" s="43">
        <f>IF(7&gt;$Y$16,0,_xlfn.LET(_xlpm.sRR,I$18*$B25*$Y$5*$Y$6*$Y$32,_xlpm.sOR,I$18*$Y$5*$Y$6,_xlpm.sOI,$AE$32*_xlpm.sOR,_xlpm.sOD,$Y$23*_xlpm.sRR,_xlpm.sGR,_xlpm.sRR+_xlpm.sOI+_xlpm.sOD,_xlpm.sExp,$Z$32+$AB$32*_xlpm.sRR+($AC$32+INPUTS!$F$13)*_xlpm.sGR+$AD$32*_xlpm.sOR,_xlpm.sGR-_xlpm.sExp+$AA$32))</f>
        <v>0</v>
      </c>
      <c r="K94" s="43">
        <f>IF(8&gt;$Y$16,0,_xlfn.LET(_xlpm.sRR,I$18*$B25*$Y$5*$Y$6*$Y$33,_xlpm.sOR,I$18*$Y$5*$Y$6,_xlpm.sOI,$AE$33*_xlpm.sOR,_xlpm.sOD,$Y$23*_xlpm.sRR,_xlpm.sGR,_xlpm.sRR+_xlpm.sOI+_xlpm.sOD,_xlpm.sExp,$Z$33+$AB$33*_xlpm.sRR+($AC$33+INPUTS!$F$13)*_xlpm.sGR+$AD$33*_xlpm.sOR,_xlpm.sGR-_xlpm.sExp+$AA$33))</f>
        <v>0</v>
      </c>
      <c r="L94" s="43">
        <f>IF(9&gt;$Y$16,0,_xlfn.LET(_xlpm.sRR,I$18*$B25*$Y$5*$Y$6*$Y$34,_xlpm.sOR,I$18*$Y$5*$Y$6,_xlpm.sOI,$AE$34*_xlpm.sOR,_xlpm.sOD,$Y$23*_xlpm.sRR,_xlpm.sGR,_xlpm.sRR+_xlpm.sOI+_xlpm.sOD,_xlpm.sExp,$Z$34+$AB$34*_xlpm.sRR+($AC$34+INPUTS!$F$13)*_xlpm.sGR+$AD$34*_xlpm.sOR,_xlpm.sGR-_xlpm.sExp+$AA$34))</f>
        <v>0</v>
      </c>
      <c r="M94" s="43">
        <f>IF(10&gt;$Y$16,0,IF(10&lt;$Y$16,_xlfn.LET(_xlpm.sRR,I$18*$B25*$Y$5*$Y$6*$Y$35,_xlpm.sOR,I$18*$Y$5*$Y$6,_xlpm.sOI,$AE$35*_xlpm.sOR,_xlpm.sOD,$Y$23*_xlpm.sRR,_xlpm.sGR,_xlpm.sRR+_xlpm.sOI+_xlpm.sOD,_xlpm.sExp,$Z$35+$AB$35*_xlpm.sRR+($AC$35+INPUTS!$F$13)*_xlpm.sGR+$AD$35*_xlpm.sOR,_xlpm.sGR-_xlpm.sExp+$AA$35),_xlfn.LET(_xlpm.sRR,I$18*$B25*$Y$5*$Y$6*$Y$35,_xlpm.sOR,I$18*$Y$5*$Y$6,_xlpm.sOI,$AE$35*_xlpm.sOR,_xlpm.sOD,$Y$23*_xlpm.sRR,_xlpm.sGR,_xlpm.sRR+_xlpm.sOI+_xlpm.sOD,_xlpm.sExp,$Z$35+$AB$35*_xlpm.sRR+($AC$35+INPUTS!$F$13)*_xlpm.sGR+$AD$35*_xlpm.sOR,_xlpm.opCF,_xlpm.sGR-_xlpm.sExp+$AA$35,_xlpm.sale,I$18*$B25*$Y$5*$Y$6*$Y$15*(1-$Y$17),_xlpm.opCF+_xlpm.sale-$Y$22+$Y$24)))</f>
        <v>0</v>
      </c>
    </row>
  </sheetData>
  <mergeCells count="8">
    <mergeCell ref="K28:R28"/>
    <mergeCell ref="B2:R2"/>
    <mergeCell ref="B4:I4"/>
    <mergeCell ref="B6:I6"/>
    <mergeCell ref="K6:R6"/>
    <mergeCell ref="B17:I17"/>
    <mergeCell ref="K17:R17"/>
    <mergeCell ref="K4:U4"/>
  </mergeCells>
  <conditionalFormatting sqref="C8:I14">
    <cfRule type="colorScale" priority="1">
      <colorScale>
        <cfvo type="min"/>
        <cfvo type="percentile" val="50"/>
        <cfvo type="max"/>
        <color rgb="FFF8696B"/>
        <color rgb="FFFFEB84"/>
        <color rgb="FF63BE7B"/>
      </colorScale>
    </cfRule>
  </conditionalFormatting>
  <conditionalFormatting sqref="C19:I25">
    <cfRule type="colorScale" priority="2">
      <colorScale>
        <cfvo type="min"/>
        <cfvo type="percentile" val="50"/>
        <cfvo type="max"/>
        <color rgb="FFF8696B"/>
        <color rgb="FFFFEB84"/>
        <color rgb="FF63BE7B"/>
      </colorScale>
    </cfRule>
  </conditionalFormatting>
  <conditionalFormatting sqref="L8:U14">
    <cfRule type="colorScale" priority="4">
      <colorScale>
        <cfvo type="min"/>
        <cfvo type="percentile" val="50"/>
        <cfvo type="max"/>
        <color rgb="FFF8696B"/>
        <color rgb="FFFFEB84"/>
        <color rgb="FF63BE7B"/>
      </colorScale>
    </cfRule>
  </conditionalFormatting>
  <conditionalFormatting sqref="L19:U25">
    <cfRule type="colorScale" priority="5">
      <colorScale>
        <cfvo type="min"/>
        <cfvo type="percentile" val="50"/>
        <cfvo type="max"/>
        <color rgb="FFF8696B"/>
        <color rgb="FFFFEB84"/>
        <color rgb="FF63BE7B"/>
      </colorScale>
    </cfRule>
  </conditionalFormatting>
  <conditionalFormatting sqref="L30:U36">
    <cfRule type="colorScale" priority="6">
      <colorScale>
        <cfvo type="min"/>
        <cfvo type="percentile" val="50"/>
        <cfvo type="max"/>
        <color rgb="FFF8696B"/>
        <color rgb="FFFFEB84"/>
        <color rgb="FF63BE7B"/>
      </colorScale>
    </cfRule>
  </conditionalFormatting>
  <printOptions horizontalCentered="1"/>
  <pageMargins left="0.25" right="0.25" top="0.25" bottom="0.25" header="0" footer="0"/>
  <pageSetup paperSize="0" scale="55" orientation="landscape"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B3D16-77F3-6541-9BFE-4D41E035849E}">
  <sheetPr>
    <tabColor theme="5" tint="0.59999389629810485"/>
    <pageSetUpPr fitToPage="1"/>
  </sheetPr>
  <dimension ref="A1:H49"/>
  <sheetViews>
    <sheetView showGridLines="0" zoomScaleNormal="100" workbookViewId="0">
      <selection activeCell="G22" sqref="G22"/>
    </sheetView>
  </sheetViews>
  <sheetFormatPr baseColWidth="10" defaultRowHeight="16"/>
  <cols>
    <col min="1" max="1" width="0.83203125" customWidth="1"/>
    <col min="2" max="2" width="26.6640625" customWidth="1"/>
    <col min="3" max="3" width="16.6640625" customWidth="1"/>
    <col min="4" max="4" width="10" customWidth="1"/>
    <col min="5" max="5" width="2.5" customWidth="1"/>
    <col min="6" max="6" width="26.6640625" customWidth="1"/>
    <col min="7" max="7" width="16.6640625" customWidth="1"/>
    <col min="8" max="8" width="10" customWidth="1"/>
  </cols>
  <sheetData>
    <row r="1" spans="1:8" ht="5" customHeight="1">
      <c r="A1" s="13"/>
      <c r="B1" s="13"/>
      <c r="C1" s="13"/>
      <c r="D1" s="13"/>
      <c r="E1" s="13"/>
      <c r="F1" s="13"/>
      <c r="G1" s="13"/>
      <c r="H1" s="13"/>
    </row>
    <row r="2" spans="1:8" s="415" customFormat="1" ht="30" customHeight="1" thickBot="1">
      <c r="A2" s="1211" t="s">
        <v>562</v>
      </c>
      <c r="B2" s="1211"/>
      <c r="C2" s="1211"/>
      <c r="D2" s="1211"/>
      <c r="E2" s="1211"/>
      <c r="F2" s="1211"/>
      <c r="G2" s="1211"/>
      <c r="H2" s="1211"/>
    </row>
    <row r="3" spans="1:8" ht="8" customHeight="1">
      <c r="A3" s="13"/>
      <c r="B3" s="13"/>
      <c r="C3" s="13"/>
      <c r="D3" s="13"/>
      <c r="E3" s="13"/>
      <c r="F3" s="13"/>
      <c r="G3" s="13"/>
      <c r="H3" s="13"/>
    </row>
    <row r="4" spans="1:8" ht="22" customHeight="1" thickBot="1">
      <c r="A4" s="13"/>
      <c r="B4" s="1212" t="s">
        <v>173</v>
      </c>
      <c r="C4" s="1212"/>
      <c r="D4" s="1213"/>
      <c r="E4" s="13"/>
      <c r="F4" s="1212" t="s">
        <v>174</v>
      </c>
      <c r="G4" s="1212"/>
      <c r="H4" s="1213"/>
    </row>
    <row r="5" spans="1:8" ht="18" customHeight="1">
      <c r="A5" s="13"/>
      <c r="B5" s="860" t="s">
        <v>113</v>
      </c>
      <c r="C5" s="861">
        <f>SUMMARY!E6</f>
        <v>0</v>
      </c>
      <c r="D5" s="861"/>
      <c r="E5" s="13"/>
      <c r="F5" s="860" t="s">
        <v>760</v>
      </c>
      <c r="G5" s="868">
        <f>SUMMARY!J5</f>
        <v>0</v>
      </c>
      <c r="H5" s="868"/>
    </row>
    <row r="6" spans="1:8" ht="18" customHeight="1">
      <c r="A6" s="13"/>
      <c r="B6" s="847" t="s">
        <v>20</v>
      </c>
      <c r="C6" s="848" t="e">
        <f>SUMMARY!E7</f>
        <v>#DIV/0!</v>
      </c>
      <c r="D6" s="848"/>
      <c r="E6" s="13"/>
      <c r="F6" s="847" t="s">
        <v>565</v>
      </c>
      <c r="G6" s="853">
        <f>SUMMARY!J6</f>
        <v>0</v>
      </c>
      <c r="H6" s="853"/>
    </row>
    <row r="7" spans="1:8" ht="18" customHeight="1">
      <c r="A7" s="13"/>
      <c r="B7" s="862" t="s">
        <v>21</v>
      </c>
      <c r="C7" s="863" t="e">
        <f>SUMMARY!E8</f>
        <v>#DIV/0!</v>
      </c>
      <c r="D7" s="863"/>
      <c r="E7" s="13"/>
      <c r="F7" s="866" t="s">
        <v>577</v>
      </c>
      <c r="G7" s="872">
        <f>INPUTS!C7</f>
        <v>0</v>
      </c>
      <c r="H7" s="872"/>
    </row>
    <row r="8" spans="1:8" ht="18" customHeight="1">
      <c r="A8" s="13"/>
      <c r="B8" s="847" t="s">
        <v>229</v>
      </c>
      <c r="C8" s="852">
        <f>SUMMARY!E9</f>
        <v>0</v>
      </c>
      <c r="D8" s="852"/>
      <c r="E8" s="13"/>
      <c r="F8" s="844" t="s">
        <v>182</v>
      </c>
      <c r="G8" s="873">
        <f>SUMMARY!J8</f>
        <v>0</v>
      </c>
      <c r="H8" s="873"/>
    </row>
    <row r="9" spans="1:8" ht="18" customHeight="1">
      <c r="A9" s="13"/>
      <c r="B9" s="862" t="s">
        <v>183</v>
      </c>
      <c r="C9" s="864">
        <f>SUMMARY!E10</f>
        <v>0</v>
      </c>
      <c r="D9" s="864"/>
      <c r="E9" s="13"/>
      <c r="F9" s="862" t="s">
        <v>566</v>
      </c>
      <c r="G9" s="864">
        <f>SUMMARY!J9</f>
        <v>0</v>
      </c>
      <c r="H9" s="864"/>
    </row>
    <row r="10" spans="1:8" ht="18" customHeight="1">
      <c r="A10" s="13"/>
      <c r="B10" s="847" t="s">
        <v>185</v>
      </c>
      <c r="C10" s="850">
        <f>SUMMARY!E11</f>
        <v>0</v>
      </c>
      <c r="D10" s="850"/>
      <c r="E10" s="13"/>
      <c r="F10" s="847" t="s">
        <v>567</v>
      </c>
      <c r="G10" s="852">
        <f>SUMMARY!J10</f>
        <v>0</v>
      </c>
      <c r="H10" s="852"/>
    </row>
    <row r="11" spans="1:8" ht="18" customHeight="1">
      <c r="A11" s="13"/>
      <c r="B11" s="862" t="s">
        <v>563</v>
      </c>
      <c r="C11" s="865">
        <f>SUMMARY!E12</f>
        <v>0</v>
      </c>
      <c r="D11" s="865"/>
      <c r="E11" s="13"/>
      <c r="F11" s="862" t="s">
        <v>568</v>
      </c>
      <c r="G11" s="864">
        <f>SUMMARY!J11</f>
        <v>0</v>
      </c>
      <c r="H11" s="864"/>
    </row>
    <row r="12" spans="1:8" ht="18" customHeight="1">
      <c r="A12" s="13"/>
      <c r="B12" s="847" t="s">
        <v>12</v>
      </c>
      <c r="C12" s="850">
        <f>SUMMARY!E13</f>
        <v>0</v>
      </c>
      <c r="D12" s="850"/>
      <c r="E12" s="13"/>
      <c r="F12" s="855" t="s">
        <v>187</v>
      </c>
      <c r="G12" s="881" t="e">
        <f>SUMMARY!J12</f>
        <v>#N/A</v>
      </c>
      <c r="H12" s="851"/>
    </row>
    <row r="13" spans="1:8" ht="18" customHeight="1">
      <c r="A13" s="13"/>
      <c r="B13" s="862" t="s">
        <v>188</v>
      </c>
      <c r="C13" s="865">
        <f>SUMMARY!E14</f>
        <v>0</v>
      </c>
      <c r="D13" s="865"/>
      <c r="E13" s="13"/>
      <c r="F13" s="870" t="s">
        <v>569</v>
      </c>
      <c r="G13" s="874">
        <f>SUMMARY!J13</f>
        <v>0</v>
      </c>
      <c r="H13" s="874"/>
    </row>
    <row r="14" spans="1:8" ht="18" customHeight="1">
      <c r="A14" s="13"/>
      <c r="B14" s="847" t="s">
        <v>233</v>
      </c>
      <c r="C14" s="852">
        <f>SUMMARY!E23</f>
        <v>0</v>
      </c>
      <c r="D14" s="852"/>
      <c r="E14" s="13"/>
      <c r="F14" s="847" t="s">
        <v>570</v>
      </c>
      <c r="G14" s="852">
        <f>SUMMARY!J14</f>
        <v>0</v>
      </c>
      <c r="H14" s="852"/>
    </row>
    <row r="15" spans="1:8" ht="18" customHeight="1">
      <c r="A15" s="13"/>
      <c r="B15" s="862" t="s">
        <v>564</v>
      </c>
      <c r="C15" s="863">
        <f>SUMMARY!E24</f>
        <v>0</v>
      </c>
      <c r="D15" s="863"/>
      <c r="E15" s="13"/>
      <c r="F15" s="862" t="s">
        <v>571</v>
      </c>
      <c r="G15" s="864">
        <f>SUMMARY!N5</f>
        <v>0</v>
      </c>
      <c r="H15" s="864"/>
    </row>
    <row r="16" spans="1:8" ht="18" customHeight="1">
      <c r="A16" s="13"/>
      <c r="B16" s="847" t="s">
        <v>235</v>
      </c>
      <c r="C16" s="854">
        <f>SUMMARY!E25</f>
        <v>0</v>
      </c>
      <c r="D16" s="854"/>
      <c r="E16" s="13"/>
      <c r="F16" s="1085" t="s">
        <v>193</v>
      </c>
      <c r="G16" s="1088" t="str">
        <f>SUMMARY!J15</f>
        <v/>
      </c>
      <c r="H16" s="1113"/>
    </row>
    <row r="17" spans="1:8" ht="18" customHeight="1">
      <c r="A17" s="13"/>
      <c r="B17" s="862" t="s">
        <v>236</v>
      </c>
      <c r="C17" s="863">
        <f>SUMMARY!E26</f>
        <v>0</v>
      </c>
      <c r="D17" s="863"/>
      <c r="E17" s="13"/>
      <c r="F17" s="1084" t="s">
        <v>190</v>
      </c>
      <c r="G17" s="1114"/>
      <c r="H17" s="1115"/>
    </row>
    <row r="18" spans="1:8" ht="18" customHeight="1">
      <c r="A18" s="13"/>
      <c r="B18" s="1084" t="s">
        <v>669</v>
      </c>
      <c r="C18" s="863" t="str">
        <f>SUMMARY!E15</f>
        <v>No</v>
      </c>
      <c r="D18" s="863"/>
      <c r="E18" s="13"/>
      <c r="F18" s="1085" t="s">
        <v>784</v>
      </c>
      <c r="G18" s="1117" t="str">
        <f>SUMMARY!J17</f>
        <v/>
      </c>
      <c r="H18" s="1113"/>
    </row>
    <row r="19" spans="1:8" ht="18" customHeight="1">
      <c r="A19" s="13"/>
      <c r="B19" s="1085" t="s">
        <v>777</v>
      </c>
      <c r="C19" s="1086" t="str">
        <f>SUMMARY!E16</f>
        <v>N/A</v>
      </c>
      <c r="D19" s="1086"/>
      <c r="E19" s="13"/>
      <c r="F19" s="862" t="s">
        <v>787</v>
      </c>
      <c r="G19" s="863" t="str">
        <f>SUMMARY!J18</f>
        <v/>
      </c>
      <c r="H19" s="1115"/>
    </row>
    <row r="20" spans="1:8" ht="18" customHeight="1">
      <c r="A20" s="13"/>
      <c r="B20" s="862" t="s">
        <v>778</v>
      </c>
      <c r="C20" s="1087" t="str">
        <f>SUMMARY!E17</f>
        <v>N/A</v>
      </c>
      <c r="D20" s="863"/>
      <c r="E20" s="13"/>
      <c r="F20" s="1085" t="s">
        <v>786</v>
      </c>
      <c r="G20" s="1117" t="str">
        <f>SUMMARY!J19</f>
        <v/>
      </c>
      <c r="H20" s="1113"/>
    </row>
    <row r="21" spans="1:8" ht="18" customHeight="1">
      <c r="A21" s="13"/>
      <c r="B21" s="1085" t="s">
        <v>779</v>
      </c>
      <c r="C21" s="1088" t="str">
        <f>SUMMARY!E18</f>
        <v>N/A</v>
      </c>
      <c r="D21" s="1086"/>
      <c r="E21" s="13"/>
      <c r="F21" s="866" t="s">
        <v>230</v>
      </c>
      <c r="G21" s="867" t="str">
        <f>SUMMARY!J20</f>
        <v/>
      </c>
      <c r="H21" s="1116"/>
    </row>
    <row r="22" spans="1:8" ht="18" customHeight="1">
      <c r="A22" s="13"/>
      <c r="B22" s="1084" t="s">
        <v>780</v>
      </c>
      <c r="C22" s="863" t="str">
        <f>SUMMARY!E19</f>
        <v>N/A</v>
      </c>
      <c r="D22" s="863"/>
      <c r="E22" s="13"/>
      <c r="F22" s="13"/>
      <c r="G22" s="13"/>
      <c r="H22" s="13"/>
    </row>
    <row r="23" spans="1:8" ht="18" customHeight="1">
      <c r="A23" s="13"/>
      <c r="B23" s="1085" t="s">
        <v>781</v>
      </c>
      <c r="C23" s="1086" t="str">
        <f>SUMMARY!E20</f>
        <v>N/A</v>
      </c>
      <c r="D23" s="1086"/>
      <c r="E23" s="13"/>
      <c r="F23" s="13"/>
      <c r="G23" s="13"/>
      <c r="H23" s="13"/>
    </row>
    <row r="24" spans="1:8" ht="18" customHeight="1">
      <c r="A24" s="13"/>
      <c r="B24" s="862" t="s">
        <v>783</v>
      </c>
      <c r="C24" s="1087" t="str">
        <f>SUMMARY!E21</f>
        <v>N/A</v>
      </c>
      <c r="D24" s="863"/>
      <c r="E24" s="13"/>
      <c r="F24" s="13"/>
      <c r="G24" s="13"/>
      <c r="H24" s="13"/>
    </row>
    <row r="25" spans="1:8" ht="18" customHeight="1">
      <c r="A25" s="13"/>
      <c r="B25" s="1085" t="s">
        <v>782</v>
      </c>
      <c r="C25" s="1086" t="str">
        <f>SUMMARY!E22</f>
        <v>N/A</v>
      </c>
      <c r="D25" s="1086"/>
      <c r="E25" s="13"/>
      <c r="F25" s="13"/>
      <c r="G25" s="13"/>
      <c r="H25" s="13"/>
    </row>
    <row r="26" spans="1:8" ht="18" customHeight="1">
      <c r="A26" s="13"/>
      <c r="B26" s="13"/>
      <c r="C26" s="13"/>
      <c r="D26" s="13"/>
      <c r="E26" s="13"/>
      <c r="F26" s="13"/>
      <c r="G26" s="13"/>
      <c r="H26" s="13"/>
    </row>
    <row r="27" spans="1:8" ht="10" customHeight="1">
      <c r="A27" s="13"/>
      <c r="B27" s="13"/>
      <c r="C27" s="13"/>
      <c r="D27" s="13"/>
      <c r="E27" s="13"/>
      <c r="F27" s="13"/>
      <c r="G27" s="13"/>
      <c r="H27" s="13"/>
    </row>
    <row r="28" spans="1:8" ht="22" customHeight="1">
      <c r="A28" s="13"/>
      <c r="B28" s="1212" t="s">
        <v>195</v>
      </c>
      <c r="C28" s="1212"/>
      <c r="D28" s="1212"/>
      <c r="E28" s="1212"/>
      <c r="F28" s="1212"/>
      <c r="G28" s="1212"/>
      <c r="H28" s="1212"/>
    </row>
    <row r="29" spans="1:8" ht="20" customHeight="1" thickBot="1">
      <c r="A29" s="13"/>
      <c r="B29" s="845" t="s">
        <v>572</v>
      </c>
      <c r="C29" s="846" t="s">
        <v>573</v>
      </c>
      <c r="D29" s="846" t="s">
        <v>404</v>
      </c>
      <c r="E29" s="856"/>
      <c r="F29" s="845" t="s">
        <v>574</v>
      </c>
      <c r="G29" s="846" t="s">
        <v>573</v>
      </c>
      <c r="H29" s="846" t="s">
        <v>404</v>
      </c>
    </row>
    <row r="30" spans="1:8" ht="18" customHeight="1">
      <c r="A30" s="13"/>
      <c r="B30" s="860" t="s">
        <v>10</v>
      </c>
      <c r="C30" s="861">
        <f>SUMMARY!D30</f>
        <v>0</v>
      </c>
      <c r="D30" s="869" t="e">
        <f t="shared" ref="D30:D35" si="0">C30/$C$36</f>
        <v>#DIV/0!</v>
      </c>
      <c r="E30" s="13"/>
      <c r="F30" s="860" t="s">
        <v>113</v>
      </c>
      <c r="G30" s="861">
        <f>SUMMARY!I30</f>
        <v>0</v>
      </c>
      <c r="H30" s="869" t="e">
        <f t="shared" ref="H30:H33" si="1">G30/$G$36</f>
        <v>#DIV/0!</v>
      </c>
    </row>
    <row r="31" spans="1:8" ht="18" customHeight="1">
      <c r="A31" s="13"/>
      <c r="B31" s="870" t="s">
        <v>669</v>
      </c>
      <c r="C31" s="876">
        <f>SUMMARY!D31</f>
        <v>0</v>
      </c>
      <c r="D31" s="885" t="e">
        <f t="shared" si="0"/>
        <v>#DIV/0!</v>
      </c>
      <c r="E31" s="13"/>
      <c r="F31" s="870" t="str">
        <f>SUMMARY!F31</f>
        <v>Loan Fees</v>
      </c>
      <c r="G31" s="876">
        <f>SUMMARY!I31</f>
        <v>0</v>
      </c>
      <c r="H31" s="885" t="e">
        <f t="shared" si="1"/>
        <v>#DIV/0!</v>
      </c>
    </row>
    <row r="32" spans="1:8" ht="18" customHeight="1">
      <c r="A32" s="13"/>
      <c r="B32" s="847" t="s">
        <v>518</v>
      </c>
      <c r="C32" s="852">
        <f>SUMMARY!D32</f>
        <v>0</v>
      </c>
      <c r="D32" s="850" t="e">
        <f t="shared" si="0"/>
        <v>#DIV/0!</v>
      </c>
      <c r="E32" s="13"/>
      <c r="F32" s="847" t="s">
        <v>9</v>
      </c>
      <c r="G32" s="852">
        <f>SUMMARY!I32</f>
        <v>0</v>
      </c>
      <c r="H32" s="850" t="e">
        <f t="shared" si="1"/>
        <v>#DIV/0!</v>
      </c>
    </row>
    <row r="33" spans="1:8" ht="18" customHeight="1">
      <c r="A33" s="13"/>
      <c r="B33" s="862" t="s">
        <v>517</v>
      </c>
      <c r="C33" s="864">
        <f>SUMMARY!D33</f>
        <v>0</v>
      </c>
      <c r="D33" s="863" t="e">
        <f t="shared" si="0"/>
        <v>#DIV/0!</v>
      </c>
      <c r="E33" s="13"/>
      <c r="F33" s="862" t="s">
        <v>7</v>
      </c>
      <c r="G33" s="864">
        <f>SUMMARY!I33</f>
        <v>0</v>
      </c>
      <c r="H33" s="863" t="e">
        <f t="shared" si="1"/>
        <v>#DIV/0!</v>
      </c>
    </row>
    <row r="34" spans="1:8" ht="18" customHeight="1">
      <c r="A34" s="13"/>
      <c r="B34" s="847" t="s">
        <v>197</v>
      </c>
      <c r="C34" s="852">
        <f>SUMMARY!D34</f>
        <v>0</v>
      </c>
      <c r="D34" s="850" t="e">
        <f t="shared" si="0"/>
        <v>#DIV/0!</v>
      </c>
      <c r="E34" s="13"/>
      <c r="F34" s="847" t="s">
        <v>163</v>
      </c>
      <c r="G34" s="852">
        <f>SUMMARY!I34</f>
        <v>0</v>
      </c>
      <c r="H34" s="850" t="e">
        <f>G34/$G$36</f>
        <v>#DIV/0!</v>
      </c>
    </row>
    <row r="35" spans="1:8" ht="18" customHeight="1" thickBot="1">
      <c r="A35" s="13"/>
      <c r="B35" s="862" t="s">
        <v>207</v>
      </c>
      <c r="C35" s="864">
        <f>SUMMARY!D35</f>
        <v>0</v>
      </c>
      <c r="D35" s="863" t="e">
        <f t="shared" si="0"/>
        <v>#DIV/0!</v>
      </c>
      <c r="E35" s="13"/>
      <c r="F35" s="862" t="s">
        <v>412</v>
      </c>
      <c r="G35" s="864">
        <f>SUMMARY!I35</f>
        <v>0</v>
      </c>
      <c r="H35" s="863" t="e">
        <f>G35/$G$36</f>
        <v>#DIV/0!</v>
      </c>
    </row>
    <row r="36" spans="1:8" ht="18" customHeight="1" thickTop="1" thickBot="1">
      <c r="A36" s="13"/>
      <c r="B36" s="857" t="s">
        <v>83</v>
      </c>
      <c r="C36" s="858">
        <f>SUM(C30:C35)</f>
        <v>0</v>
      </c>
      <c r="D36" s="859" t="e">
        <f>SUM(D30:D35)</f>
        <v>#DIV/0!</v>
      </c>
      <c r="E36" s="886"/>
      <c r="F36" s="857" t="s">
        <v>83</v>
      </c>
      <c r="G36" s="858">
        <f>SUM(G30:G35)</f>
        <v>0</v>
      </c>
      <c r="H36" s="859" t="e">
        <f>SUM(H30:H35)</f>
        <v>#DIV/0!</v>
      </c>
    </row>
    <row r="37" spans="1:8" ht="10" customHeight="1"/>
    <row r="38" spans="1:8" ht="22" customHeight="1"/>
    <row r="39" spans="1:8" ht="18" customHeight="1"/>
    <row r="40" spans="1:8" ht="18" customHeight="1"/>
    <row r="41" spans="1:8" ht="18" customHeight="1"/>
    <row r="42" spans="1:8" ht="18" customHeight="1"/>
    <row r="43" spans="1:8" ht="18" customHeight="1"/>
    <row r="44" spans="1:8" ht="18" customHeight="1"/>
    <row r="45" spans="1:8" ht="18" customHeight="1"/>
    <row r="46" spans="1:8" ht="18" customHeight="1"/>
    <row r="47" spans="1:8" ht="18" customHeight="1"/>
    <row r="48" spans="1:8" ht="18" customHeight="1"/>
    <row r="49" spans="1:8">
      <c r="A49" s="13"/>
      <c r="B49" s="13"/>
      <c r="C49" s="13"/>
      <c r="D49" s="13"/>
      <c r="E49" s="13"/>
      <c r="F49" s="13"/>
      <c r="G49" s="13"/>
      <c r="H49" s="13"/>
    </row>
  </sheetData>
  <mergeCells count="4">
    <mergeCell ref="A2:H2"/>
    <mergeCell ref="B4:D4"/>
    <mergeCell ref="F4:H4"/>
    <mergeCell ref="B28:H28"/>
  </mergeCells>
  <printOptions horizontalCentered="1"/>
  <pageMargins left="0.25" right="0.25" top="0.25" bottom="0.25" header="0" footer="0"/>
  <pageSetup scale="95" orientation="landscape"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A0253-09DE-D443-A753-8083288287BF}">
  <sheetPr>
    <tabColor theme="5" tint="0.59999389629810485"/>
    <pageSetUpPr fitToPage="1"/>
  </sheetPr>
  <dimension ref="A1:D32"/>
  <sheetViews>
    <sheetView showGridLines="0" zoomScaleNormal="100" workbookViewId="0">
      <selection activeCell="C8" sqref="C8"/>
    </sheetView>
  </sheetViews>
  <sheetFormatPr baseColWidth="10" defaultRowHeight="16"/>
  <cols>
    <col min="1" max="1" width="0.83203125" customWidth="1"/>
    <col min="2" max="2" width="33.33203125" customWidth="1"/>
    <col min="3" max="4" width="20" customWidth="1"/>
  </cols>
  <sheetData>
    <row r="1" spans="1:4" ht="5" customHeight="1"/>
    <row r="2" spans="1:4" ht="30" customHeight="1">
      <c r="A2" s="1214" t="s">
        <v>578</v>
      </c>
      <c r="B2" s="1214"/>
      <c r="C2" s="1214"/>
      <c r="D2" s="1214"/>
    </row>
    <row r="3" spans="1:4" ht="8" customHeight="1"/>
    <row r="4" spans="1:4" ht="22" customHeight="1">
      <c r="B4" s="1212" t="s">
        <v>579</v>
      </c>
      <c r="C4" s="1212"/>
      <c r="D4" s="1212"/>
    </row>
    <row r="5" spans="1:4">
      <c r="B5" s="870" t="s">
        <v>113</v>
      </c>
      <c r="C5" s="876">
        <f>INPUTS!C12</f>
        <v>0</v>
      </c>
      <c r="D5" s="876"/>
    </row>
    <row r="6" spans="1:4">
      <c r="B6" s="847" t="s">
        <v>565</v>
      </c>
      <c r="C6" s="853">
        <f>INPUTS!I13</f>
        <v>0</v>
      </c>
      <c r="D6" s="853"/>
    </row>
    <row r="7" spans="1:4">
      <c r="B7" s="862" t="s">
        <v>571</v>
      </c>
      <c r="C7" s="864">
        <f>WATERFALL!D12</f>
        <v>0</v>
      </c>
      <c r="D7" s="864"/>
    </row>
    <row r="8" spans="1:4">
      <c r="B8" s="875" t="s">
        <v>183</v>
      </c>
      <c r="C8" s="851">
        <f>DEBT!I9</f>
        <v>0</v>
      </c>
      <c r="D8" s="851"/>
    </row>
    <row r="9" spans="1:4" ht="10" customHeight="1"/>
    <row r="10" spans="1:4" ht="22" customHeight="1">
      <c r="B10" s="1212" t="s">
        <v>580</v>
      </c>
      <c r="C10" s="1212"/>
      <c r="D10" s="1212"/>
    </row>
    <row r="11" spans="1:4">
      <c r="B11" s="877" t="s">
        <v>543</v>
      </c>
      <c r="C11" s="878" t="str">
        <f>IFERROR(WATERFALL!F62,"NA")</f>
        <v>NA</v>
      </c>
      <c r="D11" s="878"/>
    </row>
    <row r="12" spans="1:4" ht="10" customHeight="1"/>
    <row r="13" spans="1:4" ht="22" customHeight="1">
      <c r="B13" s="1212" t="s">
        <v>581</v>
      </c>
      <c r="C13" s="1212"/>
      <c r="D13" s="1212"/>
    </row>
    <row r="14" spans="1:4">
      <c r="B14" s="870" t="s">
        <v>582</v>
      </c>
      <c r="C14" s="876">
        <f>WATERFALL!D11</f>
        <v>0</v>
      </c>
      <c r="D14" s="876"/>
    </row>
    <row r="15" spans="1:4">
      <c r="B15" s="847" t="s">
        <v>583</v>
      </c>
      <c r="C15" s="850">
        <f>WATERFALL!C11</f>
        <v>0.60000000000000009</v>
      </c>
      <c r="D15" s="850"/>
    </row>
    <row r="16" spans="1:4">
      <c r="B16" s="862" t="s">
        <v>454</v>
      </c>
      <c r="C16" s="871" t="str">
        <f>IFERROR(WATERFALL!D29,"NA")</f>
        <v>NA</v>
      </c>
      <c r="D16" s="871"/>
    </row>
    <row r="17" spans="2:4">
      <c r="B17" s="847" t="s">
        <v>455</v>
      </c>
      <c r="C17" s="848" t="e">
        <f>WATERFALL!D30</f>
        <v>#DIV/0!</v>
      </c>
      <c r="D17" s="848"/>
    </row>
    <row r="18" spans="2:4">
      <c r="B18" s="866" t="s">
        <v>747</v>
      </c>
      <c r="C18" s="879" t="str">
        <f>IFERROR(WATERFALL!K26/WATERFALL!D11,"NA")</f>
        <v>NA</v>
      </c>
      <c r="D18" s="879"/>
    </row>
    <row r="19" spans="2:4" ht="10" customHeight="1"/>
    <row r="20" spans="2:4" ht="22" customHeight="1">
      <c r="B20" s="1212" t="s">
        <v>584</v>
      </c>
      <c r="C20" s="1212"/>
      <c r="D20" s="1212"/>
    </row>
    <row r="21" spans="2:4">
      <c r="B21" s="870" t="s">
        <v>585</v>
      </c>
      <c r="C21" s="876">
        <f>WATERFALL!D10</f>
        <v>0</v>
      </c>
      <c r="D21" s="876"/>
    </row>
    <row r="22" spans="2:4">
      <c r="B22" s="847" t="s">
        <v>586</v>
      </c>
      <c r="C22" s="850">
        <f>WATERFALL!C10</f>
        <v>0.3</v>
      </c>
      <c r="D22" s="850"/>
    </row>
    <row r="23" spans="2:4">
      <c r="B23" s="862" t="s">
        <v>462</v>
      </c>
      <c r="C23" s="871" t="str">
        <f>IFERROR(WATERFALL!D38,"NA")</f>
        <v>NA</v>
      </c>
      <c r="D23" s="871"/>
    </row>
    <row r="24" spans="2:4">
      <c r="B24" s="847" t="s">
        <v>463</v>
      </c>
      <c r="C24" s="848" t="str">
        <f>WATERFALL!D39</f>
        <v>NA</v>
      </c>
      <c r="D24" s="848"/>
    </row>
    <row r="25" spans="2:4">
      <c r="B25" s="866" t="s">
        <v>748</v>
      </c>
      <c r="C25" s="879" t="str">
        <f>IFERROR(WATERFALL!K33/WATERFALL!D10,"NA")</f>
        <v>NA</v>
      </c>
      <c r="D25" s="879"/>
    </row>
    <row r="26" spans="2:4" ht="10" customHeight="1"/>
    <row r="27" spans="2:4" ht="22" customHeight="1">
      <c r="B27" s="1212" t="s">
        <v>587</v>
      </c>
      <c r="C27" s="1212"/>
      <c r="D27" s="1212"/>
    </row>
    <row r="28" spans="2:4">
      <c r="B28" s="870" t="s">
        <v>588</v>
      </c>
      <c r="C28" s="876">
        <f>WATERFALL!D9</f>
        <v>0</v>
      </c>
      <c r="D28" s="876"/>
    </row>
    <row r="29" spans="2:4">
      <c r="B29" s="847" t="s">
        <v>589</v>
      </c>
      <c r="C29" s="850">
        <f>WATERFALL!C9</f>
        <v>0.1</v>
      </c>
      <c r="D29" s="850"/>
    </row>
    <row r="30" spans="2:4">
      <c r="B30" s="862" t="s">
        <v>590</v>
      </c>
      <c r="C30" s="871" t="str">
        <f>IFERROR(WATERFALL!D50,"NA")</f>
        <v>NA</v>
      </c>
      <c r="D30" s="871"/>
    </row>
    <row r="31" spans="2:4">
      <c r="B31" s="847" t="s">
        <v>591</v>
      </c>
      <c r="C31" s="880" t="str">
        <f>IFERROR(WATERFALL!D51,"NA")</f>
        <v>NA</v>
      </c>
      <c r="D31" s="880"/>
    </row>
    <row r="32" spans="2:4">
      <c r="B32" s="866" t="s">
        <v>749</v>
      </c>
      <c r="C32" s="879" t="str">
        <f>IFERROR(WATERFALL!K46/WATERFALL!D48,"NA")</f>
        <v>NA</v>
      </c>
      <c r="D32" s="879"/>
    </row>
  </sheetData>
  <mergeCells count="6">
    <mergeCell ref="B27:D27"/>
    <mergeCell ref="A2:D2"/>
    <mergeCell ref="B4:D4"/>
    <mergeCell ref="B10:D10"/>
    <mergeCell ref="B13:D13"/>
    <mergeCell ref="B20:D20"/>
  </mergeCells>
  <printOptions horizontalCentered="1"/>
  <pageMargins left="0.25" right="0.25" top="0.25" bottom="0.25" header="0" footer="0"/>
  <pageSetup orientation="landscape" horizontalDpi="0" verticalDpi="0" copie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AC33F-3854-114B-9B13-B6C87F032472}">
  <sheetPr>
    <tabColor theme="5" tint="0.59999389629810485"/>
    <pageSetUpPr fitToPage="1"/>
  </sheetPr>
  <dimension ref="A1:D24"/>
  <sheetViews>
    <sheetView showGridLines="0" zoomScaleNormal="100" workbookViewId="0">
      <selection activeCell="B25" sqref="B25"/>
    </sheetView>
  </sheetViews>
  <sheetFormatPr baseColWidth="10" defaultRowHeight="16"/>
  <cols>
    <col min="1" max="1" width="0.83203125" customWidth="1"/>
    <col min="2" max="2" width="33.33203125" customWidth="1"/>
    <col min="3" max="4" width="16.6640625" customWidth="1"/>
  </cols>
  <sheetData>
    <row r="1" spans="1:4" ht="5" customHeight="1"/>
    <row r="2" spans="1:4" ht="30" customHeight="1">
      <c r="A2" s="1214" t="s">
        <v>592</v>
      </c>
      <c r="B2" s="1214"/>
      <c r="C2" s="1214"/>
      <c r="D2" s="1214"/>
    </row>
    <row r="3" spans="1:4" ht="8" customHeight="1"/>
    <row r="4" spans="1:4" ht="22" customHeight="1">
      <c r="B4" s="1212" t="s">
        <v>593</v>
      </c>
      <c r="C4" s="1212"/>
      <c r="D4" s="1212"/>
    </row>
    <row r="5" spans="1:4">
      <c r="B5" s="845" t="s">
        <v>594</v>
      </c>
      <c r="C5" s="846" t="s">
        <v>595</v>
      </c>
      <c r="D5" s="846" t="s">
        <v>596</v>
      </c>
    </row>
    <row r="6" spans="1:4">
      <c r="B6" s="870" t="s">
        <v>597</v>
      </c>
      <c r="C6" s="885">
        <f>WATERFALL!C9</f>
        <v>0.1</v>
      </c>
      <c r="D6" s="876">
        <f>WATERFALL!D9</f>
        <v>0</v>
      </c>
    </row>
    <row r="7" spans="1:4">
      <c r="B7" s="847" t="s">
        <v>526</v>
      </c>
      <c r="C7" s="850">
        <f>WATERFALL!C10</f>
        <v>0.3</v>
      </c>
      <c r="D7" s="852">
        <f>WATERFALL!D10</f>
        <v>0</v>
      </c>
    </row>
    <row r="8" spans="1:4" ht="17" thickBot="1">
      <c r="B8" s="862" t="s">
        <v>529</v>
      </c>
      <c r="C8" s="863">
        <f>WATERFALL!C11</f>
        <v>0.60000000000000009</v>
      </c>
      <c r="D8" s="864">
        <f>WATERFALL!D11</f>
        <v>0</v>
      </c>
    </row>
    <row r="9" spans="1:4" ht="18" thickTop="1" thickBot="1">
      <c r="B9" s="882" t="s">
        <v>83</v>
      </c>
      <c r="C9" s="883">
        <f>SUM(C6:C8)</f>
        <v>1</v>
      </c>
      <c r="D9" s="884">
        <f>SUM(D6:D8)</f>
        <v>0</v>
      </c>
    </row>
    <row r="10" spans="1:4" ht="10" customHeight="1"/>
    <row r="11" spans="1:4" ht="22" customHeight="1">
      <c r="B11" s="1212" t="s">
        <v>575</v>
      </c>
      <c r="C11" s="1212"/>
      <c r="D11" s="1212"/>
    </row>
    <row r="12" spans="1:4">
      <c r="B12" s="870" t="s">
        <v>7</v>
      </c>
      <c r="C12" s="885">
        <f>INPUTS!F15</f>
        <v>0</v>
      </c>
      <c r="D12" s="885"/>
    </row>
    <row r="13" spans="1:4">
      <c r="B13" s="847" t="s">
        <v>216</v>
      </c>
      <c r="C13" s="850">
        <f>INPUTS!F14</f>
        <v>0</v>
      </c>
      <c r="D13" s="850"/>
    </row>
    <row r="14" spans="1:4">
      <c r="B14" s="862" t="s">
        <v>191</v>
      </c>
      <c r="C14" s="863">
        <f>INPUTS!F13</f>
        <v>0</v>
      </c>
      <c r="D14" s="863"/>
    </row>
    <row r="15" spans="1:4">
      <c r="B15" s="875" t="s">
        <v>164</v>
      </c>
      <c r="C15" s="849">
        <f>INPUTS!F16</f>
        <v>0</v>
      </c>
      <c r="D15" s="849"/>
    </row>
    <row r="16" spans="1:4" ht="10" customHeight="1"/>
    <row r="17" spans="2:4" ht="22" customHeight="1">
      <c r="B17" s="1212" t="s">
        <v>576</v>
      </c>
      <c r="C17" s="1212"/>
      <c r="D17" s="1212"/>
    </row>
    <row r="18" spans="2:4">
      <c r="B18" s="845" t="s">
        <v>598</v>
      </c>
      <c r="C18" s="846" t="s">
        <v>192</v>
      </c>
      <c r="D18" s="846" t="s">
        <v>414</v>
      </c>
    </row>
    <row r="19" spans="2:4">
      <c r="B19" s="870" t="s">
        <v>599</v>
      </c>
      <c r="C19" s="885">
        <f>WATERFALL!E16</f>
        <v>0.1</v>
      </c>
      <c r="D19" s="885">
        <v>0</v>
      </c>
    </row>
    <row r="20" spans="2:4">
      <c r="B20" s="847" t="s">
        <v>600</v>
      </c>
      <c r="C20" s="850">
        <f>WATERFALL!D17</f>
        <v>0.1</v>
      </c>
      <c r="D20" s="850">
        <f>WATERFALL!F17</f>
        <v>0.15</v>
      </c>
    </row>
    <row r="21" spans="2:4">
      <c r="B21" s="866" t="s">
        <v>601</v>
      </c>
      <c r="C21" s="867">
        <f>WATERFALL!D18</f>
        <v>0.12</v>
      </c>
      <c r="D21" s="867">
        <f>WATERFALL!F18</f>
        <v>0.25</v>
      </c>
    </row>
    <row r="22" spans="2:4" ht="10" customHeight="1"/>
    <row r="23" spans="2:4" ht="22" customHeight="1">
      <c r="B23" s="1212" t="s">
        <v>440</v>
      </c>
      <c r="C23" s="1212"/>
      <c r="D23" s="1212"/>
    </row>
    <row r="24" spans="2:4" ht="40" customHeight="1">
      <c r="B24" s="1215" t="s">
        <v>788</v>
      </c>
      <c r="C24" s="1216"/>
      <c r="D24" s="1216"/>
    </row>
  </sheetData>
  <mergeCells count="6">
    <mergeCell ref="B24:D24"/>
    <mergeCell ref="A2:D2"/>
    <mergeCell ref="B4:D4"/>
    <mergeCell ref="B11:D11"/>
    <mergeCell ref="B17:D17"/>
    <mergeCell ref="B23:D23"/>
  </mergeCells>
  <printOptions horizontalCentered="1"/>
  <pageMargins left="0.25" right="0.25" top="0.25" bottom="0.25" header="0" footer="0"/>
  <pageSetup orientation="landscape"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172FF-0F89-9649-B51D-E4C95740635C}">
  <sheetPr>
    <tabColor theme="5" tint="0.59999389629810485"/>
    <pageSetUpPr fitToPage="1"/>
  </sheetPr>
  <dimension ref="S1:W19"/>
  <sheetViews>
    <sheetView showGridLines="0" zoomScale="97" zoomScaleNormal="100" workbookViewId="0">
      <selection activeCell="G34" sqref="G34"/>
    </sheetView>
  </sheetViews>
  <sheetFormatPr baseColWidth="10" defaultRowHeight="16"/>
  <cols>
    <col min="1" max="1" width="0.83203125" customWidth="1"/>
    <col min="2" max="2" width="8.33203125" customWidth="1"/>
    <col min="3" max="5" width="15" customWidth="1"/>
  </cols>
  <sheetData>
    <row r="1" spans="19:23" ht="5" customHeight="1"/>
    <row r="2" spans="19:23" ht="30" customHeight="1">
      <c r="S2" s="690"/>
      <c r="T2" s="690"/>
      <c r="U2" s="690"/>
      <c r="V2" s="690"/>
      <c r="W2" s="690"/>
    </row>
    <row r="3" spans="19:23" ht="18" customHeight="1">
      <c r="S3" s="1012" t="s">
        <v>602</v>
      </c>
      <c r="T3" s="1012" t="s">
        <v>35</v>
      </c>
      <c r="U3" s="1012" t="str">
        <f>"Year "&amp;ROUNDUP(INPUTS!I13/2,0)</f>
        <v>Year 0</v>
      </c>
      <c r="V3" s="1012" t="str">
        <f>"Year "&amp;INPUTS!I13</f>
        <v>Year 0</v>
      </c>
      <c r="W3" s="690"/>
    </row>
    <row r="4" spans="19:23" ht="18" customHeight="1">
      <c r="S4" s="1013" t="s">
        <v>72</v>
      </c>
      <c r="T4" s="1014">
        <f>INPUTS!$L$29*'PRO FORMA'!E17</f>
        <v>0</v>
      </c>
      <c r="U4" s="1014" t="e" cm="1">
        <f t="array" ref="U4">INPUTS!$L$29*INDEX('PRO FORMA'!E17:W17,1,(ROUNDUP(INPUTS!I13/2,0)-1)*2+1)</f>
        <v>#VALUE!</v>
      </c>
      <c r="V4" s="1014" t="e" cm="1">
        <f t="array" ref="V4">INPUTS!$L$29*INDEX('PRO FORMA'!E17:W17,1,(INPUTS!I13-1)*2+1)</f>
        <v>#VALUE!</v>
      </c>
      <c r="W4" s="690"/>
    </row>
    <row r="5" spans="19:23" ht="18" customHeight="1">
      <c r="S5" s="1013" t="s">
        <v>73</v>
      </c>
      <c r="T5" s="1014">
        <f>INPUTS!$L$30*'PRO FORMA'!E17</f>
        <v>0</v>
      </c>
      <c r="U5" s="1014" t="e" cm="1">
        <f t="array" ref="U5">INPUTS!$L$30*INDEX('PRO FORMA'!E17:W17,1,(ROUNDUP(INPUTS!I13/2,0)-1)*2+1)</f>
        <v>#VALUE!</v>
      </c>
      <c r="V5" s="1014" t="e" cm="1">
        <f t="array" ref="V5">INPUTS!$L$30*INDEX('PRO FORMA'!E17:W17,1,(INPUTS!I13-1)*2+1)</f>
        <v>#VALUE!</v>
      </c>
      <c r="W5" s="690"/>
    </row>
    <row r="6" spans="19:23" ht="18" customHeight="1">
      <c r="S6" s="1013" t="s">
        <v>74</v>
      </c>
      <c r="T6" s="1014">
        <f>INPUTS!$L$31*'PRO FORMA'!E17</f>
        <v>0</v>
      </c>
      <c r="U6" s="1014" t="e" cm="1">
        <f t="array" ref="U6">INPUTS!$L$31*INDEX('PRO FORMA'!E17:W17,1,(ROUNDUP(INPUTS!I13/2,0)-1)*2+1)</f>
        <v>#VALUE!</v>
      </c>
      <c r="V6" s="1014" t="e" cm="1">
        <f t="array" ref="V6">INPUTS!$L$31*INDEX('PRO FORMA'!E17:W17,1,(INPUTS!I13-1)*2+1)</f>
        <v>#VALUE!</v>
      </c>
      <c r="W6" s="690"/>
    </row>
    <row r="7" spans="19:23" ht="18" customHeight="1">
      <c r="S7" s="1013" t="s">
        <v>75</v>
      </c>
      <c r="T7" s="1014">
        <f>INPUTS!$L$32*'PRO FORMA'!E17</f>
        <v>0</v>
      </c>
      <c r="U7" s="1014" t="e" cm="1">
        <f t="array" ref="U7">INPUTS!$L$32*INDEX('PRO FORMA'!E17:W17,1,(ROUNDUP(INPUTS!I13/2,0)-1)*2+1)</f>
        <v>#VALUE!</v>
      </c>
      <c r="V7" s="1014" t="e" cm="1">
        <f t="array" ref="V7">INPUTS!$L$32*INDEX('PRO FORMA'!E17:W17,1,(INPUTS!I13-1)*2+1)</f>
        <v>#VALUE!</v>
      </c>
      <c r="W7" s="690"/>
    </row>
    <row r="8" spans="19:23" ht="18" customHeight="1">
      <c r="S8" s="1013" t="s">
        <v>76</v>
      </c>
      <c r="T8" s="1014">
        <f>INPUTS!$L$33*'PRO FORMA'!E17</f>
        <v>0</v>
      </c>
      <c r="U8" s="1014" t="e" cm="1">
        <f t="array" ref="U8">INPUTS!$L$33*INDEX('PRO FORMA'!E17:W17,1,(ROUNDUP(INPUTS!I13/2,0)-1)*2+1)</f>
        <v>#VALUE!</v>
      </c>
      <c r="V8" s="1014" t="e" cm="1">
        <f t="array" ref="V8">INPUTS!$L$33*INDEX('PRO FORMA'!E17:W17,1,(INPUTS!I13-1)*2+1)</f>
        <v>#VALUE!</v>
      </c>
      <c r="W8" s="690"/>
    </row>
    <row r="9" spans="19:23" ht="18" customHeight="1">
      <c r="S9" s="1013" t="s">
        <v>77</v>
      </c>
      <c r="T9" s="1014">
        <f>INPUTS!$L$34*'PRO FORMA'!E17</f>
        <v>0</v>
      </c>
      <c r="U9" s="1014" t="e" cm="1">
        <f t="array" ref="U9">INPUTS!$L$34*INDEX('PRO FORMA'!E17:W17,1,(ROUNDUP(INPUTS!I13/2,0)-1)*2+1)</f>
        <v>#VALUE!</v>
      </c>
      <c r="V9" s="1014" t="e" cm="1">
        <f t="array" ref="V9">INPUTS!$L$34*INDEX('PRO FORMA'!E17:W17,1,(INPUTS!I13-1)*2+1)</f>
        <v>#VALUE!</v>
      </c>
      <c r="W9" s="690"/>
    </row>
    <row r="10" spans="19:23" ht="18" customHeight="1">
      <c r="S10" s="1013" t="s">
        <v>78</v>
      </c>
      <c r="T10" s="1014">
        <f>INPUTS!$L$35*'PRO FORMA'!E17</f>
        <v>0</v>
      </c>
      <c r="U10" s="1014" t="e" cm="1">
        <f t="array" ref="U10">INPUTS!$L$35*INDEX('PRO FORMA'!E17:W17,1,(ROUNDUP(INPUTS!I13/2,0)-1)*2+1)</f>
        <v>#VALUE!</v>
      </c>
      <c r="V10" s="1014" t="e" cm="1">
        <f t="array" ref="V10">INPUTS!$L$35*INDEX('PRO FORMA'!E17:W17,1,(INPUTS!I13-1)*2+1)</f>
        <v>#VALUE!</v>
      </c>
      <c r="W10" s="690"/>
    </row>
    <row r="11" spans="19:23" ht="18" customHeight="1">
      <c r="S11" s="1013" t="s">
        <v>79</v>
      </c>
      <c r="T11" s="1014">
        <f>INPUTS!$L$36*'PRO FORMA'!E17</f>
        <v>0</v>
      </c>
      <c r="U11" s="1014" t="e" cm="1">
        <f t="array" ref="U11">INPUTS!$L$36*INDEX('PRO FORMA'!E17:W17,1,(ROUNDUP(INPUTS!I13/2,0)-1)*2+1)</f>
        <v>#VALUE!</v>
      </c>
      <c r="V11" s="1014" t="e" cm="1">
        <f t="array" ref="V11">INPUTS!$L$36*INDEX('PRO FORMA'!E17:W17,1,(INPUTS!I13-1)*2+1)</f>
        <v>#VALUE!</v>
      </c>
      <c r="W11" s="690"/>
    </row>
    <row r="12" spans="19:23" ht="18" customHeight="1">
      <c r="S12" s="1013" t="s">
        <v>80</v>
      </c>
      <c r="T12" s="1014">
        <f>INPUTS!$L$37*'PRO FORMA'!E17</f>
        <v>0</v>
      </c>
      <c r="U12" s="1014" t="e" cm="1">
        <f t="array" ref="U12">INPUTS!$L$37*INDEX('PRO FORMA'!E17:W17,1,(ROUNDUP(INPUTS!I13/2,0)-1)*2+1)</f>
        <v>#VALUE!</v>
      </c>
      <c r="V12" s="1014" t="e" cm="1">
        <f t="array" ref="V12">INPUTS!$L$37*INDEX('PRO FORMA'!E17:W17,1,(INPUTS!I13-1)*2+1)</f>
        <v>#VALUE!</v>
      </c>
      <c r="W12" s="690"/>
    </row>
    <row r="13" spans="19:23" ht="18" customHeight="1">
      <c r="S13" s="1013" t="s">
        <v>81</v>
      </c>
      <c r="T13" s="1014">
        <f>INPUTS!$L$38*'PRO FORMA'!E17</f>
        <v>0</v>
      </c>
      <c r="U13" s="1014" t="e" cm="1">
        <f t="array" ref="U13">INPUTS!$L$38*INDEX('PRO FORMA'!E17:W17,1,(ROUNDUP(INPUTS!I13/2,0)-1)*2+1)</f>
        <v>#VALUE!</v>
      </c>
      <c r="V13" s="1014" t="e" cm="1">
        <f t="array" ref="V13">INPUTS!$L$38*INDEX('PRO FORMA'!E17:W17,1,(INPUTS!I13-1)*2+1)</f>
        <v>#VALUE!</v>
      </c>
      <c r="W13" s="690"/>
    </row>
    <row r="14" spans="19:23" ht="18" customHeight="1">
      <c r="S14" s="1013" t="s">
        <v>332</v>
      </c>
      <c r="T14" s="1014">
        <f>INPUTS!$L$39*'PRO FORMA'!E17</f>
        <v>0</v>
      </c>
      <c r="U14" s="1014" t="e" cm="1">
        <f t="array" ref="U14">INPUTS!$L$39*INDEX('PRO FORMA'!E17:W17,1,(ROUNDUP(INPUTS!I13/2,0)-1)*2+1)</f>
        <v>#VALUE!</v>
      </c>
      <c r="V14" s="1014" t="e" cm="1">
        <f t="array" ref="V14">INPUTS!$L$39*INDEX('PRO FORMA'!E17:W17,1,(INPUTS!I13-1)*2+1)</f>
        <v>#VALUE!</v>
      </c>
      <c r="W14" s="690"/>
    </row>
    <row r="15" spans="19:23" ht="18" customHeight="1">
      <c r="S15" s="1013" t="s">
        <v>82</v>
      </c>
      <c r="T15" s="1014">
        <f>INPUTS!$L$40*'PRO FORMA'!E17</f>
        <v>0</v>
      </c>
      <c r="U15" s="1014" t="e" cm="1">
        <f t="array" ref="U15">INPUTS!$L$40*INDEX('PRO FORMA'!E17:W17,1,(ROUNDUP(INPUTS!I13/2,0)-1)*2+1)</f>
        <v>#VALUE!</v>
      </c>
      <c r="V15" s="1014" t="e" cm="1">
        <f t="array" ref="V15">INPUTS!$L$40*INDEX('PRO FORMA'!E17:W17,1,(INPUTS!I13-1)*2+1)</f>
        <v>#VALUE!</v>
      </c>
      <c r="W15" s="690"/>
    </row>
    <row r="16" spans="19:23" ht="18" customHeight="1">
      <c r="S16" s="1013" t="s">
        <v>83</v>
      </c>
      <c r="T16" s="1014">
        <f>SUM(C5:C16)</f>
        <v>0</v>
      </c>
      <c r="U16" s="1014">
        <f>SUM(D5:D16)</f>
        <v>0</v>
      </c>
      <c r="V16" s="1014">
        <f>SUM(E5:E16)</f>
        <v>0</v>
      </c>
      <c r="W16" s="690"/>
    </row>
    <row r="17" spans="19:23" ht="18" customHeight="1">
      <c r="S17" s="690"/>
      <c r="T17" s="690"/>
      <c r="U17" s="690"/>
      <c r="V17" s="690"/>
      <c r="W17" s="690"/>
    </row>
    <row r="18" spans="19:23">
      <c r="S18" s="690"/>
      <c r="T18" s="690"/>
      <c r="U18" s="690"/>
      <c r="V18" s="690"/>
      <c r="W18" s="690"/>
    </row>
    <row r="19" spans="19:23">
      <c r="S19" s="690"/>
      <c r="T19" s="690"/>
      <c r="U19" s="690"/>
      <c r="V19" s="690"/>
      <c r="W19" s="690"/>
    </row>
  </sheetData>
  <printOptions horizontalCentered="1"/>
  <pageMargins left="0.25" right="0.25" top="0.25" bottom="0.25" header="0" footer="0"/>
  <pageSetup orientation="landscape"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DISCLAIMER</vt:lpstr>
      <vt:lpstr>INSTRUCTIONS</vt:lpstr>
      <vt:lpstr>SUMMARY</vt:lpstr>
      <vt:lpstr>INPUTS</vt:lpstr>
      <vt:lpstr>PIP</vt:lpstr>
      <vt:lpstr>DIRTY P&amp;L</vt:lpstr>
      <vt:lpstr>ALLOCATION</vt:lpstr>
      <vt:lpstr>CLEAN P&amp;L</vt:lpstr>
      <vt:lpstr>INVESTMENT ANALYSIS</vt:lpstr>
      <vt:lpstr>STR INPUT</vt:lpstr>
      <vt:lpstr>STR PERFORMANCE</vt:lpstr>
      <vt:lpstr>STR COMP TABLE</vt:lpstr>
      <vt:lpstr>STR CHARTS</vt:lpstr>
      <vt:lpstr>PROJECTIONS</vt:lpstr>
      <vt:lpstr>PRO FORMA</vt:lpstr>
      <vt:lpstr>WATERFALL</vt:lpstr>
      <vt:lpstr>DEBT</vt:lpstr>
      <vt:lpstr>LP-B SENSITIVITY - PRINT</vt:lpstr>
      <vt:lpstr>PROPERTY SENSITIVITY - PRINT</vt:lpstr>
      <vt:lpstr>INVESTMENT SUMMARY - PRINT</vt:lpstr>
      <vt:lpstr>LP SUMMARY - PRINT</vt:lpstr>
      <vt:lpstr>SPONSORSHIP STRUCTURE - PRINT</vt:lpstr>
      <vt:lpstr>MONTHLY REVENUE CHART - PRINT</vt:lpstr>
      <vt:lpstr>'INVESTMENT SUMMARY - PRINT'!Print_Area</vt:lpstr>
      <vt:lpstr>'LP SUMMARY - PRINT'!Print_Area</vt:lpstr>
      <vt:lpstr>'LP-B SENSITIVITY - PRINT'!Print_Area</vt:lpstr>
      <vt:lpstr>'MONTHLY REVENUE CHART - PRINT'!Print_Area</vt:lpstr>
      <vt:lpstr>'PROPERTY SENSITIVITY - PRINT'!Print_Area</vt:lpstr>
      <vt:lpstr>'SPONSORSHIP STRUCTURE - PRINT'!Print_Area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Gizinski, Reed</dc:creator>
  <cp:lastModifiedBy>Gizinski, Reed</cp:lastModifiedBy>
  <dcterms:created xsi:type="dcterms:W3CDTF">2025-05-29T18:54:04Z</dcterms:created>
  <dcterms:modified xsi:type="dcterms:W3CDTF">2026-03-30T19:21:42Z</dcterms:modified>
</cp:coreProperties>
</file>