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sarahbuckshot/Downloads/"/>
    </mc:Choice>
  </mc:AlternateContent>
  <xr:revisionPtr revIDLastSave="0" documentId="8_{35AEF784-9893-AF40-897D-91EECAE2D30B}" xr6:coauthVersionLast="47" xr6:coauthVersionMax="47" xr10:uidLastSave="{00000000-0000-0000-0000-000000000000}"/>
  <bookViews>
    <workbookView xWindow="0" yWindow="500" windowWidth="15960" windowHeight="16340" activeTab="2" xr2:uid="{00000000-000D-0000-FFFF-FFFF00000000}"/>
  </bookViews>
  <sheets>
    <sheet name="Export Summary" sheetId="1" r:id="rId1"/>
    <sheet name="Budget worksheet" sheetId="2" r:id="rId2"/>
    <sheet name="07-24-REF-Budget vs. Actual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64" i="3" l="1"/>
  <c r="C164" i="3"/>
  <c r="E163" i="3"/>
  <c r="B163" i="3"/>
  <c r="D163" i="3" s="1"/>
  <c r="E162" i="3"/>
  <c r="D162" i="3"/>
  <c r="B162" i="3"/>
  <c r="E161" i="3"/>
  <c r="B161" i="3"/>
  <c r="B164" i="3" s="1"/>
  <c r="D164" i="3" s="1"/>
  <c r="E160" i="3"/>
  <c r="D160" i="3"/>
  <c r="E159" i="3"/>
  <c r="D159" i="3"/>
  <c r="B159" i="3"/>
  <c r="E158" i="3"/>
  <c r="B158" i="3"/>
  <c r="D158" i="3" s="1"/>
  <c r="E157" i="3"/>
  <c r="B157" i="3"/>
  <c r="D157" i="3" s="1"/>
  <c r="C156" i="3"/>
  <c r="E156" i="3" s="1"/>
  <c r="E155" i="3"/>
  <c r="D155" i="3"/>
  <c r="B155" i="3"/>
  <c r="B156" i="3" s="1"/>
  <c r="D156" i="3" s="1"/>
  <c r="E154" i="3"/>
  <c r="D154" i="3"/>
  <c r="E153" i="3"/>
  <c r="D153" i="3"/>
  <c r="B153" i="3"/>
  <c r="E152" i="3"/>
  <c r="D152" i="3"/>
  <c r="B152" i="3"/>
  <c r="E151" i="3"/>
  <c r="B151" i="3"/>
  <c r="D151" i="3" s="1"/>
  <c r="E147" i="3"/>
  <c r="B147" i="3"/>
  <c r="D147" i="3" s="1"/>
  <c r="E145" i="3"/>
  <c r="D145" i="3"/>
  <c r="C145" i="3"/>
  <c r="E144" i="3"/>
  <c r="D144" i="3"/>
  <c r="C144" i="3"/>
  <c r="B144" i="3"/>
  <c r="C143" i="3"/>
  <c r="E143" i="3" s="1"/>
  <c r="B143" i="3"/>
  <c r="E142" i="3"/>
  <c r="D142" i="3"/>
  <c r="C142" i="3"/>
  <c r="E141" i="3"/>
  <c r="B141" i="3"/>
  <c r="D141" i="3" s="1"/>
  <c r="C140" i="3"/>
  <c r="E140" i="3" s="1"/>
  <c r="B140" i="3"/>
  <c r="D140" i="3" s="1"/>
  <c r="D139" i="3"/>
  <c r="C139" i="3"/>
  <c r="E139" i="3" s="1"/>
  <c r="B139" i="3"/>
  <c r="C138" i="3"/>
  <c r="E138" i="3" s="1"/>
  <c r="E137" i="3"/>
  <c r="C137" i="3"/>
  <c r="D137" i="3" s="1"/>
  <c r="C136" i="3"/>
  <c r="E136" i="3" s="1"/>
  <c r="D135" i="3"/>
  <c r="C135" i="3"/>
  <c r="E135" i="3" s="1"/>
  <c r="B135" i="3"/>
  <c r="E134" i="3"/>
  <c r="C134" i="3"/>
  <c r="B134" i="3"/>
  <c r="D134" i="3" s="1"/>
  <c r="D133" i="3"/>
  <c r="C133" i="3"/>
  <c r="E133" i="3" s="1"/>
  <c r="B133" i="3"/>
  <c r="E132" i="3"/>
  <c r="C132" i="3"/>
  <c r="B132" i="3"/>
  <c r="B146" i="3" s="1"/>
  <c r="D131" i="3"/>
  <c r="C131" i="3"/>
  <c r="E131" i="3" s="1"/>
  <c r="B131" i="3"/>
  <c r="E130" i="3"/>
  <c r="D130" i="3"/>
  <c r="C128" i="3"/>
  <c r="C127" i="3"/>
  <c r="B127" i="3"/>
  <c r="B128" i="3" s="1"/>
  <c r="E126" i="3"/>
  <c r="D126" i="3"/>
  <c r="B125" i="3"/>
  <c r="D125" i="3" s="1"/>
  <c r="D124" i="3"/>
  <c r="C124" i="3"/>
  <c r="C125" i="3" s="1"/>
  <c r="E125" i="3" s="1"/>
  <c r="E123" i="3"/>
  <c r="D123" i="3"/>
  <c r="C122" i="3"/>
  <c r="E122" i="3" s="1"/>
  <c r="E121" i="3"/>
  <c r="D121" i="3"/>
  <c r="B121" i="3"/>
  <c r="E120" i="3"/>
  <c r="B120" i="3"/>
  <c r="D120" i="3" s="1"/>
  <c r="E118" i="3"/>
  <c r="D118" i="3"/>
  <c r="C118" i="3"/>
  <c r="B118" i="3"/>
  <c r="C117" i="3"/>
  <c r="E117" i="3" s="1"/>
  <c r="B117" i="3"/>
  <c r="D117" i="3" s="1"/>
  <c r="E116" i="3"/>
  <c r="D116" i="3"/>
  <c r="E114" i="3"/>
  <c r="D114" i="3"/>
  <c r="C114" i="3"/>
  <c r="B114" i="3"/>
  <c r="C113" i="3"/>
  <c r="E113" i="3" s="1"/>
  <c r="B113" i="3"/>
  <c r="B115" i="3" s="1"/>
  <c r="E112" i="3"/>
  <c r="D112" i="3"/>
  <c r="B111" i="3"/>
  <c r="C110" i="3"/>
  <c r="C111" i="3" s="1"/>
  <c r="E109" i="3"/>
  <c r="D109" i="3"/>
  <c r="D107" i="3"/>
  <c r="C107" i="3"/>
  <c r="C108" i="3" s="1"/>
  <c r="E108" i="3" s="1"/>
  <c r="B107" i="3"/>
  <c r="B108" i="3" s="1"/>
  <c r="E106" i="3"/>
  <c r="D106" i="3"/>
  <c r="E104" i="3"/>
  <c r="D104" i="3"/>
  <c r="C104" i="3"/>
  <c r="B104" i="3"/>
  <c r="C103" i="3"/>
  <c r="C105" i="3" s="1"/>
  <c r="B103" i="3"/>
  <c r="E103" i="3" s="1"/>
  <c r="E102" i="3"/>
  <c r="D102" i="3"/>
  <c r="D100" i="3"/>
  <c r="C100" i="3"/>
  <c r="E100" i="3" s="1"/>
  <c r="B100" i="3"/>
  <c r="E99" i="3"/>
  <c r="C99" i="3"/>
  <c r="C101" i="3" s="1"/>
  <c r="B99" i="3"/>
  <c r="D99" i="3" s="1"/>
  <c r="E98" i="3"/>
  <c r="D98" i="3"/>
  <c r="E97" i="3"/>
  <c r="D97" i="3"/>
  <c r="D95" i="3"/>
  <c r="C95" i="3"/>
  <c r="E95" i="3" s="1"/>
  <c r="E94" i="3"/>
  <c r="D94" i="3"/>
  <c r="C94" i="3"/>
  <c r="E93" i="3"/>
  <c r="B93" i="3"/>
  <c r="D93" i="3" s="1"/>
  <c r="E92" i="3"/>
  <c r="D92" i="3"/>
  <c r="C92" i="3"/>
  <c r="E91" i="3"/>
  <c r="C91" i="3"/>
  <c r="D91" i="3" s="1"/>
  <c r="C90" i="3"/>
  <c r="E90" i="3" s="1"/>
  <c r="E89" i="3"/>
  <c r="D89" i="3"/>
  <c r="C89" i="3"/>
  <c r="C88" i="3"/>
  <c r="E88" i="3" s="1"/>
  <c r="B88" i="3"/>
  <c r="D88" i="3" s="1"/>
  <c r="E87" i="3"/>
  <c r="D87" i="3"/>
  <c r="C87" i="3"/>
  <c r="C86" i="3"/>
  <c r="E85" i="3"/>
  <c r="D85" i="3"/>
  <c r="B85" i="3"/>
  <c r="E84" i="3"/>
  <c r="D84" i="3"/>
  <c r="C84" i="3"/>
  <c r="B84" i="3"/>
  <c r="B86" i="3" s="1"/>
  <c r="C83" i="3"/>
  <c r="E83" i="3" s="1"/>
  <c r="E82" i="3"/>
  <c r="D82" i="3"/>
  <c r="C82" i="3"/>
  <c r="C96" i="3" s="1"/>
  <c r="E81" i="3"/>
  <c r="D81" i="3"/>
  <c r="C80" i="3"/>
  <c r="E80" i="3" s="1"/>
  <c r="B80" i="3"/>
  <c r="D80" i="3" s="1"/>
  <c r="E79" i="3"/>
  <c r="D79" i="3"/>
  <c r="B79" i="3"/>
  <c r="E78" i="3"/>
  <c r="D78" i="3"/>
  <c r="C77" i="3"/>
  <c r="E77" i="3" s="1"/>
  <c r="E76" i="3"/>
  <c r="B76" i="3"/>
  <c r="D76" i="3" s="1"/>
  <c r="E75" i="3"/>
  <c r="B75" i="3"/>
  <c r="D75" i="3" s="1"/>
  <c r="E74" i="3"/>
  <c r="D74" i="3"/>
  <c r="B74" i="3"/>
  <c r="E73" i="3"/>
  <c r="D73" i="3"/>
  <c r="C72" i="3"/>
  <c r="E72" i="3" s="1"/>
  <c r="B72" i="3"/>
  <c r="D72" i="3" s="1"/>
  <c r="E71" i="3"/>
  <c r="D71" i="3"/>
  <c r="B71" i="3"/>
  <c r="E70" i="3"/>
  <c r="B70" i="3"/>
  <c r="D70" i="3" s="1"/>
  <c r="E69" i="3"/>
  <c r="D69" i="3"/>
  <c r="B69" i="3"/>
  <c r="E68" i="3"/>
  <c r="B68" i="3"/>
  <c r="D68" i="3" s="1"/>
  <c r="E67" i="3"/>
  <c r="D67" i="3"/>
  <c r="E66" i="3"/>
  <c r="D66" i="3"/>
  <c r="C66" i="3"/>
  <c r="B66" i="3"/>
  <c r="E65" i="3"/>
  <c r="D65" i="3"/>
  <c r="B65" i="3"/>
  <c r="E64" i="3"/>
  <c r="D64" i="3"/>
  <c r="E63" i="3"/>
  <c r="C63" i="3"/>
  <c r="E62" i="3"/>
  <c r="B62" i="3"/>
  <c r="D62" i="3" s="1"/>
  <c r="E61" i="3"/>
  <c r="D61" i="3"/>
  <c r="B61" i="3"/>
  <c r="B63" i="3" s="1"/>
  <c r="D63" i="3" s="1"/>
  <c r="E60" i="3"/>
  <c r="D60" i="3"/>
  <c r="E58" i="3"/>
  <c r="D58" i="3"/>
  <c r="C58" i="3"/>
  <c r="B58" i="3"/>
  <c r="C57" i="3"/>
  <c r="E57" i="3" s="1"/>
  <c r="B57" i="3"/>
  <c r="D57" i="3" s="1"/>
  <c r="E56" i="3"/>
  <c r="D56" i="3"/>
  <c r="C56" i="3"/>
  <c r="C59" i="3" s="1"/>
  <c r="B56" i="3"/>
  <c r="E55" i="3"/>
  <c r="D55" i="3"/>
  <c r="E50" i="3"/>
  <c r="B50" i="3"/>
  <c r="D50" i="3" s="1"/>
  <c r="C49" i="3"/>
  <c r="E49" i="3" s="1"/>
  <c r="B49" i="3"/>
  <c r="D49" i="3" s="1"/>
  <c r="E48" i="3"/>
  <c r="D48" i="3"/>
  <c r="B48" i="3"/>
  <c r="E47" i="3"/>
  <c r="B47" i="3"/>
  <c r="D47" i="3" s="1"/>
  <c r="C45" i="3"/>
  <c r="E45" i="3" s="1"/>
  <c r="B45" i="3"/>
  <c r="D45" i="3" s="1"/>
  <c r="E44" i="3"/>
  <c r="D44" i="3"/>
  <c r="C44" i="3"/>
  <c r="B44" i="3"/>
  <c r="E42" i="3"/>
  <c r="D42" i="3"/>
  <c r="C42" i="3"/>
  <c r="C43" i="3" s="1"/>
  <c r="B42" i="3"/>
  <c r="B43" i="3" s="1"/>
  <c r="D43" i="3" s="1"/>
  <c r="E41" i="3"/>
  <c r="D41" i="3"/>
  <c r="C40" i="3"/>
  <c r="E40" i="3" s="1"/>
  <c r="B40" i="3"/>
  <c r="D40" i="3" s="1"/>
  <c r="E39" i="3"/>
  <c r="D39" i="3"/>
  <c r="C39" i="3"/>
  <c r="B39" i="3"/>
  <c r="E38" i="3"/>
  <c r="B38" i="3"/>
  <c r="D38" i="3" s="1"/>
  <c r="E37" i="3"/>
  <c r="D37" i="3"/>
  <c r="E36" i="3"/>
  <c r="C36" i="3"/>
  <c r="E35" i="3"/>
  <c r="D35" i="3"/>
  <c r="B35" i="3"/>
  <c r="B36" i="3" s="1"/>
  <c r="E34" i="3"/>
  <c r="D34" i="3"/>
  <c r="B34" i="3"/>
  <c r="E33" i="3"/>
  <c r="B33" i="3"/>
  <c r="D33" i="3" s="1"/>
  <c r="E32" i="3"/>
  <c r="D32" i="3"/>
  <c r="C30" i="3"/>
  <c r="C31" i="3" s="1"/>
  <c r="E31" i="3" s="1"/>
  <c r="B30" i="3"/>
  <c r="D30" i="3" s="1"/>
  <c r="E29" i="3"/>
  <c r="D29" i="3"/>
  <c r="B29" i="3"/>
  <c r="E28" i="3"/>
  <c r="B28" i="3"/>
  <c r="D28" i="3" s="1"/>
  <c r="E27" i="3"/>
  <c r="D27" i="3"/>
  <c r="E26" i="3"/>
  <c r="D26" i="3"/>
  <c r="B26" i="3"/>
  <c r="E25" i="3"/>
  <c r="B25" i="3"/>
  <c r="D25" i="3" s="1"/>
  <c r="E24" i="3"/>
  <c r="D24" i="3"/>
  <c r="B24" i="3"/>
  <c r="B31" i="3" s="1"/>
  <c r="D31" i="3" s="1"/>
  <c r="E23" i="3"/>
  <c r="D23" i="3"/>
  <c r="C22" i="3"/>
  <c r="E22" i="3" s="1"/>
  <c r="B22" i="3"/>
  <c r="D22" i="3" s="1"/>
  <c r="E21" i="3"/>
  <c r="D21" i="3"/>
  <c r="B21" i="3"/>
  <c r="E20" i="3"/>
  <c r="D20" i="3"/>
  <c r="B20" i="3"/>
  <c r="E19" i="3"/>
  <c r="D19" i="3"/>
  <c r="B19" i="3"/>
  <c r="E18" i="3"/>
  <c r="D18" i="3"/>
  <c r="B18" i="3"/>
  <c r="E17" i="3"/>
  <c r="D17" i="3"/>
  <c r="C16" i="3"/>
  <c r="E16" i="3" s="1"/>
  <c r="E15" i="3"/>
  <c r="B15" i="3"/>
  <c r="D15" i="3" s="1"/>
  <c r="E14" i="3"/>
  <c r="B14" i="3"/>
  <c r="D14" i="3" s="1"/>
  <c r="E13" i="3"/>
  <c r="D13" i="3"/>
  <c r="D11" i="3"/>
  <c r="C11" i="3"/>
  <c r="E11" i="3" s="1"/>
  <c r="E10" i="3"/>
  <c r="D10" i="3"/>
  <c r="C10" i="3"/>
  <c r="B10" i="3"/>
  <c r="C9" i="3"/>
  <c r="C12" i="3" s="1"/>
  <c r="B9" i="3"/>
  <c r="D9" i="3" s="1"/>
  <c r="E8" i="3"/>
  <c r="D8" i="3"/>
  <c r="C8" i="3"/>
  <c r="B8" i="3"/>
  <c r="B12" i="3" s="1"/>
  <c r="E7" i="3"/>
  <c r="D7" i="3"/>
  <c r="C85" i="2"/>
  <c r="B85" i="2"/>
  <c r="C81" i="2"/>
  <c r="B81" i="2"/>
  <c r="C77" i="2"/>
  <c r="B77" i="2"/>
  <c r="C73" i="2"/>
  <c r="B73" i="2"/>
  <c r="C70" i="2"/>
  <c r="B70" i="2"/>
  <c r="C67" i="2"/>
  <c r="C64" i="2"/>
  <c r="B64" i="2"/>
  <c r="C60" i="2"/>
  <c r="C86" i="2" s="1"/>
  <c r="B60" i="2"/>
  <c r="B86" i="2" s="1"/>
  <c r="C56" i="2"/>
  <c r="B56" i="2"/>
  <c r="C51" i="2"/>
  <c r="B51" i="2"/>
  <c r="C35" i="2"/>
  <c r="B35" i="2"/>
  <c r="C20" i="2"/>
  <c r="C21" i="2" s="1"/>
  <c r="B20" i="2"/>
  <c r="B21" i="2" s="1"/>
  <c r="C13" i="2"/>
  <c r="B13" i="2"/>
  <c r="E43" i="3" l="1"/>
  <c r="D12" i="3"/>
  <c r="E128" i="3"/>
  <c r="D128" i="3"/>
  <c r="E111" i="3"/>
  <c r="D111" i="3"/>
  <c r="E59" i="3"/>
  <c r="D86" i="3"/>
  <c r="B96" i="3"/>
  <c r="D96" i="3" s="1"/>
  <c r="E86" i="3"/>
  <c r="B87" i="2"/>
  <c r="B88" i="2" s="1"/>
  <c r="B92" i="2" s="1"/>
  <c r="C87" i="2"/>
  <c r="C88" i="2" s="1"/>
  <c r="C92" i="2" s="1"/>
  <c r="E12" i="3"/>
  <c r="D36" i="3"/>
  <c r="D108" i="3"/>
  <c r="B46" i="3"/>
  <c r="C146" i="3"/>
  <c r="E146" i="3" s="1"/>
  <c r="B165" i="3"/>
  <c r="B16" i="3"/>
  <c r="D16" i="3" s="1"/>
  <c r="C46" i="3"/>
  <c r="B77" i="3"/>
  <c r="D77" i="3" s="1"/>
  <c r="C165" i="3"/>
  <c r="B119" i="3"/>
  <c r="B59" i="3"/>
  <c r="B105" i="3"/>
  <c r="D105" i="3" s="1"/>
  <c r="C119" i="3"/>
  <c r="E119" i="3" s="1"/>
  <c r="D83" i="3"/>
  <c r="D90" i="3"/>
  <c r="E107" i="3"/>
  <c r="D110" i="3"/>
  <c r="B122" i="3"/>
  <c r="D122" i="3" s="1"/>
  <c r="E124" i="3"/>
  <c r="D138" i="3"/>
  <c r="D161" i="3"/>
  <c r="E9" i="3"/>
  <c r="E30" i="3"/>
  <c r="B101" i="3"/>
  <c r="E101" i="3" s="1"/>
  <c r="D103" i="3"/>
  <c r="E110" i="3"/>
  <c r="C115" i="3"/>
  <c r="E115" i="3" s="1"/>
  <c r="D127" i="3"/>
  <c r="D113" i="3"/>
  <c r="E127" i="3"/>
  <c r="D136" i="3"/>
  <c r="D143" i="3"/>
  <c r="D132" i="3"/>
  <c r="E46" i="3" l="1"/>
  <c r="C51" i="3"/>
  <c r="B148" i="3"/>
  <c r="D59" i="3"/>
  <c r="E96" i="3"/>
  <c r="D115" i="3"/>
  <c r="B166" i="3"/>
  <c r="D165" i="3"/>
  <c r="D46" i="3"/>
  <c r="D146" i="3"/>
  <c r="C166" i="3"/>
  <c r="E165" i="3"/>
  <c r="B51" i="3"/>
  <c r="D51" i="3" s="1"/>
  <c r="E105" i="3"/>
  <c r="D119" i="3"/>
  <c r="D101" i="3"/>
  <c r="B129" i="3"/>
  <c r="C129" i="3"/>
  <c r="D166" i="3" l="1"/>
  <c r="B167" i="3"/>
  <c r="E129" i="3"/>
  <c r="C148" i="3"/>
  <c r="E148" i="3" s="1"/>
  <c r="E166" i="3"/>
  <c r="C167" i="3"/>
  <c r="E167" i="3" s="1"/>
  <c r="D148" i="3"/>
  <c r="D129" i="3"/>
  <c r="E51" i="3"/>
  <c r="C52" i="3"/>
  <c r="B52" i="3"/>
  <c r="D52" i="3" l="1"/>
  <c r="B53" i="3"/>
  <c r="C53" i="3"/>
  <c r="E52" i="3"/>
  <c r="D167" i="3"/>
  <c r="D53" i="3" l="1"/>
  <c r="B149" i="3"/>
  <c r="E53" i="3"/>
  <c r="C149" i="3"/>
  <c r="C168" i="3" l="1"/>
  <c r="E149" i="3"/>
  <c r="B168" i="3"/>
  <c r="D168" i="3" s="1"/>
  <c r="D149" i="3"/>
  <c r="E168" i="3" l="1"/>
</calcChain>
</file>

<file path=xl/sharedStrings.xml><?xml version="1.0" encoding="utf-8"?>
<sst xmlns="http://schemas.openxmlformats.org/spreadsheetml/2006/main" count="310" uniqueCount="265">
  <si>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</si>
  <si>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</si>
  <si>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</si>
  <si>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</si>
  <si>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Budget worksheet</t>
  </si>
  <si>
    <t>Table 1</t>
  </si>
  <si>
    <t>Presbytery of Cayuga-Syracuse 2024 budget
with 2025 amounts</t>
  </si>
  <si>
    <t>Account</t>
  </si>
  <si>
    <t>2024 Total</t>
  </si>
  <si>
    <t>2025 amount</t>
  </si>
  <si>
    <t>Notes</t>
  </si>
  <si>
    <t>Income</t>
  </si>
  <si>
    <t>MISCELLANEOUS REVENUE</t>
  </si>
  <si>
    <t>DIVIDENDS INCOME</t>
  </si>
  <si>
    <t>PRES. FOUNDATION- BEN. CARE</t>
  </si>
  <si>
    <t>We will not budget for dividend income from now on. We are reinvesting the dividends for maximum return and simplicity and clarity in reporting. Benevolent care funds will continue to be used for grants.</t>
  </si>
  <si>
    <t>PRES. FOUNDATION- ENDOW</t>
  </si>
  <si>
    <t>100- OPERATING</t>
  </si>
  <si>
    <t>Total for PRES. FOUNDATION- ENDOW</t>
  </si>
  <si>
    <t>We will sell shares of the operating fund if needed to balance the budget.</t>
  </si>
  <si>
    <t>PRES. FOUNDATION- FAY GIDDINGS</t>
  </si>
  <si>
    <t>Fay Giddings funds will continue to be used for grants or loans.</t>
  </si>
  <si>
    <t>PRES. FOUNDATION- MISSION INIT.</t>
  </si>
  <si>
    <t>Mission Initiatives and Weil funds (not shown) will continue to be distributed to the churches for missoin.</t>
  </si>
  <si>
    <t>PRES. FOUND.-BLACK MEMORIAL</t>
  </si>
  <si>
    <t>Black Memorial funds will be merged into operating funds annually in February.</t>
  </si>
  <si>
    <t>Total for DIVIDENDS INCOME</t>
  </si>
  <si>
    <t>Total for MISCELLANEOUS REVENUE</t>
  </si>
  <si>
    <t>PER CAPITA</t>
  </si>
  <si>
    <t>GA PER CAPITA</t>
  </si>
  <si>
    <t>$10.84 x 2500 = $27,100 number of members estimated</t>
  </si>
  <si>
    <t>PRESBYTERY PER CAPITA</t>
  </si>
  <si>
    <t>$24.91 x 2500 = $62,275.00</t>
  </si>
  <si>
    <t>SYNOD PER CAPITA</t>
  </si>
  <si>
    <t>$4.25 x 2500 = $10,625</t>
  </si>
  <si>
    <t>UNPAID PER CAPITA</t>
  </si>
  <si>
    <t>Total for PER CAPITA</t>
  </si>
  <si>
    <t>Total for Income</t>
  </si>
  <si>
    <t>Expenses</t>
  </si>
  <si>
    <t>COMMITTEES OF PRESBYTERY</t>
  </si>
  <si>
    <t>ADMIN ACTION COMMISSION now COORD</t>
  </si>
  <si>
    <t>Includes expenses for attending GA in even years.</t>
  </si>
  <si>
    <t>Anti-Racism Task Force</t>
  </si>
  <si>
    <t>Estimated</t>
  </si>
  <si>
    <t>COMMISSION ON MINISTRY</t>
  </si>
  <si>
    <t>EARLY MINISTRIES INSTITUTE</t>
  </si>
  <si>
    <t>MILEAGE REIMBURSEMENT</t>
  </si>
  <si>
    <t>NEW WORSHIPPING COMM. WORK GROU</t>
  </si>
  <si>
    <t>PREPARATION FOR MINISTRY Committee</t>
  </si>
  <si>
    <t>Estimated for two inquirers, none known as of 9/9/2024</t>
  </si>
  <si>
    <t>PRESBYTERY MEETINGS</t>
  </si>
  <si>
    <t>SOCIAL JUSTICE</t>
  </si>
  <si>
    <t>*Request for Interfaith Works/SJ budget under review by CORD/Finance</t>
  </si>
  <si>
    <t>SPECIAL EVENTS/PROGRAMS/COMMIT</t>
  </si>
  <si>
    <t>WORSHIP &amp; EVENTS WORK GROUP</t>
  </si>
  <si>
    <t>Total for COMMITTEES OF PRESBYTERY</t>
  </si>
  <si>
    <t>OFFICE EXPENSES</t>
  </si>
  <si>
    <t>AUDIT</t>
  </si>
  <si>
    <t>BOOKKEEPER EXPENSE</t>
  </si>
  <si>
    <t>Preliminary from HR</t>
  </si>
  <si>
    <t>COMMUNICATIONS COORDINATOR</t>
  </si>
  <si>
    <t>COMMUNICATIONS COOR. MILEAGE</t>
  </si>
  <si>
    <t>EQUIPMENT REPAIRS &amp; MAINT</t>
  </si>
  <si>
    <t>INSURANCE-LIABILITY</t>
  </si>
  <si>
    <t>LEGAL FEES</t>
  </si>
  <si>
    <t>OFFICE SUPPLIES</t>
  </si>
  <si>
    <t>PAYROLL SERVICE</t>
  </si>
  <si>
    <t>POSTAGE</t>
  </si>
  <si>
    <t>Presbytery Benevolences</t>
  </si>
  <si>
    <t>RENT</t>
  </si>
  <si>
    <t>TELEPHONE</t>
  </si>
  <si>
    <t>WEBSITE/TECHNOLOGY/INTERNET</t>
  </si>
  <si>
    <t>Total for OFFICE EXPENSES</t>
  </si>
  <si>
    <t>PER CAPITA EXPENSE</t>
  </si>
  <si>
    <t>DISCOUNT FOR PREPAYMENT</t>
  </si>
  <si>
    <t>SYNOD PER CAPITA EXPENSE</t>
  </si>
  <si>
    <t>Total for PER CAPITA EXPENSE</t>
  </si>
  <si>
    <t>WAGES &amp; BENEFITS</t>
  </si>
  <si>
    <t>CON'T. EDUCATION</t>
  </si>
  <si>
    <t>RESOURCE PRESBYTER</t>
  </si>
  <si>
    <t>Included in RP line below</t>
  </si>
  <si>
    <t>Total for CON'T. EDUCATION</t>
  </si>
  <si>
    <t>FICA EXPENSE</t>
  </si>
  <si>
    <t>Included in RP salary line below</t>
  </si>
  <si>
    <t>STATED CLERK</t>
  </si>
  <si>
    <t>Total for FICA EXPENSE</t>
  </si>
  <si>
    <t>HOUSING ALLOWANCE</t>
  </si>
  <si>
    <t>Total for HOUSING ALLOWANCE</t>
  </si>
  <si>
    <t>MEDICAL COVERAGE EXPENSE</t>
  </si>
  <si>
    <t>Total for MEDICAL COVERAGE EXPENSE</t>
  </si>
  <si>
    <t>We cannot directly reimburse medical expenses; a plan is needed for that. Should the Presbytery wish to have this, we must increase the salary by enough to cover the payoll taxes. There is a forumula for doing this; Paychex can advise.</t>
  </si>
  <si>
    <t>PENSION BENEFITS EXPENSE</t>
  </si>
  <si>
    <t>Total for PENSION BENEFITS EXPENSE</t>
  </si>
  <si>
    <t>PROFESSIONAL EXPENSES</t>
  </si>
  <si>
    <t>STATED CLERK/ASSOC. SC</t>
  </si>
  <si>
    <t>Total for PROFESSIONAL EXPENSES</t>
  </si>
  <si>
    <t>SALARY</t>
  </si>
  <si>
    <t>Per HR, please use last years total compensation of 106k as work is underway to secure leadership (Included in this amount will be salary for a part time admin as well.)</t>
  </si>
  <si>
    <t>Total for SALARY</t>
  </si>
  <si>
    <t>TRAVEL MILEAGE REIMBURSEMENT</t>
  </si>
  <si>
    <t>Total for TRAVEL MILEAGE REIMBURSEMENT</t>
  </si>
  <si>
    <t>Total for WAGES &amp; BENEFITS</t>
  </si>
  <si>
    <t>Total for Expenses</t>
  </si>
  <si>
    <t>Net Operating Income</t>
  </si>
  <si>
    <t>Other Income</t>
  </si>
  <si>
    <t>Other Expenses</t>
  </si>
  <si>
    <t>Net Other Income</t>
  </si>
  <si>
    <t>Net Income</t>
  </si>
  <si>
    <t>07-24-REF-Budget vs. Actuals</t>
  </si>
  <si>
    <t>Presbytery of Cayuga-Syracuse</t>
  </si>
  <si>
    <t>Budget vs. Actuals</t>
  </si>
  <si>
    <t>As of 7/23/24</t>
  </si>
  <si>
    <t>Total</t>
  </si>
  <si>
    <t>Actual</t>
  </si>
  <si>
    <t>Budget</t>
  </si>
  <si>
    <t>over Budget</t>
  </si>
  <si>
    <t>% of Budget</t>
  </si>
  <si>
    <t>Revenue</t>
  </si>
  <si>
    <t xml:space="preserve">   400100 PER CAPITA</t>
  </si>
  <si>
    <t xml:space="preserve">      GA PER CAPITA</t>
  </si>
  <si>
    <t xml:space="preserve">      PRESBYTERY PER CAPITA</t>
  </si>
  <si>
    <t xml:space="preserve">      SYNOD PER CAPITA</t>
  </si>
  <si>
    <t xml:space="preserve">      UNPAID PER CAPITA</t>
  </si>
  <si>
    <t xml:space="preserve">   Total 400100 PER CAPITA</t>
  </si>
  <si>
    <t xml:space="preserve">   400200 UNIFIED MISSION</t>
  </si>
  <si>
    <t xml:space="preserve">      GA MISSION</t>
  </si>
  <si>
    <t xml:space="preserve">      SYNOD MISSION</t>
  </si>
  <si>
    <t xml:space="preserve">   Total 400200 UNIFIED MISSION</t>
  </si>
  <si>
    <t xml:space="preserve">   400500 SELECTED/DESIGNATED MISSION</t>
  </si>
  <si>
    <t xml:space="preserve">      CHURCH WORLD SERVICE/BLANKET FU</t>
  </si>
  <si>
    <t xml:space="preserve">      DISASTER RELIEF- SYRIA</t>
  </si>
  <si>
    <t xml:space="preserve">      DISASTER RELIEF-GENERAL</t>
  </si>
  <si>
    <t xml:space="preserve">      WORLD MISSION</t>
  </si>
  <si>
    <t xml:space="preserve">   Total 400500 SELECTED/DESIGNATED MISSION</t>
  </si>
  <si>
    <t xml:space="preserve">   400600 SPECIAL OFFERINGS</t>
  </si>
  <si>
    <t xml:space="preserve">      CHRISTMAS UNIFIED</t>
  </si>
  <si>
    <t xml:space="preserve">      GA PENTECOST</t>
  </si>
  <si>
    <t xml:space="preserve">      ONE GREAT HOUR OF SHARING</t>
  </si>
  <si>
    <t xml:space="preserve">      PEACEMAKING</t>
  </si>
  <si>
    <t xml:space="preserve">         Peacemaking GA</t>
  </si>
  <si>
    <t xml:space="preserve">         Peacemaking Synod</t>
  </si>
  <si>
    <t xml:space="preserve">      Total PEACEMAKING</t>
  </si>
  <si>
    <t xml:space="preserve">   Total 400600 SPECIAL OFFERINGS</t>
  </si>
  <si>
    <t xml:space="preserve">   400950 MISCELLANEOUS REVENUE</t>
  </si>
  <si>
    <t xml:space="preserve">      400900 OTHER INCOME</t>
  </si>
  <si>
    <t xml:space="preserve">      401250 SPECIAL EVENTS/PROGRAMS INCOME</t>
  </si>
  <si>
    <t xml:space="preserve">         RENT SUBSIDY FUND</t>
  </si>
  <si>
    <t xml:space="preserve">      Total 401250 SPECIAL EVENTS/PROGRAMS INCOME</t>
  </si>
  <si>
    <t xml:space="preserve">      401400 DIVIDENDS INCOME</t>
  </si>
  <si>
    <t xml:space="preserve">         401700 PRES. FOUND- WEIL MEM.- MISSION</t>
  </si>
  <si>
    <t xml:space="preserve">         PRES. FOUND.-BLACK MEMORIAL</t>
  </si>
  <si>
    <t xml:space="preserve">         PRES. FOUNDATION- BEN. CARE</t>
  </si>
  <si>
    <t xml:space="preserve">         PRES. FOUNDATION- ENDOW</t>
  </si>
  <si>
    <t xml:space="preserve">            100- OPERATING</t>
  </si>
  <si>
    <t xml:space="preserve">         Total PRES. FOUNDATION- ENDOW</t>
  </si>
  <si>
    <t xml:space="preserve">         PRES. FOUNDATION- FAY GIDDINGS</t>
  </si>
  <si>
    <t xml:space="preserve">         PRES. FOUNDATION- MISSION INIT.</t>
  </si>
  <si>
    <t xml:space="preserve">      Total 401400 DIVIDENDS INCOME</t>
  </si>
  <si>
    <t xml:space="preserve">      402100 INTEREST INCOME</t>
  </si>
  <si>
    <t xml:space="preserve">         PILP</t>
  </si>
  <si>
    <t xml:space="preserve">      Total 402100 INTEREST INCOME</t>
  </si>
  <si>
    <t xml:space="preserve">      402250 TRANSFER BETWEEN FUNDS</t>
  </si>
  <si>
    <t xml:space="preserve">   Total 400950 MISCELLANEOUS REVENUE</t>
  </si>
  <si>
    <t>Total Revenue</t>
  </si>
  <si>
    <t>Gross Profit</t>
  </si>
  <si>
    <t>Expenditures</t>
  </si>
  <si>
    <t xml:space="preserve">   500100 PER CAPITA EXPENSE</t>
  </si>
  <si>
    <t xml:space="preserve">      DISCOUNT FOR PREPAYMENT</t>
  </si>
  <si>
    <t xml:space="preserve">      SYNOD PER CAPITA EXPENSE</t>
  </si>
  <si>
    <t xml:space="preserve">   Total 500100 PER CAPITA EXPENSE</t>
  </si>
  <si>
    <t xml:space="preserve">   500200 UNIFIED MISSION EXPENSE</t>
  </si>
  <si>
    <t xml:space="preserve">      GA UNIFIED MISSION</t>
  </si>
  <si>
    <t xml:space="preserve">      SYNOD UNIFIED MISSION</t>
  </si>
  <si>
    <t xml:space="preserve">   Total 500200 UNIFIED MISSION EXPENSE</t>
  </si>
  <si>
    <t xml:space="preserve">   500500 SELECTED/DESIGNATED MISSION PMT</t>
  </si>
  <si>
    <t xml:space="preserve">   Total 500500 SELECTED/DESIGNATED MISSION PMT</t>
  </si>
  <si>
    <t xml:space="preserve">   500600 SPECIAL OFFERINGS EXPENSES</t>
  </si>
  <si>
    <t xml:space="preserve">      CHRISTMAS</t>
  </si>
  <si>
    <t xml:space="preserve">   Total 500600 SPECIAL OFFERINGS EXPENSES</t>
  </si>
  <si>
    <t xml:space="preserve">   500800 SPECIAL GRANTS EXPENSE</t>
  </si>
  <si>
    <t xml:space="preserve">      610 CHURCH TRANSFORMATION GRANT</t>
  </si>
  <si>
    <t xml:space="preserve">      BENEVOLENT CARE GRANT FUND</t>
  </si>
  <si>
    <t xml:space="preserve">      FAY GIDDING SCHOLARSHIP GRANTS</t>
  </si>
  <si>
    <t xml:space="preserve">   Total 500800 SPECIAL GRANTS EXPENSE</t>
  </si>
  <si>
    <t xml:space="preserve">   501000 MISSIONS OF THE PRESBYTERY</t>
  </si>
  <si>
    <t xml:space="preserve">      501350 PRESBYTERIAN YOUTH CONNECTION</t>
  </si>
  <si>
    <t xml:space="preserve">   Total 501000 MISSIONS OF THE PRESBYTERY</t>
  </si>
  <si>
    <t xml:space="preserve">   502000 COMMITTEES OF PRESBYTERY</t>
  </si>
  <si>
    <t xml:space="preserve">      502400 SOCIAL JUSTICE</t>
  </si>
  <si>
    <t xml:space="preserve">      502450 WORSHIP &amp; EVENTS WORK GROUP</t>
  </si>
  <si>
    <t xml:space="preserve">      503200 SPECIAL EVENTS/PROGRAMS/COMMIT</t>
  </si>
  <si>
    <t xml:space="preserve">      Total 503200 SPECIAL EVENTS/PROGRAMS/COMMIT</t>
  </si>
  <si>
    <t xml:space="preserve">      503250 MILEAGE REIMBURSEMENT</t>
  </si>
  <si>
    <t xml:space="preserve">      504100 COMMITTEE ON MINISTRY</t>
  </si>
  <si>
    <t xml:space="preserve">      504400 PREPARATION FOR MINISTRY</t>
  </si>
  <si>
    <t xml:space="preserve">      504450 EARLY MINISTRIES INSTITUTE</t>
  </si>
  <si>
    <t xml:space="preserve">      504650 PRESBYTERY MEETINGS</t>
  </si>
  <si>
    <t xml:space="preserve">      504675 Anti-Racism Task Force</t>
  </si>
  <si>
    <t xml:space="preserve">      504700 MISSION INITIATIVES FUND EXPENS</t>
  </si>
  <si>
    <t xml:space="preserve">      504750 ADMIN ACTION COMMISSION</t>
  </si>
  <si>
    <t xml:space="preserve">      504800 NEW WORSHIPPING COMM. WORK GROU</t>
  </si>
  <si>
    <t xml:space="preserve">   Total 502000 COMMITTEES OF PRESBYTERY</t>
  </si>
  <si>
    <t xml:space="preserve">   600000 WAGES &amp; BENEFITS</t>
  </si>
  <si>
    <t xml:space="preserve">      600100 SALARY</t>
  </si>
  <si>
    <t xml:space="preserve">         RESOURCE PRESBYTER</t>
  </si>
  <si>
    <t xml:space="preserve">         STATED CLERK</t>
  </si>
  <si>
    <t xml:space="preserve">      Total 600100 SALARY</t>
  </si>
  <si>
    <t xml:space="preserve">      600150 FICA EXPENSE</t>
  </si>
  <si>
    <t xml:space="preserve">      Total 600150 FICA EXPENSE</t>
  </si>
  <si>
    <t xml:space="preserve">      600300 HOUSING ALLOWANCE</t>
  </si>
  <si>
    <t xml:space="preserve">      Total 600300 HOUSING ALLOWANCE</t>
  </si>
  <si>
    <t xml:space="preserve">      600400 CON'T. EDUCATION</t>
  </si>
  <si>
    <t xml:space="preserve">      Total 600400 CON'T. EDUCATION</t>
  </si>
  <si>
    <t xml:space="preserve">      600500 TRAVEL MILEAGE REIMBURSEMENT</t>
  </si>
  <si>
    <t xml:space="preserve">         STATED CLERK/ASSOC. SC</t>
  </si>
  <si>
    <t xml:space="preserve">      Total 600500 TRAVEL MILEAGE REIMBURSEMENT</t>
  </si>
  <si>
    <t xml:space="preserve">      600550 PROFESSIONAL EXPENSES</t>
  </si>
  <si>
    <t xml:space="preserve">      Total 600550 PROFESSIONAL EXPENSES</t>
  </si>
  <si>
    <t xml:space="preserve">      600700 DISABILITY INSURANCE</t>
  </si>
  <si>
    <t xml:space="preserve">      Total 600700 DISABILITY INSURANCE</t>
  </si>
  <si>
    <t xml:space="preserve">      600800 MEDICAL COVERAGE EXPENSE</t>
  </si>
  <si>
    <t xml:space="preserve">      Total 600800 MEDICAL COVERAGE EXPENSE</t>
  </si>
  <si>
    <t xml:space="preserve">      600850 PENSION BENEFITS EXPENSE</t>
  </si>
  <si>
    <t xml:space="preserve">      Total 600850 PENSION BENEFITS EXPENSE</t>
  </si>
  <si>
    <t xml:space="preserve">   Total 600000 WAGES &amp; BENEFITS</t>
  </si>
  <si>
    <t xml:space="preserve">   602000 OFFICE EXPENSES</t>
  </si>
  <si>
    <t xml:space="preserve">      602200 OFFICE SUPPLIES</t>
  </si>
  <si>
    <t xml:space="preserve">      602300 RENT</t>
  </si>
  <si>
    <t xml:space="preserve">      602400 TELEPHONE</t>
  </si>
  <si>
    <t xml:space="preserve">      602450 WEBSITE/TECHNOLOGY/INTERNET</t>
  </si>
  <si>
    <t xml:space="preserve">      602700 POSTAGE</t>
  </si>
  <si>
    <t xml:space="preserve">      602900 EQUIPMENT REPAIRS &amp; MAINT</t>
  </si>
  <si>
    <t xml:space="preserve">      602950 LEGAL FEES</t>
  </si>
  <si>
    <t xml:space="preserve">      602975 Presbytery Benevolences</t>
  </si>
  <si>
    <t xml:space="preserve">      603200 PAYROLL SERVICE</t>
  </si>
  <si>
    <t xml:space="preserve">      603600 INSURANCE-LIABILITY</t>
  </si>
  <si>
    <t xml:space="preserve">      603700 BANK CHARGES</t>
  </si>
  <si>
    <t xml:space="preserve">      603800 AUDIT</t>
  </si>
  <si>
    <t xml:space="preserve">      605200 BOOKKEEPER EXPENSE</t>
  </si>
  <si>
    <t xml:space="preserve">      605300 COMMUNICATIONS COORDINATOR</t>
  </si>
  <si>
    <t xml:space="preserve">      605350 COMMUNICATIONS COOR. MILEAGE</t>
  </si>
  <si>
    <t xml:space="preserve">   Total 602000 OFFICE EXPENSES</t>
  </si>
  <si>
    <t xml:space="preserve">   605800 TRANSFER TO OTHER FUNDS</t>
  </si>
  <si>
    <t>Total Expenditures</t>
  </si>
  <si>
    <t>Net Operating Revenue</t>
  </si>
  <si>
    <t>Other Revenue</t>
  </si>
  <si>
    <t xml:space="preserve">   700100 UNREALIZED GAIN(LOSS) ON INV</t>
  </si>
  <si>
    <t xml:space="preserve">      NEW COVENANT- PRES. YOUTH CON.</t>
  </si>
  <si>
    <t xml:space="preserve">      PRES. FOUNDATION- BEN. CARE</t>
  </si>
  <si>
    <t xml:space="preserve">      PRES. FOUNDATION- ENDOW</t>
  </si>
  <si>
    <t xml:space="preserve">         100- OPERATING</t>
  </si>
  <si>
    <t xml:space="preserve">      Total PRES. FOUNDATION- ENDOW</t>
  </si>
  <si>
    <t xml:space="preserve">      PRES. FOUNDATION- FAY GIDDINGS</t>
  </si>
  <si>
    <t xml:space="preserve">      PRES. FOUNDATION- MISSION INIT.</t>
  </si>
  <si>
    <t xml:space="preserve">      PRES. FOUNDATION-BLACK MEMORIAL</t>
  </si>
  <si>
    <t xml:space="preserve">      SCHWAB</t>
  </si>
  <si>
    <t xml:space="preserve">         100 OPERATING</t>
  </si>
  <si>
    <t xml:space="preserve">         450 BEN CARE</t>
  </si>
  <si>
    <t xml:space="preserve">         550 FAY GIDDINGS</t>
  </si>
  <si>
    <t xml:space="preserve">      Total SCHWAB</t>
  </si>
  <si>
    <t xml:space="preserve">   Total 700100 UNREALIZED GAIN(LOSS) ON INV</t>
  </si>
  <si>
    <t>Total Other Revenue</t>
  </si>
  <si>
    <t>Net Other Revenue</t>
  </si>
  <si>
    <t>Net Revenue</t>
  </si>
  <si>
    <t>Tuesday, Jul 23, 2024 12:49:45 PM GMT-7 - Accrual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</si>
</sst>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quot;  &quot;"/>
    <numFmt numFmtId="166" formatCode="&quot;$&quot;* #,##0.00&quot;  &quot;"/>
  </numFmts>
  <fonts count="13" x14ac:knownFonts="1">
    <font>
      <sz val="12"/>
      <color indexed="8"/>
      <name val="Calibri"/>
    </font>
    <font>
      <sz val="14"/>
      <color indexed="8"/>
      <name val="Calibri"/>
      <family val="2"/>
    </font>
    <font>
      <u/>
      <sz val="12"/>
      <color indexed="11"/>
      <name val="Calibri"/>
      <family val="2"/>
    </font>
    <font>
      <b/>
      <sz val="14"/>
      <color indexed="8"/>
      <name val="Arial"/>
      <family val="2"/>
    </font>
    <font>
      <b/>
      <sz val="12"/>
      <color indexed="8"/>
      <name val="Arial"/>
      <family val="2"/>
    </font>
    <font>
      <b/>
      <sz val="12"/>
      <color indexed="8"/>
      <name val="Calibri"/>
      <family val="2"/>
    </font>
    <font>
      <sz val="12"/>
      <color indexed="8"/>
      <name val="Arial"/>
      <family val="2"/>
    </font>
    <font>
      <sz val="10"/>
      <color indexed="8"/>
      <name val="Arial"/>
      <family val="2"/>
    </font>
    <font>
      <sz val="12"/>
      <color indexed="15"/>
      <name val="Calibri"/>
      <family val="2"/>
    </font>
    <font>
      <sz val="11"/>
      <color indexed="8"/>
      <name val="Calibri"/>
      <family val="2"/>
    </font>
    <font>
      <b/>
      <sz val="9"/>
      <color indexed="8"/>
      <name val="Arial"/>
      <family val="2"/>
    </font>
    <font>
      <b/>
      <sz val="8"/>
      <color indexed="8"/>
      <name val="Arial"/>
      <family val="2"/>
    </font>
    <font>
      <sz val="8"/>
      <color indexed="8"/>
      <name val="Arial"/>
      <family val="2"/>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6"/>
        <bgColor auto="1"/>
      </patternFill>
    </fill>
  </fills>
  <borders count="1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13"/>
      </right>
      <top style="thin">
        <color indexed="8"/>
      </top>
      <bottom style="thin">
        <color indexed="8"/>
      </bottom>
      <diagonal/>
    </border>
    <border>
      <left style="thin">
        <color indexed="13"/>
      </left>
      <right style="thin">
        <color indexed="8"/>
      </right>
      <top style="thin">
        <color indexed="8"/>
      </top>
      <bottom style="thin">
        <color indexed="8"/>
      </bottom>
      <diagonal/>
    </border>
    <border>
      <left style="thin">
        <color indexed="13"/>
      </left>
      <right style="thin">
        <color indexed="13"/>
      </right>
      <top style="thin">
        <color indexed="8"/>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style="thin">
        <color indexed="13"/>
      </right>
      <top style="thin">
        <color indexed="8"/>
      </top>
      <bottom style="thin">
        <color indexed="8"/>
      </bottom>
      <diagonal/>
    </border>
    <border>
      <left style="thin">
        <color indexed="13"/>
      </left>
      <right style="thin">
        <color indexed="13"/>
      </right>
      <top style="thin">
        <color indexed="13"/>
      </top>
      <bottom/>
      <diagonal/>
    </border>
    <border>
      <left style="thin">
        <color indexed="13"/>
      </left>
      <right/>
      <top/>
      <bottom/>
      <diagonal/>
    </border>
    <border>
      <left/>
      <right/>
      <top/>
      <bottom/>
      <diagonal/>
    </border>
    <border>
      <left/>
      <right style="thin">
        <color indexed="13"/>
      </right>
      <top/>
      <bottom/>
      <diagonal/>
    </border>
    <border>
      <left style="thin">
        <color indexed="13"/>
      </left>
      <right style="thin">
        <color indexed="13"/>
      </right>
      <top/>
      <bottom style="thin">
        <color indexed="13"/>
      </bottom>
      <diagonal/>
    </border>
  </borders>
  <cellStyleXfs count="1">
    <xf numFmtId="0" fontId="0" fillId="0" borderId="0" applyNumberFormat="0" applyFill="0" applyBorder="0" applyProtection="0"/>
  </cellStyleXfs>
  <cellXfs count="78">
    <xf numFmtId="0" fontId="0" fillId="0" borderId="0" xfId="0"/>
    <xf numFmtId="0" fontId="1" fillId="0" borderId="0" xfId="0" applyFont="1" applyAlignment="1">
      <alignment horizontal="left"/>
    </xf>
    <xf numFmtId="0" fontId="0" fillId="2" borderId="0" xfId="0" applyFill="1" applyAlignment="1">
      <alignment horizontal="left"/>
    </xf>
    <xf numFmtId="0" fontId="0" fillId="3" borderId="0" xfId="0" applyFill="1" applyAlignment="1">
      <alignment horizontal="left"/>
    </xf>
    <xf numFmtId="0" fontId="2" fillId="3" borderId="0" xfId="0" applyFont="1" applyFill="1" applyAlignment="1">
      <alignment horizontal="left"/>
    </xf>
    <xf numFmtId="0" fontId="0" fillId="0" borderId="0" xfId="0" applyNumberFormat="1"/>
    <xf numFmtId="164" fontId="0" fillId="4" borderId="1" xfId="0" applyNumberFormat="1" applyFill="1" applyBorder="1"/>
    <xf numFmtId="0" fontId="0" fillId="0" borderId="1" xfId="0" applyBorder="1"/>
    <xf numFmtId="0" fontId="0" fillId="0" borderId="2" xfId="0" applyBorder="1"/>
    <xf numFmtId="49" fontId="4" fillId="0" borderId="1" xfId="0" applyNumberFormat="1" applyFont="1" applyBorder="1" applyAlignment="1">
      <alignment horizontal="center"/>
    </xf>
    <xf numFmtId="49" fontId="4" fillId="4" borderId="1" xfId="0" applyNumberFormat="1" applyFont="1" applyFill="1" applyBorder="1" applyAlignment="1">
      <alignment horizontal="center"/>
    </xf>
    <xf numFmtId="49" fontId="5" fillId="0" borderId="1" xfId="0" applyNumberFormat="1" applyFont="1" applyBorder="1"/>
    <xf numFmtId="49" fontId="4" fillId="0" borderId="1" xfId="0" applyNumberFormat="1" applyFont="1" applyBorder="1" applyAlignment="1">
      <alignment horizontal="left"/>
    </xf>
    <xf numFmtId="49" fontId="6" fillId="0" borderId="1" xfId="0" applyNumberFormat="1" applyFont="1" applyBorder="1" applyAlignment="1">
      <alignment horizontal="left"/>
    </xf>
    <xf numFmtId="164" fontId="6" fillId="4" borderId="1" xfId="0" applyNumberFormat="1" applyFont="1" applyFill="1" applyBorder="1"/>
    <xf numFmtId="49" fontId="0" fillId="4" borderId="1" xfId="0" applyNumberFormat="1" applyFill="1" applyBorder="1" applyAlignment="1">
      <alignment vertical="top" wrapText="1"/>
    </xf>
    <xf numFmtId="164" fontId="4" fillId="4" borderId="1" xfId="0" applyNumberFormat="1" applyFont="1" applyFill="1" applyBorder="1"/>
    <xf numFmtId="49" fontId="0" fillId="0" borderId="1" xfId="0" applyNumberFormat="1" applyBorder="1"/>
    <xf numFmtId="49" fontId="0" fillId="4" borderId="1" xfId="0" applyNumberFormat="1" applyFill="1" applyBorder="1" applyAlignment="1">
      <alignment wrapText="1"/>
    </xf>
    <xf numFmtId="164" fontId="5" fillId="5" borderId="3" xfId="0" applyNumberFormat="1" applyFont="1" applyFill="1" applyBorder="1"/>
    <xf numFmtId="164" fontId="5" fillId="5" borderId="4" xfId="0" applyNumberFormat="1" applyFont="1" applyFill="1" applyBorder="1"/>
    <xf numFmtId="164" fontId="4" fillId="0" borderId="1" xfId="0" applyNumberFormat="1" applyFont="1" applyBorder="1"/>
    <xf numFmtId="49" fontId="0" fillId="4" borderId="1" xfId="0" applyNumberFormat="1" applyFill="1" applyBorder="1" applyAlignment="1">
      <alignment horizontal="left" wrapText="1"/>
    </xf>
    <xf numFmtId="164" fontId="5" fillId="4" borderId="5" xfId="0" applyNumberFormat="1" applyFont="1" applyFill="1" applyBorder="1"/>
    <xf numFmtId="164" fontId="5" fillId="4" borderId="6" xfId="0" applyNumberFormat="1" applyFont="1" applyFill="1" applyBorder="1"/>
    <xf numFmtId="164" fontId="4" fillId="5" borderId="1" xfId="0" applyNumberFormat="1" applyFont="1" applyFill="1" applyBorder="1"/>
    <xf numFmtId="49" fontId="0" fillId="0" borderId="1" xfId="0" applyNumberFormat="1" applyBorder="1" applyAlignment="1">
      <alignment horizontal="left"/>
    </xf>
    <xf numFmtId="164" fontId="5" fillId="5" borderId="1" xfId="0" applyNumberFormat="1" applyFont="1" applyFill="1" applyBorder="1"/>
    <xf numFmtId="164" fontId="6" fillId="0" borderId="1" xfId="0" applyNumberFormat="1" applyFont="1" applyBorder="1"/>
    <xf numFmtId="0" fontId="0" fillId="4" borderId="7" xfId="0" applyFill="1" applyBorder="1"/>
    <xf numFmtId="0" fontId="0" fillId="0" borderId="7" xfId="0" applyBorder="1"/>
    <xf numFmtId="0" fontId="0" fillId="0" borderId="8" xfId="0" applyBorder="1"/>
    <xf numFmtId="0" fontId="0" fillId="4" borderId="8" xfId="0" applyFill="1" applyBorder="1"/>
    <xf numFmtId="0" fontId="8" fillId="0" borderId="8" xfId="0" applyFont="1" applyBorder="1"/>
    <xf numFmtId="0" fontId="0" fillId="4" borderId="8" xfId="0" applyFill="1" applyBorder="1" applyAlignment="1">
      <alignment wrapText="1"/>
    </xf>
    <xf numFmtId="49" fontId="10" fillId="4" borderId="9" xfId="0" applyNumberFormat="1" applyFont="1" applyFill="1" applyBorder="1" applyAlignment="1">
      <alignment horizontal="center" wrapText="1"/>
    </xf>
    <xf numFmtId="49" fontId="10" fillId="4" borderId="10" xfId="0" applyNumberFormat="1" applyFont="1" applyFill="1" applyBorder="1" applyAlignment="1">
      <alignment horizontal="center" wrapText="1"/>
    </xf>
    <xf numFmtId="49" fontId="11" fillId="4" borderId="8" xfId="0" applyNumberFormat="1" applyFont="1" applyFill="1" applyBorder="1" applyAlignment="1">
      <alignment horizontal="left" wrapText="1"/>
    </xf>
    <xf numFmtId="165" fontId="12" fillId="4" borderId="7" xfId="0" applyNumberFormat="1" applyFont="1" applyFill="1" applyBorder="1" applyAlignment="1">
      <alignment wrapText="1"/>
    </xf>
    <xf numFmtId="165" fontId="12" fillId="4" borderId="8" xfId="0" applyNumberFormat="1" applyFont="1" applyFill="1" applyBorder="1" applyAlignment="1">
      <alignment wrapText="1"/>
    </xf>
    <xf numFmtId="165" fontId="12" fillId="4" borderId="8" xfId="0" applyNumberFormat="1" applyFont="1" applyFill="1" applyBorder="1" applyAlignment="1">
      <alignment horizontal="right" wrapText="1"/>
    </xf>
    <xf numFmtId="49" fontId="12" fillId="4" borderId="8" xfId="0" applyNumberFormat="1" applyFont="1" applyFill="1" applyBorder="1" applyAlignment="1">
      <alignment horizontal="right" wrapText="1"/>
    </xf>
    <xf numFmtId="10" fontId="12" fillId="4" borderId="8" xfId="0" applyNumberFormat="1" applyFont="1" applyFill="1" applyBorder="1" applyAlignment="1">
      <alignment horizontal="right" wrapText="1"/>
    </xf>
    <xf numFmtId="165" fontId="12" fillId="4" borderId="9" xfId="0" applyNumberFormat="1" applyFont="1" applyFill="1" applyBorder="1" applyAlignment="1">
      <alignment wrapText="1"/>
    </xf>
    <xf numFmtId="165" fontId="12" fillId="4" borderId="9" xfId="0" applyNumberFormat="1" applyFont="1" applyFill="1" applyBorder="1" applyAlignment="1">
      <alignment horizontal="right" wrapText="1"/>
    </xf>
    <xf numFmtId="10" fontId="12" fillId="4" borderId="9" xfId="0" applyNumberFormat="1" applyFont="1" applyFill="1" applyBorder="1" applyAlignment="1">
      <alignment horizontal="right" wrapText="1"/>
    </xf>
    <xf numFmtId="166" fontId="11" fillId="4" borderId="7" xfId="0" applyNumberFormat="1" applyFont="1" applyFill="1" applyBorder="1" applyAlignment="1">
      <alignment horizontal="right" wrapText="1"/>
    </xf>
    <xf numFmtId="10" fontId="11" fillId="4" borderId="7" xfId="0" applyNumberFormat="1" applyFont="1" applyFill="1" applyBorder="1" applyAlignment="1">
      <alignment horizontal="right" wrapText="1"/>
    </xf>
    <xf numFmtId="49" fontId="12" fillId="4" borderId="9" xfId="0" applyNumberFormat="1" applyFont="1" applyFill="1" applyBorder="1" applyAlignment="1">
      <alignment horizontal="right" wrapText="1"/>
    </xf>
    <xf numFmtId="49" fontId="11" fillId="4" borderId="7" xfId="0" applyNumberFormat="1" applyFont="1" applyFill="1" applyBorder="1" applyAlignment="1">
      <alignment horizontal="right" wrapText="1"/>
    </xf>
    <xf numFmtId="166" fontId="11" fillId="4" borderId="10" xfId="0" applyNumberFormat="1" applyFont="1" applyFill="1" applyBorder="1" applyAlignment="1">
      <alignment horizontal="right" wrapText="1"/>
    </xf>
    <xf numFmtId="49" fontId="11" fillId="4" borderId="10" xfId="0" applyNumberFormat="1" applyFont="1" applyFill="1" applyBorder="1" applyAlignment="1">
      <alignment horizontal="right" wrapText="1"/>
    </xf>
    <xf numFmtId="10" fontId="11" fillId="4" borderId="10" xfId="0" applyNumberFormat="1" applyFont="1" applyFill="1" applyBorder="1" applyAlignment="1">
      <alignment horizontal="right" wrapText="1"/>
    </xf>
    <xf numFmtId="49" fontId="11" fillId="4" borderId="11" xfId="0" applyNumberFormat="1" applyFont="1" applyFill="1" applyBorder="1" applyAlignment="1">
      <alignment horizontal="left" wrapText="1"/>
    </xf>
    <xf numFmtId="165" fontId="12" fillId="4" borderId="11" xfId="0" applyNumberFormat="1" applyFont="1" applyFill="1" applyBorder="1" applyAlignment="1">
      <alignment horizontal="right" wrapText="1"/>
    </xf>
    <xf numFmtId="10" fontId="12" fillId="4" borderId="11" xfId="0" applyNumberFormat="1" applyFont="1" applyFill="1" applyBorder="1" applyAlignment="1">
      <alignment horizontal="right" wrapText="1"/>
    </xf>
    <xf numFmtId="49" fontId="11" fillId="6" borderId="12" xfId="0" applyNumberFormat="1" applyFont="1" applyFill="1" applyBorder="1" applyAlignment="1">
      <alignment horizontal="left" wrapText="1"/>
    </xf>
    <xf numFmtId="165" fontId="12" fillId="6" borderId="13" xfId="0" applyNumberFormat="1" applyFont="1" applyFill="1" applyBorder="1" applyAlignment="1">
      <alignment horizontal="right" wrapText="1"/>
    </xf>
    <xf numFmtId="165" fontId="12" fillId="6" borderId="13" xfId="0" applyNumberFormat="1" applyFont="1" applyFill="1" applyBorder="1" applyAlignment="1">
      <alignment wrapText="1"/>
    </xf>
    <xf numFmtId="49" fontId="12" fillId="6" borderId="14" xfId="0" applyNumberFormat="1" applyFont="1" applyFill="1" applyBorder="1" applyAlignment="1">
      <alignment horizontal="right" wrapText="1"/>
    </xf>
    <xf numFmtId="49" fontId="11" fillId="4" borderId="15" xfId="0" applyNumberFormat="1" applyFont="1" applyFill="1" applyBorder="1" applyAlignment="1">
      <alignment horizontal="left" wrapText="1"/>
    </xf>
    <xf numFmtId="165" fontId="12" fillId="4" borderId="15" xfId="0" applyNumberFormat="1" applyFont="1" applyFill="1" applyBorder="1" applyAlignment="1">
      <alignment wrapText="1"/>
    </xf>
    <xf numFmtId="165" fontId="12" fillId="4" borderId="15" xfId="0" applyNumberFormat="1" applyFont="1" applyFill="1" applyBorder="1" applyAlignment="1">
      <alignment horizontal="right" wrapText="1"/>
    </xf>
    <xf numFmtId="10" fontId="12" fillId="4" borderId="15" xfId="0" applyNumberFormat="1" applyFont="1" applyFill="1" applyBorder="1" applyAlignment="1">
      <alignment horizontal="right" wrapText="1"/>
    </xf>
    <xf numFmtId="0" fontId="11" fillId="4" borderId="8" xfId="0" applyFont="1" applyFill="1" applyBorder="1" applyAlignment="1">
      <alignment horizontal="left" wrapText="1"/>
    </xf>
    <xf numFmtId="0" fontId="0" fillId="0" borderId="0" xfId="0" applyAlignment="1">
      <alignment horizontal="left" wrapText="1"/>
    </xf>
    <xf numFmtId="0" fontId="0" fillId="0" borderId="0" xfId="0"/>
    <xf numFmtId="49" fontId="3" fillId="4" borderId="1" xfId="0" applyNumberFormat="1" applyFont="1" applyFill="1" applyBorder="1" applyAlignment="1">
      <alignment horizontal="left" wrapText="1"/>
    </xf>
    <xf numFmtId="0" fontId="0" fillId="4" borderId="1" xfId="0" applyFill="1" applyBorder="1" applyAlignment="1">
      <alignment horizontal="left"/>
    </xf>
    <xf numFmtId="0" fontId="7" fillId="0" borderId="7" xfId="0" applyFont="1" applyBorder="1" applyAlignment="1">
      <alignment horizontal="center"/>
    </xf>
    <xf numFmtId="0" fontId="0" fillId="4" borderId="7" xfId="0" applyFill="1" applyBorder="1"/>
    <xf numFmtId="49" fontId="10" fillId="4" borderId="9" xfId="0" applyNumberFormat="1" applyFont="1" applyFill="1" applyBorder="1" applyAlignment="1">
      <alignment horizontal="center" wrapText="1"/>
    </xf>
    <xf numFmtId="0" fontId="0" fillId="4" borderId="8" xfId="0" applyFill="1" applyBorder="1" applyAlignment="1">
      <alignment wrapText="1"/>
    </xf>
    <xf numFmtId="49" fontId="12" fillId="4" borderId="8" xfId="0" applyNumberFormat="1" applyFont="1" applyFill="1" applyBorder="1" applyAlignment="1">
      <alignment horizontal="center"/>
    </xf>
    <xf numFmtId="0" fontId="0" fillId="4" borderId="8" xfId="0" applyFill="1" applyBorder="1"/>
    <xf numFmtId="49" fontId="3" fillId="4" borderId="8" xfId="0" applyNumberFormat="1" applyFont="1" applyFill="1" applyBorder="1" applyAlignment="1">
      <alignment horizontal="center"/>
    </xf>
    <xf numFmtId="49" fontId="9" fillId="4" borderId="8" xfId="0" applyNumberFormat="1" applyFont="1" applyFill="1" applyBorder="1" applyAlignment="1">
      <alignment horizontal="center"/>
    </xf>
    <xf numFmtId="0" fontId="9" fillId="4" borderId="8" xfId="0" applyFont="1" applyFill="1" applyBorder="1" applyAlignment="1">
      <alignment horizontal="center"/>
    </xf>
  </cellXfs>
  <cellStyles count="1">
    <cellStyle name="Normal" xfId="0" builtinId="0"/>
  </cellStyles>
  <dxfs count="1">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CCFFFF"/>
      <rgbColor rgb="FFFF0000"/>
      <rgbColor rgb="FFFFFF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2013 - 2022 Theme">
      <a:majorFont>
        <a:latin typeface="Helvetica Neue"/>
        <a:ea typeface="Helvetica Neue"/>
        <a:cs typeface="Helvetica Neue"/>
      </a:majorFont>
      <a:minorFont>
        <a:latin typeface="Helvetica Neue"/>
        <a:ea typeface="Helvetica Neue"/>
        <a:cs typeface="Helvetica Neue"/>
      </a:minorFont>
    </a:fontScheme>
    <a:fmtScheme name="Office 2013 - 2022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2"/>
  <sheetViews>
    <sheetView showGridLines="0" workbookViewId="0"/>
  </sheetViews>
  <sheetFormatPr baseColWidth="10" defaultColWidth="10" defaultRowHeight="13" customHeight="1" x14ac:dyDescent="0.2"/>
  <cols>
    <col min="1" max="1" width="2" customWidth="1"/>
    <col min="2" max="4" width="28" customWidth="1"/>
  </cols>
  <sheetData>
    <row r="3" spans="2:4" ht="50" customHeight="1" x14ac:dyDescent="0.2">
      <c r="B3" s="65" t="s">
        <v>0</v>
      </c>
      <c r="C3" s="66"/>
      <c r="D3" s="66"/>
    </row>
    <row r="7" spans="2:4" ht="19" x14ac:dyDescent="0.25">
      <c r="B7" s="1" t="s">
        <v>1</v>
      </c>
      <c r="C7" s="1" t="s">
        <v>2</v>
      </c>
      <c r="D7" s="1" t="s">
        <v>3</v>
      </c>
    </row>
    <row r="9" spans="2:4" ht="16" x14ac:dyDescent="0.2">
      <c r="B9" s="2" t="s">
        <v>4</v>
      </c>
      <c r="C9" s="2"/>
      <c r="D9" s="2"/>
    </row>
    <row r="10" spans="2:4" ht="16" x14ac:dyDescent="0.2">
      <c r="B10" s="3"/>
      <c r="C10" s="3" t="s">
        <v>5</v>
      </c>
      <c r="D10" s="4" t="s">
        <v>4</v>
      </c>
    </row>
    <row r="11" spans="2:4" ht="16" x14ac:dyDescent="0.2">
      <c r="B11" s="2" t="s">
        <v>108</v>
      </c>
      <c r="C11" s="2"/>
      <c r="D11" s="2"/>
    </row>
    <row r="12" spans="2:4" ht="16" x14ac:dyDescent="0.2">
      <c r="B12" s="3"/>
      <c r="C12" s="3" t="s">
        <v>5</v>
      </c>
      <c r="D12" s="4" t="s">
        <v>108</v>
      </c>
    </row>
  </sheetData>
  <mergeCells count="1">
    <mergeCell ref="B3:D3"/>
  </mergeCells>
  <hyperlinks>
    <hyperlink ref="D10" location="'Budget worksheet'!R1C1" display="Budget worksheet" xr:uid="{00000000-0004-0000-0000-000000000000}"/>
    <hyperlink ref="D12" location="'07-24-REF-Budget vs. Actuals'!R1C1" display="07-24-REF-Budget vs. Actuals"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5"/>
  <sheetViews>
    <sheetView showGridLines="0" workbookViewId="0">
      <selection sqref="A1:B1"/>
    </sheetView>
  </sheetViews>
  <sheetFormatPr baseColWidth="10" defaultColWidth="11.1640625" defaultRowHeight="15.5" customHeight="1" x14ac:dyDescent="0.2"/>
  <cols>
    <col min="1" max="1" width="53.5" style="5" customWidth="1"/>
    <col min="2" max="2" width="12.6640625" style="5" customWidth="1"/>
    <col min="3" max="3" width="18.6640625" style="5" customWidth="1"/>
    <col min="4" max="4" width="62" style="5" customWidth="1"/>
    <col min="5" max="6" width="11.1640625" style="5" customWidth="1"/>
    <col min="7" max="16384" width="11.1640625" style="5"/>
  </cols>
  <sheetData>
    <row r="1" spans="1:5" ht="30" customHeight="1" x14ac:dyDescent="0.2">
      <c r="A1" s="67" t="s">
        <v>6</v>
      </c>
      <c r="B1" s="68"/>
      <c r="C1" s="6"/>
      <c r="D1" s="7"/>
      <c r="E1" s="8"/>
    </row>
    <row r="2" spans="1:5" ht="16.5" customHeight="1" x14ac:dyDescent="0.2">
      <c r="A2" s="9" t="s">
        <v>7</v>
      </c>
      <c r="B2" s="10" t="s">
        <v>8</v>
      </c>
      <c r="C2" s="10" t="s">
        <v>9</v>
      </c>
      <c r="D2" s="11" t="s">
        <v>10</v>
      </c>
      <c r="E2" s="8"/>
    </row>
    <row r="3" spans="1:5" ht="16.5" customHeight="1" x14ac:dyDescent="0.2">
      <c r="A3" s="12" t="s">
        <v>11</v>
      </c>
      <c r="B3" s="6"/>
      <c r="C3" s="6"/>
      <c r="D3" s="7"/>
      <c r="E3" s="8"/>
    </row>
    <row r="4" spans="1:5" ht="16.5" customHeight="1" x14ac:dyDescent="0.2">
      <c r="A4" s="12" t="s">
        <v>12</v>
      </c>
      <c r="B4" s="6"/>
      <c r="C4" s="6"/>
      <c r="D4" s="7"/>
      <c r="E4" s="8"/>
    </row>
    <row r="5" spans="1:5" ht="16.5" customHeight="1" x14ac:dyDescent="0.2">
      <c r="A5" s="12" t="s">
        <v>13</v>
      </c>
      <c r="B5" s="6"/>
      <c r="C5" s="6"/>
      <c r="D5" s="7"/>
      <c r="E5" s="8"/>
    </row>
    <row r="6" spans="1:5" ht="62.5" customHeight="1" x14ac:dyDescent="0.2">
      <c r="A6" s="13" t="s">
        <v>14</v>
      </c>
      <c r="B6" s="14">
        <v>3461.04</v>
      </c>
      <c r="C6" s="6">
        <v>0</v>
      </c>
      <c r="D6" s="15" t="s">
        <v>15</v>
      </c>
      <c r="E6" s="8"/>
    </row>
    <row r="7" spans="1:5" ht="16.5" customHeight="1" x14ac:dyDescent="0.2">
      <c r="A7" s="12" t="s">
        <v>16</v>
      </c>
      <c r="B7" s="6"/>
      <c r="C7" s="6">
        <v>0</v>
      </c>
      <c r="D7" s="7"/>
      <c r="E7" s="8"/>
    </row>
    <row r="8" spans="1:5" ht="16.5" customHeight="1" x14ac:dyDescent="0.2">
      <c r="A8" s="13" t="s">
        <v>17</v>
      </c>
      <c r="B8" s="14">
        <v>8092.19</v>
      </c>
      <c r="C8" s="6"/>
      <c r="D8" s="7"/>
      <c r="E8" s="8"/>
    </row>
    <row r="9" spans="1:5" ht="16.5" customHeight="1" x14ac:dyDescent="0.2">
      <c r="A9" s="12" t="s">
        <v>18</v>
      </c>
      <c r="B9" s="16">
        <v>8092.19</v>
      </c>
      <c r="C9" s="16"/>
      <c r="D9" s="17" t="s">
        <v>19</v>
      </c>
      <c r="E9" s="8"/>
    </row>
    <row r="10" spans="1:5" ht="16.5" customHeight="1" x14ac:dyDescent="0.2">
      <c r="A10" s="13" t="s">
        <v>20</v>
      </c>
      <c r="B10" s="14">
        <v>1054.76</v>
      </c>
      <c r="C10" s="6">
        <v>0</v>
      </c>
      <c r="D10" s="17" t="s">
        <v>21</v>
      </c>
      <c r="E10" s="8"/>
    </row>
    <row r="11" spans="1:5" ht="31.25" customHeight="1" x14ac:dyDescent="0.2">
      <c r="A11" s="13" t="s">
        <v>22</v>
      </c>
      <c r="B11" s="14">
        <v>16141.93</v>
      </c>
      <c r="C11" s="6">
        <v>0</v>
      </c>
      <c r="D11" s="18" t="s">
        <v>23</v>
      </c>
      <c r="E11" s="8"/>
    </row>
    <row r="12" spans="1:5" ht="31.25" customHeight="1" x14ac:dyDescent="0.2">
      <c r="A12" s="13" t="s">
        <v>24</v>
      </c>
      <c r="B12" s="14">
        <v>287.73</v>
      </c>
      <c r="C12" s="6">
        <v>0</v>
      </c>
      <c r="D12" s="18" t="s">
        <v>25</v>
      </c>
      <c r="E12" s="8"/>
    </row>
    <row r="13" spans="1:5" ht="16.5" customHeight="1" x14ac:dyDescent="0.2">
      <c r="A13" s="12" t="s">
        <v>26</v>
      </c>
      <c r="B13" s="19">
        <f>SUM(B6+B9+B10+B11+B12)</f>
        <v>29037.649999999998</v>
      </c>
      <c r="C13" s="20">
        <f>SUM(C6+C9+C10+C11+C12)</f>
        <v>0</v>
      </c>
      <c r="D13" s="21"/>
      <c r="E13" s="8"/>
    </row>
    <row r="14" spans="1:5" ht="16.5" customHeight="1" x14ac:dyDescent="0.2">
      <c r="A14" s="12" t="s">
        <v>27</v>
      </c>
      <c r="B14" s="16">
        <v>29037.65</v>
      </c>
      <c r="C14" s="6"/>
      <c r="D14" s="7"/>
      <c r="E14" s="8"/>
    </row>
    <row r="15" spans="1:5" ht="16.5" customHeight="1" x14ac:dyDescent="0.2">
      <c r="A15" s="12" t="s">
        <v>28</v>
      </c>
      <c r="B15" s="6"/>
      <c r="C15" s="6"/>
      <c r="D15" s="7"/>
      <c r="E15" s="8"/>
    </row>
    <row r="16" spans="1:5" ht="16.5" customHeight="1" x14ac:dyDescent="0.2">
      <c r="A16" s="13" t="s">
        <v>29</v>
      </c>
      <c r="B16" s="14">
        <v>25803.360000000001</v>
      </c>
      <c r="C16" s="6">
        <v>27100</v>
      </c>
      <c r="D16" s="22" t="s">
        <v>30</v>
      </c>
      <c r="E16" s="8"/>
    </row>
    <row r="17" spans="1:5" ht="16.5" customHeight="1" x14ac:dyDescent="0.2">
      <c r="A17" s="13" t="s">
        <v>31</v>
      </c>
      <c r="B17" s="14">
        <v>68721.36</v>
      </c>
      <c r="C17" s="6">
        <v>62275</v>
      </c>
      <c r="D17" s="17" t="s">
        <v>32</v>
      </c>
      <c r="E17" s="8"/>
    </row>
    <row r="18" spans="1:5" ht="16.5" customHeight="1" x14ac:dyDescent="0.2">
      <c r="A18" s="13" t="s">
        <v>33</v>
      </c>
      <c r="B18" s="14">
        <v>10795.32</v>
      </c>
      <c r="C18" s="6">
        <v>10625</v>
      </c>
      <c r="D18" s="17" t="s">
        <v>34</v>
      </c>
      <c r="E18" s="8"/>
    </row>
    <row r="19" spans="1:5" ht="16.5" customHeight="1" x14ac:dyDescent="0.2">
      <c r="A19" s="13" t="s">
        <v>35</v>
      </c>
      <c r="B19" s="14">
        <v>-10532.04</v>
      </c>
      <c r="C19" s="6">
        <v>-10000</v>
      </c>
      <c r="D19" s="7"/>
      <c r="E19" s="8"/>
    </row>
    <row r="20" spans="1:5" ht="16.5" customHeight="1" x14ac:dyDescent="0.2">
      <c r="A20" s="12" t="s">
        <v>36</v>
      </c>
      <c r="B20" s="23">
        <f>SUM(B16:B19)</f>
        <v>94788</v>
      </c>
      <c r="C20" s="24">
        <f>SUM(C16:C19)</f>
        <v>90000</v>
      </c>
      <c r="D20" s="21"/>
      <c r="E20" s="8"/>
    </row>
    <row r="21" spans="1:5" ht="16.5" customHeight="1" x14ac:dyDescent="0.2">
      <c r="A21" s="12" t="s">
        <v>37</v>
      </c>
      <c r="B21" s="25">
        <f>SUM(B14+B20)</f>
        <v>123825.65</v>
      </c>
      <c r="C21" s="25">
        <f>SUM(C14+C20)</f>
        <v>90000</v>
      </c>
      <c r="D21" s="7"/>
      <c r="E21" s="8"/>
    </row>
    <row r="22" spans="1:5" ht="16.5" customHeight="1" x14ac:dyDescent="0.2">
      <c r="A22" s="12" t="s">
        <v>38</v>
      </c>
      <c r="B22" s="6"/>
      <c r="C22" s="6"/>
      <c r="D22" s="7"/>
      <c r="E22" s="8"/>
    </row>
    <row r="23" spans="1:5" ht="16.5" customHeight="1" x14ac:dyDescent="0.2">
      <c r="A23" s="12" t="s">
        <v>39</v>
      </c>
      <c r="B23" s="6"/>
      <c r="C23" s="6"/>
      <c r="D23" s="7"/>
      <c r="E23" s="8"/>
    </row>
    <row r="24" spans="1:5" ht="16.5" customHeight="1" x14ac:dyDescent="0.2">
      <c r="A24" s="13" t="s">
        <v>40</v>
      </c>
      <c r="B24" s="14">
        <v>1000</v>
      </c>
      <c r="C24" s="6">
        <v>1000</v>
      </c>
      <c r="D24" s="17" t="s">
        <v>41</v>
      </c>
      <c r="E24" s="8"/>
    </row>
    <row r="25" spans="1:5" ht="16.5" customHeight="1" x14ac:dyDescent="0.2">
      <c r="A25" s="13" t="s">
        <v>42</v>
      </c>
      <c r="B25" s="14">
        <v>2000</v>
      </c>
      <c r="C25" s="6">
        <v>2000</v>
      </c>
      <c r="D25" s="17" t="s">
        <v>43</v>
      </c>
      <c r="E25" s="8"/>
    </row>
    <row r="26" spans="1:5" ht="16.5" customHeight="1" x14ac:dyDescent="0.2">
      <c r="A26" s="13" t="s">
        <v>44</v>
      </c>
      <c r="B26" s="14">
        <v>6000</v>
      </c>
      <c r="C26" s="6">
        <v>6000</v>
      </c>
      <c r="D26" s="17" t="s">
        <v>43</v>
      </c>
      <c r="E26" s="8"/>
    </row>
    <row r="27" spans="1:5" ht="16.5" customHeight="1" x14ac:dyDescent="0.2">
      <c r="A27" s="13" t="s">
        <v>45</v>
      </c>
      <c r="B27" s="14">
        <v>450</v>
      </c>
      <c r="C27" s="6">
        <v>450</v>
      </c>
      <c r="D27" s="17" t="s">
        <v>43</v>
      </c>
      <c r="E27" s="8"/>
    </row>
    <row r="28" spans="1:5" ht="16.5" customHeight="1" x14ac:dyDescent="0.2">
      <c r="A28" s="13" t="s">
        <v>46</v>
      </c>
      <c r="B28" s="14">
        <v>100</v>
      </c>
      <c r="C28" s="6">
        <v>100</v>
      </c>
      <c r="D28" s="17" t="s">
        <v>43</v>
      </c>
      <c r="E28" s="8"/>
    </row>
    <row r="29" spans="1:5" ht="16.5" customHeight="1" x14ac:dyDescent="0.2">
      <c r="A29" s="13" t="s">
        <v>47</v>
      </c>
      <c r="B29" s="14">
        <v>1500</v>
      </c>
      <c r="C29" s="6">
        <v>1500</v>
      </c>
      <c r="D29" s="17" t="s">
        <v>43</v>
      </c>
      <c r="E29" s="8"/>
    </row>
    <row r="30" spans="1:5" ht="16.5" customHeight="1" x14ac:dyDescent="0.2">
      <c r="A30" s="13" t="s">
        <v>48</v>
      </c>
      <c r="B30" s="14">
        <v>1000</v>
      </c>
      <c r="C30" s="6">
        <v>1000</v>
      </c>
      <c r="D30" s="17" t="s">
        <v>49</v>
      </c>
      <c r="E30" s="8"/>
    </row>
    <row r="31" spans="1:5" ht="16.5" customHeight="1" x14ac:dyDescent="0.2">
      <c r="A31" s="13" t="s">
        <v>50</v>
      </c>
      <c r="B31" s="14">
        <v>500</v>
      </c>
      <c r="C31" s="6">
        <v>500</v>
      </c>
      <c r="D31" s="26" t="s">
        <v>43</v>
      </c>
      <c r="E31" s="8"/>
    </row>
    <row r="32" spans="1:5" ht="16.5" customHeight="1" x14ac:dyDescent="0.2">
      <c r="A32" s="13" t="s">
        <v>51</v>
      </c>
      <c r="B32" s="14">
        <v>500</v>
      </c>
      <c r="C32" s="6"/>
      <c r="D32" s="17" t="s">
        <v>52</v>
      </c>
      <c r="E32" s="8"/>
    </row>
    <row r="33" spans="1:5" ht="16.5" customHeight="1" x14ac:dyDescent="0.2">
      <c r="A33" s="13" t="s">
        <v>53</v>
      </c>
      <c r="B33" s="14">
        <v>5000</v>
      </c>
      <c r="C33" s="6">
        <v>5000</v>
      </c>
      <c r="D33" s="17" t="s">
        <v>43</v>
      </c>
      <c r="E33" s="8"/>
    </row>
    <row r="34" spans="1:5" ht="16.5" customHeight="1" x14ac:dyDescent="0.2">
      <c r="A34" s="13" t="s">
        <v>54</v>
      </c>
      <c r="B34" s="14">
        <v>1500</v>
      </c>
      <c r="C34" s="6">
        <v>1500</v>
      </c>
      <c r="D34" s="17" t="s">
        <v>43</v>
      </c>
      <c r="E34" s="8"/>
    </row>
    <row r="35" spans="1:5" ht="16.5" customHeight="1" x14ac:dyDescent="0.2">
      <c r="A35" s="12" t="s">
        <v>55</v>
      </c>
      <c r="B35" s="27">
        <f>SUM(B24:B34)</f>
        <v>19550</v>
      </c>
      <c r="C35" s="27">
        <f>SUM(C24:C34)</f>
        <v>19050</v>
      </c>
      <c r="D35" s="21"/>
      <c r="E35" s="8"/>
    </row>
    <row r="36" spans="1:5" ht="16.5" customHeight="1" x14ac:dyDescent="0.2">
      <c r="A36" s="12" t="s">
        <v>56</v>
      </c>
      <c r="B36" s="6"/>
      <c r="C36" s="6"/>
      <c r="D36" s="7"/>
      <c r="E36" s="8"/>
    </row>
    <row r="37" spans="1:5" ht="16.5" customHeight="1" x14ac:dyDescent="0.2">
      <c r="A37" s="13" t="s">
        <v>57</v>
      </c>
      <c r="B37" s="14">
        <v>3500</v>
      </c>
      <c r="C37" s="6">
        <v>3500</v>
      </c>
      <c r="D37" s="7"/>
      <c r="E37" s="8"/>
    </row>
    <row r="38" spans="1:5" ht="16.5" customHeight="1" x14ac:dyDescent="0.2">
      <c r="A38" s="13" t="s">
        <v>58</v>
      </c>
      <c r="B38" s="14">
        <v>10000</v>
      </c>
      <c r="C38" s="6">
        <v>10000</v>
      </c>
      <c r="D38" s="17" t="s">
        <v>59</v>
      </c>
      <c r="E38" s="8"/>
    </row>
    <row r="39" spans="1:5" ht="16.5" customHeight="1" x14ac:dyDescent="0.2">
      <c r="A39" s="13" t="s">
        <v>60</v>
      </c>
      <c r="B39" s="14">
        <v>14800</v>
      </c>
      <c r="C39" s="6">
        <v>14800</v>
      </c>
      <c r="D39" s="17" t="s">
        <v>59</v>
      </c>
      <c r="E39" s="8"/>
    </row>
    <row r="40" spans="1:5" ht="16.5" customHeight="1" x14ac:dyDescent="0.2">
      <c r="A40" s="13" t="s">
        <v>61</v>
      </c>
      <c r="B40" s="14">
        <v>200</v>
      </c>
      <c r="C40" s="6">
        <v>200</v>
      </c>
      <c r="D40" s="7"/>
      <c r="E40" s="8"/>
    </row>
    <row r="41" spans="1:5" ht="16.5" customHeight="1" x14ac:dyDescent="0.2">
      <c r="A41" s="13" t="s">
        <v>62</v>
      </c>
      <c r="B41" s="14">
        <v>250</v>
      </c>
      <c r="C41" s="6">
        <v>250</v>
      </c>
      <c r="D41" s="7"/>
      <c r="E41" s="8"/>
    </row>
    <row r="42" spans="1:5" ht="16.5" customHeight="1" x14ac:dyDescent="0.2">
      <c r="A42" s="13" t="s">
        <v>63</v>
      </c>
      <c r="B42" s="14">
        <v>2600</v>
      </c>
      <c r="C42" s="6">
        <v>2600</v>
      </c>
      <c r="D42" s="17" t="s">
        <v>43</v>
      </c>
      <c r="E42" s="8"/>
    </row>
    <row r="43" spans="1:5" ht="16.5" customHeight="1" x14ac:dyDescent="0.2">
      <c r="A43" s="13" t="s">
        <v>64</v>
      </c>
      <c r="B43" s="14">
        <v>7000</v>
      </c>
      <c r="C43" s="6">
        <v>7000</v>
      </c>
      <c r="D43" s="7"/>
      <c r="E43" s="8"/>
    </row>
    <row r="44" spans="1:5" ht="16.5" customHeight="1" x14ac:dyDescent="0.2">
      <c r="A44" s="13" t="s">
        <v>65</v>
      </c>
      <c r="B44" s="14">
        <v>800</v>
      </c>
      <c r="C44" s="6">
        <v>800</v>
      </c>
      <c r="D44" s="7"/>
      <c r="E44" s="8"/>
    </row>
    <row r="45" spans="1:5" ht="16.5" customHeight="1" x14ac:dyDescent="0.2">
      <c r="A45" s="13" t="s">
        <v>66</v>
      </c>
      <c r="B45" s="14">
        <v>1500</v>
      </c>
      <c r="C45" s="6">
        <v>1500</v>
      </c>
      <c r="D45" s="7"/>
      <c r="E45" s="8"/>
    </row>
    <row r="46" spans="1:5" ht="16.5" customHeight="1" x14ac:dyDescent="0.2">
      <c r="A46" s="13" t="s">
        <v>67</v>
      </c>
      <c r="B46" s="14">
        <v>100</v>
      </c>
      <c r="C46" s="6">
        <v>100</v>
      </c>
      <c r="D46" s="7"/>
      <c r="E46" s="8"/>
    </row>
    <row r="47" spans="1:5" ht="16.5" customHeight="1" x14ac:dyDescent="0.2">
      <c r="A47" s="13" t="s">
        <v>68</v>
      </c>
      <c r="B47" s="14">
        <v>2000</v>
      </c>
      <c r="C47" s="6">
        <v>2000</v>
      </c>
      <c r="D47" s="7"/>
      <c r="E47" s="8"/>
    </row>
    <row r="48" spans="1:5" ht="16.5" customHeight="1" x14ac:dyDescent="0.2">
      <c r="A48" s="13" t="s">
        <v>69</v>
      </c>
      <c r="B48" s="14">
        <v>1200</v>
      </c>
      <c r="C48" s="6">
        <v>1200</v>
      </c>
      <c r="D48" s="7"/>
      <c r="E48" s="8"/>
    </row>
    <row r="49" spans="1:5" ht="16.5" customHeight="1" x14ac:dyDescent="0.2">
      <c r="A49" s="13" t="s">
        <v>70</v>
      </c>
      <c r="B49" s="14">
        <v>500</v>
      </c>
      <c r="C49" s="6">
        <v>500</v>
      </c>
      <c r="D49" s="7"/>
      <c r="E49" s="8"/>
    </row>
    <row r="50" spans="1:5" ht="16.5" customHeight="1" x14ac:dyDescent="0.2">
      <c r="A50" s="13" t="s">
        <v>71</v>
      </c>
      <c r="B50" s="14">
        <v>3500</v>
      </c>
      <c r="C50" s="6">
        <v>3500</v>
      </c>
      <c r="D50" s="7"/>
      <c r="E50" s="8"/>
    </row>
    <row r="51" spans="1:5" ht="16.5" customHeight="1" x14ac:dyDescent="0.2">
      <c r="A51" s="12" t="s">
        <v>72</v>
      </c>
      <c r="B51" s="27">
        <f>SUM(B37:B50)</f>
        <v>47950</v>
      </c>
      <c r="C51" s="27">
        <f>SUM(C37:C50)</f>
        <v>47950</v>
      </c>
      <c r="D51" s="21"/>
      <c r="E51" s="8"/>
    </row>
    <row r="52" spans="1:5" ht="16.5" customHeight="1" x14ac:dyDescent="0.2">
      <c r="A52" s="12" t="s">
        <v>73</v>
      </c>
      <c r="B52" s="6"/>
      <c r="C52" s="6"/>
      <c r="D52" s="7"/>
      <c r="E52" s="8"/>
    </row>
    <row r="53" spans="1:5" ht="16.5" customHeight="1" x14ac:dyDescent="0.2">
      <c r="A53" s="13" t="s">
        <v>74</v>
      </c>
      <c r="B53" s="14">
        <v>-269.88</v>
      </c>
      <c r="C53" s="6">
        <v>-212.5</v>
      </c>
      <c r="D53" s="7"/>
      <c r="E53" s="8"/>
    </row>
    <row r="54" spans="1:5" ht="16.5" customHeight="1" x14ac:dyDescent="0.2">
      <c r="A54" s="13" t="s">
        <v>29</v>
      </c>
      <c r="B54" s="14">
        <v>25803.4</v>
      </c>
      <c r="C54" s="6">
        <v>27100</v>
      </c>
      <c r="D54" s="7"/>
      <c r="E54" s="8"/>
    </row>
    <row r="55" spans="1:5" ht="16.5" customHeight="1" x14ac:dyDescent="0.2">
      <c r="A55" s="13" t="s">
        <v>75</v>
      </c>
      <c r="B55" s="14">
        <v>10795.3</v>
      </c>
      <c r="C55" s="6">
        <v>10625</v>
      </c>
      <c r="D55" s="7"/>
      <c r="E55" s="8"/>
    </row>
    <row r="56" spans="1:5" ht="16.5" customHeight="1" x14ac:dyDescent="0.2">
      <c r="A56" s="12" t="s">
        <v>76</v>
      </c>
      <c r="B56" s="27">
        <f>SUM(B53:B55)</f>
        <v>36328.82</v>
      </c>
      <c r="C56" s="27">
        <f>SUM(C53:C55)</f>
        <v>37512.5</v>
      </c>
      <c r="D56" s="21"/>
      <c r="E56" s="8"/>
    </row>
    <row r="57" spans="1:5" ht="16.5" customHeight="1" x14ac:dyDescent="0.2">
      <c r="A57" s="12" t="s">
        <v>77</v>
      </c>
      <c r="B57" s="6"/>
      <c r="C57" s="6"/>
      <c r="D57" s="7"/>
      <c r="E57" s="8"/>
    </row>
    <row r="58" spans="1:5" ht="16.5" customHeight="1" x14ac:dyDescent="0.2">
      <c r="A58" s="12" t="s">
        <v>78</v>
      </c>
      <c r="B58" s="6"/>
      <c r="C58" s="6"/>
      <c r="D58" s="7"/>
      <c r="E58" s="8"/>
    </row>
    <row r="59" spans="1:5" ht="16.5" customHeight="1" x14ac:dyDescent="0.2">
      <c r="A59" s="13" t="s">
        <v>79</v>
      </c>
      <c r="B59" s="14">
        <v>2000</v>
      </c>
      <c r="C59" s="6"/>
      <c r="D59" s="17" t="s">
        <v>80</v>
      </c>
      <c r="E59" s="8"/>
    </row>
    <row r="60" spans="1:5" ht="16.5" customHeight="1" x14ac:dyDescent="0.2">
      <c r="A60" s="12" t="s">
        <v>81</v>
      </c>
      <c r="B60" s="27">
        <f>SUM(B58:B59)</f>
        <v>2000</v>
      </c>
      <c r="C60" s="27">
        <f>SUM(C58:C59)</f>
        <v>0</v>
      </c>
      <c r="D60" s="7"/>
      <c r="E60" s="8"/>
    </row>
    <row r="61" spans="1:5" ht="16.5" customHeight="1" x14ac:dyDescent="0.2">
      <c r="A61" s="12" t="s">
        <v>82</v>
      </c>
      <c r="B61" s="6"/>
      <c r="C61" s="6"/>
      <c r="D61" s="7"/>
      <c r="E61" s="8"/>
    </row>
    <row r="62" spans="1:5" ht="16.5" customHeight="1" x14ac:dyDescent="0.2">
      <c r="A62" s="13" t="s">
        <v>79</v>
      </c>
      <c r="B62" s="14">
        <v>4024</v>
      </c>
      <c r="C62" s="6"/>
      <c r="D62" s="17" t="s">
        <v>83</v>
      </c>
      <c r="E62" s="8"/>
    </row>
    <row r="63" spans="1:5" ht="16.5" customHeight="1" x14ac:dyDescent="0.2">
      <c r="A63" s="13" t="s">
        <v>84</v>
      </c>
      <c r="B63" s="14">
        <v>2148</v>
      </c>
      <c r="C63" s="6">
        <v>2148</v>
      </c>
      <c r="D63" s="17" t="s">
        <v>43</v>
      </c>
      <c r="E63" s="8"/>
    </row>
    <row r="64" spans="1:5" ht="16.5" customHeight="1" x14ac:dyDescent="0.2">
      <c r="A64" s="12" t="s">
        <v>85</v>
      </c>
      <c r="B64" s="27">
        <f>SUM(B62:B63)</f>
        <v>6172</v>
      </c>
      <c r="C64" s="27">
        <f>SUM(C62:C63)</f>
        <v>2148</v>
      </c>
      <c r="D64" s="21"/>
      <c r="E64" s="8"/>
    </row>
    <row r="65" spans="1:5" ht="16.5" customHeight="1" x14ac:dyDescent="0.2">
      <c r="A65" s="12" t="s">
        <v>86</v>
      </c>
      <c r="B65" s="6"/>
      <c r="C65" s="6"/>
      <c r="D65" s="7"/>
      <c r="E65" s="8"/>
    </row>
    <row r="66" spans="1:5" ht="16.5" customHeight="1" x14ac:dyDescent="0.2">
      <c r="A66" s="13" t="s">
        <v>79</v>
      </c>
      <c r="B66" s="14">
        <v>32400</v>
      </c>
      <c r="C66" s="6"/>
      <c r="D66" s="17" t="s">
        <v>83</v>
      </c>
      <c r="E66" s="8"/>
    </row>
    <row r="67" spans="1:5" ht="16.5" customHeight="1" x14ac:dyDescent="0.2">
      <c r="A67" s="12" t="s">
        <v>87</v>
      </c>
      <c r="B67" s="16">
        <v>32400</v>
      </c>
      <c r="C67" s="27">
        <f>SUM(C65:C66)</f>
        <v>0</v>
      </c>
      <c r="D67" s="7"/>
      <c r="E67" s="8"/>
    </row>
    <row r="68" spans="1:5" ht="16.5" customHeight="1" x14ac:dyDescent="0.2">
      <c r="A68" s="12" t="s">
        <v>88</v>
      </c>
      <c r="B68" s="6"/>
      <c r="C68" s="6"/>
      <c r="D68" s="7"/>
      <c r="E68" s="8"/>
    </row>
    <row r="69" spans="1:5" ht="16.5" customHeight="1" x14ac:dyDescent="0.2">
      <c r="A69" s="13" t="s">
        <v>79</v>
      </c>
      <c r="B69" s="14">
        <v>1500</v>
      </c>
      <c r="C69" s="6"/>
      <c r="D69" s="17" t="s">
        <v>83</v>
      </c>
      <c r="E69" s="8"/>
    </row>
    <row r="70" spans="1:5" ht="62.5" customHeight="1" x14ac:dyDescent="0.2">
      <c r="A70" s="12" t="s">
        <v>89</v>
      </c>
      <c r="B70" s="27">
        <f>SUM(B68:B69)</f>
        <v>1500</v>
      </c>
      <c r="C70" s="27">
        <f>SUM(C68:C69)</f>
        <v>0</v>
      </c>
      <c r="D70" s="18" t="s">
        <v>90</v>
      </c>
      <c r="E70" s="8"/>
    </row>
    <row r="71" spans="1:5" ht="16.5" customHeight="1" x14ac:dyDescent="0.2">
      <c r="A71" s="12" t="s">
        <v>91</v>
      </c>
      <c r="B71" s="6"/>
      <c r="C71" s="6"/>
      <c r="D71" s="7"/>
      <c r="E71" s="8"/>
    </row>
    <row r="72" spans="1:5" ht="16.5" customHeight="1" x14ac:dyDescent="0.2">
      <c r="A72" s="13" t="s">
        <v>79</v>
      </c>
      <c r="B72" s="14">
        <v>10200</v>
      </c>
      <c r="C72" s="6"/>
      <c r="D72" s="17" t="s">
        <v>83</v>
      </c>
      <c r="E72" s="8"/>
    </row>
    <row r="73" spans="1:5" ht="16.5" customHeight="1" x14ac:dyDescent="0.2">
      <c r="A73" s="12" t="s">
        <v>92</v>
      </c>
      <c r="B73" s="27">
        <f>SUM(B71:B72)</f>
        <v>10200</v>
      </c>
      <c r="C73" s="27">
        <f>SUM(C71:C72)</f>
        <v>0</v>
      </c>
      <c r="D73" s="7"/>
      <c r="E73" s="8"/>
    </row>
    <row r="74" spans="1:5" ht="16.5" customHeight="1" x14ac:dyDescent="0.2">
      <c r="A74" s="12" t="s">
        <v>93</v>
      </c>
      <c r="B74" s="6"/>
      <c r="C74" s="6"/>
      <c r="D74" s="7"/>
      <c r="E74" s="8"/>
    </row>
    <row r="75" spans="1:5" ht="16.5" customHeight="1" x14ac:dyDescent="0.2">
      <c r="A75" s="13" t="s">
        <v>79</v>
      </c>
      <c r="B75" s="14">
        <v>2000</v>
      </c>
      <c r="C75" s="6">
        <v>2000</v>
      </c>
      <c r="D75" s="17" t="s">
        <v>43</v>
      </c>
      <c r="E75" s="8"/>
    </row>
    <row r="76" spans="1:5" ht="16.5" customHeight="1" x14ac:dyDescent="0.2">
      <c r="A76" s="13" t="s">
        <v>94</v>
      </c>
      <c r="B76" s="14">
        <v>200</v>
      </c>
      <c r="C76" s="6">
        <v>200</v>
      </c>
      <c r="D76" s="7"/>
      <c r="E76" s="8"/>
    </row>
    <row r="77" spans="1:5" ht="16.5" customHeight="1" x14ac:dyDescent="0.2">
      <c r="A77" s="12" t="s">
        <v>95</v>
      </c>
      <c r="B77" s="27">
        <f>SUM(B75:B76)</f>
        <v>2200</v>
      </c>
      <c r="C77" s="27">
        <f>SUM(C75:C76)</f>
        <v>2200</v>
      </c>
      <c r="D77" s="21"/>
      <c r="E77" s="8"/>
    </row>
    <row r="78" spans="1:5" ht="16.5" customHeight="1" x14ac:dyDescent="0.2">
      <c r="A78" s="12" t="s">
        <v>96</v>
      </c>
      <c r="B78" s="6"/>
      <c r="C78" s="6"/>
      <c r="D78" s="7"/>
      <c r="E78" s="8"/>
    </row>
    <row r="79" spans="1:5" ht="46.75" customHeight="1" x14ac:dyDescent="0.2">
      <c r="A79" s="13" t="s">
        <v>79</v>
      </c>
      <c r="B79" s="14">
        <v>52600</v>
      </c>
      <c r="C79" s="6">
        <v>106000</v>
      </c>
      <c r="D79" s="18" t="s">
        <v>97</v>
      </c>
      <c r="E79" s="8"/>
    </row>
    <row r="80" spans="1:5" ht="16.5" customHeight="1" x14ac:dyDescent="0.2">
      <c r="A80" s="13" t="s">
        <v>84</v>
      </c>
      <c r="B80" s="14">
        <v>28080</v>
      </c>
      <c r="C80" s="6">
        <v>28080</v>
      </c>
      <c r="D80" s="17" t="s">
        <v>59</v>
      </c>
      <c r="E80" s="8"/>
    </row>
    <row r="81" spans="1:5" ht="16.5" customHeight="1" x14ac:dyDescent="0.2">
      <c r="A81" s="12" t="s">
        <v>98</v>
      </c>
      <c r="B81" s="27">
        <f>SUM(B79:B80)</f>
        <v>80680</v>
      </c>
      <c r="C81" s="27">
        <f>SUM(C79:C80)</f>
        <v>134080</v>
      </c>
      <c r="D81" s="21"/>
      <c r="E81" s="8"/>
    </row>
    <row r="82" spans="1:5" ht="16.5" customHeight="1" x14ac:dyDescent="0.2">
      <c r="A82" s="12" t="s">
        <v>99</v>
      </c>
      <c r="B82" s="6"/>
      <c r="C82" s="6"/>
      <c r="D82" s="7"/>
      <c r="E82" s="8"/>
    </row>
    <row r="83" spans="1:5" ht="16.5" customHeight="1" x14ac:dyDescent="0.2">
      <c r="A83" s="13" t="s">
        <v>79</v>
      </c>
      <c r="B83" s="14">
        <v>3000</v>
      </c>
      <c r="C83" s="6">
        <v>3000</v>
      </c>
      <c r="D83" s="17" t="s">
        <v>43</v>
      </c>
      <c r="E83" s="8"/>
    </row>
    <row r="84" spans="1:5" ht="16.5" customHeight="1" x14ac:dyDescent="0.2">
      <c r="A84" s="13" t="s">
        <v>94</v>
      </c>
      <c r="B84" s="14">
        <v>1800</v>
      </c>
      <c r="C84" s="6">
        <v>1800</v>
      </c>
      <c r="D84" s="7"/>
      <c r="E84" s="8"/>
    </row>
    <row r="85" spans="1:5" ht="16.5" customHeight="1" x14ac:dyDescent="0.2">
      <c r="A85" s="12" t="s">
        <v>100</v>
      </c>
      <c r="B85" s="27">
        <f>SUM(B83:B84)</f>
        <v>4800</v>
      </c>
      <c r="C85" s="27">
        <f>SUM(C83:C84)</f>
        <v>4800</v>
      </c>
      <c r="D85" s="21"/>
      <c r="E85" s="8"/>
    </row>
    <row r="86" spans="1:5" ht="16.5" customHeight="1" x14ac:dyDescent="0.2">
      <c r="A86" s="12" t="s">
        <v>101</v>
      </c>
      <c r="B86" s="25">
        <f>SUM(B60+B64+B67+B70+B73+B77+B81+B85)</f>
        <v>139952</v>
      </c>
      <c r="C86" s="25">
        <f>SUM(C60+C64+C67+C70+C73+C77+C81+C85)</f>
        <v>143228</v>
      </c>
      <c r="D86" s="21"/>
      <c r="E86" s="8"/>
    </row>
    <row r="87" spans="1:5" ht="16.5" customHeight="1" x14ac:dyDescent="0.2">
      <c r="A87" s="12" t="s">
        <v>102</v>
      </c>
      <c r="B87" s="27">
        <f>SUM(B35+B51+B56+B86)</f>
        <v>243780.82</v>
      </c>
      <c r="C87" s="27">
        <f>SUM(C35+C51+C56+C86)</f>
        <v>247740.5</v>
      </c>
      <c r="D87" s="21"/>
      <c r="E87" s="8"/>
    </row>
    <row r="88" spans="1:5" ht="16.5" customHeight="1" x14ac:dyDescent="0.2">
      <c r="A88" s="13" t="s">
        <v>103</v>
      </c>
      <c r="B88" s="27">
        <f>SUM(B21-B87)</f>
        <v>-119955.17000000001</v>
      </c>
      <c r="C88" s="27">
        <f>SUM(C21-C87)</f>
        <v>-157740.5</v>
      </c>
      <c r="D88" s="28"/>
      <c r="E88" s="8"/>
    </row>
    <row r="89" spans="1:5" ht="16.5" customHeight="1" x14ac:dyDescent="0.2">
      <c r="A89" s="13" t="s">
        <v>104</v>
      </c>
      <c r="B89" s="14">
        <v>0</v>
      </c>
      <c r="C89" s="6"/>
      <c r="D89" s="7"/>
      <c r="E89" s="8"/>
    </row>
    <row r="90" spans="1:5" ht="16.5" customHeight="1" x14ac:dyDescent="0.2">
      <c r="A90" s="13" t="s">
        <v>105</v>
      </c>
      <c r="B90" s="14">
        <v>0</v>
      </c>
      <c r="C90" s="6"/>
      <c r="D90" s="7"/>
      <c r="E90" s="8"/>
    </row>
    <row r="91" spans="1:5" ht="16.5" customHeight="1" x14ac:dyDescent="0.2">
      <c r="A91" s="13" t="s">
        <v>106</v>
      </c>
      <c r="B91" s="14">
        <v>0</v>
      </c>
      <c r="C91" s="6"/>
      <c r="D91" s="7"/>
      <c r="E91" s="8"/>
    </row>
    <row r="92" spans="1:5" ht="16.5" customHeight="1" x14ac:dyDescent="0.2">
      <c r="A92" s="13" t="s">
        <v>107</v>
      </c>
      <c r="B92" s="27">
        <f>SUM(B88:B91)</f>
        <v>-119955.17000000001</v>
      </c>
      <c r="C92" s="27">
        <f>SUM(C88:C91)</f>
        <v>-157740.5</v>
      </c>
      <c r="D92" s="28"/>
      <c r="E92" s="8"/>
    </row>
    <row r="93" spans="1:5" ht="15.25" customHeight="1" x14ac:dyDescent="0.2">
      <c r="A93" s="69"/>
      <c r="B93" s="70"/>
      <c r="C93" s="29"/>
      <c r="D93" s="30"/>
      <c r="E93" s="31"/>
    </row>
    <row r="94" spans="1:5" ht="15.25" customHeight="1" x14ac:dyDescent="0.2">
      <c r="A94" s="31"/>
      <c r="B94" s="32"/>
      <c r="C94" s="32"/>
      <c r="D94" s="31"/>
      <c r="E94" s="31"/>
    </row>
    <row r="95" spans="1:5" ht="15.25" customHeight="1" x14ac:dyDescent="0.2">
      <c r="A95" s="31"/>
      <c r="B95" s="32"/>
      <c r="C95" s="32"/>
      <c r="D95" s="33"/>
      <c r="E95" s="31"/>
    </row>
  </sheetData>
  <mergeCells count="2">
    <mergeCell ref="A1:B1"/>
    <mergeCell ref="A93:B93"/>
  </mergeCells>
  <conditionalFormatting sqref="D16">
    <cfRule type="cellIs" dxfId="0" priority="1" stopIfTrue="1" operator="lessThan">
      <formula>0</formula>
    </cfRule>
  </conditionalFormatting>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72"/>
  <sheetViews>
    <sheetView showGridLines="0" tabSelected="1" workbookViewId="0">
      <selection sqref="A1:E1"/>
    </sheetView>
  </sheetViews>
  <sheetFormatPr baseColWidth="10" defaultColWidth="9" defaultRowHeight="14.5" customHeight="1" x14ac:dyDescent="0.2"/>
  <cols>
    <col min="1" max="1" width="37.6640625" style="5" customWidth="1"/>
    <col min="2" max="3" width="10.5" style="5" customWidth="1"/>
    <col min="4" max="6" width="9" style="5" customWidth="1"/>
    <col min="7" max="16384" width="9" style="5"/>
  </cols>
  <sheetData>
    <row r="1" spans="1:5" ht="17.5" customHeight="1" x14ac:dyDescent="0.2">
      <c r="A1" s="75" t="s">
        <v>109</v>
      </c>
      <c r="B1" s="74"/>
      <c r="C1" s="74"/>
      <c r="D1" s="74"/>
      <c r="E1" s="74"/>
    </row>
    <row r="2" spans="1:5" ht="17.5" customHeight="1" x14ac:dyDescent="0.2">
      <c r="A2" s="75" t="s">
        <v>110</v>
      </c>
      <c r="B2" s="74"/>
      <c r="C2" s="74"/>
      <c r="D2" s="74"/>
      <c r="E2" s="74"/>
    </row>
    <row r="3" spans="1:5" ht="13.5" customHeight="1" x14ac:dyDescent="0.2">
      <c r="A3" s="76" t="s">
        <v>111</v>
      </c>
      <c r="B3" s="77"/>
      <c r="C3" s="77"/>
      <c r="D3" s="77"/>
      <c r="E3" s="77"/>
    </row>
    <row r="4" spans="1:5" ht="13.5" customHeight="1" x14ac:dyDescent="0.2">
      <c r="A4" s="34"/>
      <c r="B4" s="71" t="s">
        <v>112</v>
      </c>
      <c r="C4" s="72"/>
      <c r="D4" s="72"/>
      <c r="E4" s="72"/>
    </row>
    <row r="5" spans="1:5" ht="24.5" customHeight="1" x14ac:dyDescent="0.2">
      <c r="A5" s="34"/>
      <c r="B5" s="36" t="s">
        <v>113</v>
      </c>
      <c r="C5" s="35" t="s">
        <v>114</v>
      </c>
      <c r="D5" s="35" t="s">
        <v>115</v>
      </c>
      <c r="E5" s="35" t="s">
        <v>116</v>
      </c>
    </row>
    <row r="6" spans="1:5" ht="11.75" customHeight="1" x14ac:dyDescent="0.2">
      <c r="A6" s="37" t="s">
        <v>117</v>
      </c>
      <c r="B6" s="38"/>
      <c r="C6" s="38"/>
      <c r="D6" s="38"/>
      <c r="E6" s="38"/>
    </row>
    <row r="7" spans="1:5" ht="11.75" customHeight="1" x14ac:dyDescent="0.2">
      <c r="A7" s="37" t="s">
        <v>118</v>
      </c>
      <c r="B7" s="39"/>
      <c r="C7" s="39"/>
      <c r="D7" s="40">
        <f t="shared" ref="D7:D53" si="0">(B7)-(C7)</f>
        <v>0</v>
      </c>
      <c r="E7" s="41" t="str">
        <f t="shared" ref="E7:E53" si="1">IF(C7=0,"",(B7)/(C7))</f>
        <v/>
      </c>
    </row>
    <row r="8" spans="1:5" ht="11.75" customHeight="1" x14ac:dyDescent="0.2">
      <c r="A8" s="37" t="s">
        <v>119</v>
      </c>
      <c r="B8" s="40">
        <f>12931.25</f>
        <v>12931.25</v>
      </c>
      <c r="C8" s="40">
        <f>68721.36</f>
        <v>68721.36</v>
      </c>
      <c r="D8" s="40">
        <f t="shared" si="0"/>
        <v>-55790.11</v>
      </c>
      <c r="E8" s="42">
        <f t="shared" si="1"/>
        <v>0.18816929699877882</v>
      </c>
    </row>
    <row r="9" spans="1:5" ht="11.75" customHeight="1" x14ac:dyDescent="0.2">
      <c r="A9" s="37" t="s">
        <v>120</v>
      </c>
      <c r="B9" s="40">
        <f>34999.3</f>
        <v>34999.300000000003</v>
      </c>
      <c r="C9" s="40">
        <f>25803.36</f>
        <v>25803.360000000001</v>
      </c>
      <c r="D9" s="40">
        <f t="shared" si="0"/>
        <v>9195.9400000000023</v>
      </c>
      <c r="E9" s="42">
        <f t="shared" si="1"/>
        <v>1.3563853699673221</v>
      </c>
    </row>
    <row r="10" spans="1:5" ht="11.75" customHeight="1" x14ac:dyDescent="0.2">
      <c r="A10" s="37" t="s">
        <v>121</v>
      </c>
      <c r="B10" s="40">
        <f>5410.16</f>
        <v>5410.16</v>
      </c>
      <c r="C10" s="40">
        <f>10795.32</f>
        <v>10795.32</v>
      </c>
      <c r="D10" s="40">
        <f t="shared" si="0"/>
        <v>-5385.16</v>
      </c>
      <c r="E10" s="42">
        <f t="shared" si="1"/>
        <v>0.50115790916804692</v>
      </c>
    </row>
    <row r="11" spans="1:5" ht="11.75" customHeight="1" x14ac:dyDescent="0.2">
      <c r="A11" s="37" t="s">
        <v>122</v>
      </c>
      <c r="B11" s="43"/>
      <c r="C11" s="44">
        <f>-10532.04</f>
        <v>-10532.04</v>
      </c>
      <c r="D11" s="44">
        <f t="shared" si="0"/>
        <v>10532.04</v>
      </c>
      <c r="E11" s="45">
        <f t="shared" si="1"/>
        <v>0</v>
      </c>
    </row>
    <row r="12" spans="1:5" ht="11.75" customHeight="1" x14ac:dyDescent="0.2">
      <c r="A12" s="37" t="s">
        <v>123</v>
      </c>
      <c r="B12" s="46">
        <f>((((B7)+(B8))+(B9))+(B10))+(B11)</f>
        <v>53340.710000000006</v>
      </c>
      <c r="C12" s="46">
        <f>((((C7)+(C8))+(C9))+(C10))+(C11)</f>
        <v>94788</v>
      </c>
      <c r="D12" s="46">
        <f t="shared" si="0"/>
        <v>-41447.289999999994</v>
      </c>
      <c r="E12" s="47">
        <f t="shared" si="1"/>
        <v>0.56273694982487243</v>
      </c>
    </row>
    <row r="13" spans="1:5" ht="11.75" customHeight="1" x14ac:dyDescent="0.2">
      <c r="A13" s="37" t="s">
        <v>124</v>
      </c>
      <c r="B13" s="39"/>
      <c r="C13" s="39"/>
      <c r="D13" s="40">
        <f t="shared" si="0"/>
        <v>0</v>
      </c>
      <c r="E13" s="41" t="str">
        <f t="shared" si="1"/>
        <v/>
      </c>
    </row>
    <row r="14" spans="1:5" ht="11.75" customHeight="1" x14ac:dyDescent="0.2">
      <c r="A14" s="37" t="s">
        <v>125</v>
      </c>
      <c r="B14" s="40">
        <f>3593.62</f>
        <v>3593.62</v>
      </c>
      <c r="C14" s="39"/>
      <c r="D14" s="40">
        <f t="shared" si="0"/>
        <v>3593.62</v>
      </c>
      <c r="E14" s="41" t="str">
        <f t="shared" si="1"/>
        <v/>
      </c>
    </row>
    <row r="15" spans="1:5" ht="11.75" customHeight="1" x14ac:dyDescent="0.2">
      <c r="A15" s="37" t="s">
        <v>126</v>
      </c>
      <c r="B15" s="44">
        <f>1040.94</f>
        <v>1040.94</v>
      </c>
      <c r="C15" s="43"/>
      <c r="D15" s="44">
        <f t="shared" si="0"/>
        <v>1040.94</v>
      </c>
      <c r="E15" s="48" t="str">
        <f t="shared" si="1"/>
        <v/>
      </c>
    </row>
    <row r="16" spans="1:5" ht="11.75" customHeight="1" x14ac:dyDescent="0.2">
      <c r="A16" s="37" t="s">
        <v>127</v>
      </c>
      <c r="B16" s="46">
        <f>((B13)+(B14))+(B15)</f>
        <v>4634.5599999999995</v>
      </c>
      <c r="C16" s="46">
        <f>((C13)+(C14))+(C15)</f>
        <v>0</v>
      </c>
      <c r="D16" s="46">
        <f t="shared" si="0"/>
        <v>4634.5599999999995</v>
      </c>
      <c r="E16" s="49" t="str">
        <f t="shared" si="1"/>
        <v/>
      </c>
    </row>
    <row r="17" spans="1:5" ht="11.75" customHeight="1" x14ac:dyDescent="0.2">
      <c r="A17" s="37" t="s">
        <v>128</v>
      </c>
      <c r="B17" s="39"/>
      <c r="C17" s="39"/>
      <c r="D17" s="40">
        <f t="shared" si="0"/>
        <v>0</v>
      </c>
      <c r="E17" s="41" t="str">
        <f t="shared" si="1"/>
        <v/>
      </c>
    </row>
    <row r="18" spans="1:5" ht="11.75" customHeight="1" x14ac:dyDescent="0.2">
      <c r="A18" s="37" t="s">
        <v>129</v>
      </c>
      <c r="B18" s="40">
        <f>202</f>
        <v>202</v>
      </c>
      <c r="C18" s="39"/>
      <c r="D18" s="40">
        <f t="shared" si="0"/>
        <v>202</v>
      </c>
      <c r="E18" s="41" t="str">
        <f t="shared" si="1"/>
        <v/>
      </c>
    </row>
    <row r="19" spans="1:5" ht="11.75" customHeight="1" x14ac:dyDescent="0.2">
      <c r="A19" s="37" t="s">
        <v>130</v>
      </c>
      <c r="B19" s="40">
        <f>728.5</f>
        <v>728.5</v>
      </c>
      <c r="C19" s="39"/>
      <c r="D19" s="40">
        <f t="shared" si="0"/>
        <v>728.5</v>
      </c>
      <c r="E19" s="41" t="str">
        <f t="shared" si="1"/>
        <v/>
      </c>
    </row>
    <row r="20" spans="1:5" ht="11.75" customHeight="1" x14ac:dyDescent="0.2">
      <c r="A20" s="37" t="s">
        <v>131</v>
      </c>
      <c r="B20" s="40">
        <f t="shared" ref="B20:C133" si="2">500</f>
        <v>500</v>
      </c>
      <c r="C20" s="39"/>
      <c r="D20" s="40">
        <f t="shared" si="0"/>
        <v>500</v>
      </c>
      <c r="E20" s="41" t="str">
        <f t="shared" si="1"/>
        <v/>
      </c>
    </row>
    <row r="21" spans="1:5" ht="11.75" customHeight="1" x14ac:dyDescent="0.2">
      <c r="A21" s="37" t="s">
        <v>132</v>
      </c>
      <c r="B21" s="44">
        <f>350</f>
        <v>350</v>
      </c>
      <c r="C21" s="43"/>
      <c r="D21" s="44">
        <f t="shared" si="0"/>
        <v>350</v>
      </c>
      <c r="E21" s="48" t="str">
        <f t="shared" si="1"/>
        <v/>
      </c>
    </row>
    <row r="22" spans="1:5" ht="11.75" customHeight="1" x14ac:dyDescent="0.2">
      <c r="A22" s="37" t="s">
        <v>133</v>
      </c>
      <c r="B22" s="46">
        <f>((((B17)+(B18))+(B19))+(B20))+(B21)</f>
        <v>1780.5</v>
      </c>
      <c r="C22" s="46">
        <f>((((C17)+(C18))+(C19))+(C20))+(C21)</f>
        <v>0</v>
      </c>
      <c r="D22" s="46">
        <f t="shared" si="0"/>
        <v>1780.5</v>
      </c>
      <c r="E22" s="49" t="str">
        <f t="shared" si="1"/>
        <v/>
      </c>
    </row>
    <row r="23" spans="1:5" ht="11.75" customHeight="1" x14ac:dyDescent="0.2">
      <c r="A23" s="37" t="s">
        <v>134</v>
      </c>
      <c r="B23" s="39"/>
      <c r="C23" s="39"/>
      <c r="D23" s="40">
        <f t="shared" si="0"/>
        <v>0</v>
      </c>
      <c r="E23" s="41" t="str">
        <f t="shared" si="1"/>
        <v/>
      </c>
    </row>
    <row r="24" spans="1:5" ht="11.75" customHeight="1" x14ac:dyDescent="0.2">
      <c r="A24" s="37" t="s">
        <v>135</v>
      </c>
      <c r="B24" s="40">
        <f>7709.5</f>
        <v>7709.5</v>
      </c>
      <c r="C24" s="39"/>
      <c r="D24" s="40">
        <f t="shared" si="0"/>
        <v>7709.5</v>
      </c>
      <c r="E24" s="41" t="str">
        <f t="shared" si="1"/>
        <v/>
      </c>
    </row>
    <row r="25" spans="1:5" ht="11.75" customHeight="1" x14ac:dyDescent="0.2">
      <c r="A25" s="37" t="s">
        <v>136</v>
      </c>
      <c r="B25" s="40">
        <f>1122</f>
        <v>1122</v>
      </c>
      <c r="C25" s="39"/>
      <c r="D25" s="40">
        <f t="shared" si="0"/>
        <v>1122</v>
      </c>
      <c r="E25" s="41" t="str">
        <f t="shared" si="1"/>
        <v/>
      </c>
    </row>
    <row r="26" spans="1:5" ht="11.75" customHeight="1" x14ac:dyDescent="0.2">
      <c r="A26" s="37" t="s">
        <v>137</v>
      </c>
      <c r="B26" s="40">
        <f>12560.1</f>
        <v>12560.1</v>
      </c>
      <c r="C26" s="39"/>
      <c r="D26" s="40">
        <f t="shared" si="0"/>
        <v>12560.1</v>
      </c>
      <c r="E26" s="41" t="str">
        <f t="shared" si="1"/>
        <v/>
      </c>
    </row>
    <row r="27" spans="1:5" ht="11.75" customHeight="1" x14ac:dyDescent="0.2">
      <c r="A27" s="37" t="s">
        <v>138</v>
      </c>
      <c r="B27" s="39"/>
      <c r="C27" s="39"/>
      <c r="D27" s="40">
        <f t="shared" si="0"/>
        <v>0</v>
      </c>
      <c r="E27" s="41" t="str">
        <f t="shared" si="1"/>
        <v/>
      </c>
    </row>
    <row r="28" spans="1:5" ht="11.75" customHeight="1" x14ac:dyDescent="0.2">
      <c r="A28" s="37" t="s">
        <v>139</v>
      </c>
      <c r="B28" s="40">
        <f>660.3</f>
        <v>660.3</v>
      </c>
      <c r="C28" s="39"/>
      <c r="D28" s="40">
        <f t="shared" si="0"/>
        <v>660.3</v>
      </c>
      <c r="E28" s="41" t="str">
        <f t="shared" si="1"/>
        <v/>
      </c>
    </row>
    <row r="29" spans="1:5" ht="11.75" customHeight="1" x14ac:dyDescent="0.2">
      <c r="A29" s="37" t="s">
        <v>140</v>
      </c>
      <c r="B29" s="44">
        <f>165.07</f>
        <v>165.07</v>
      </c>
      <c r="C29" s="43"/>
      <c r="D29" s="44">
        <f t="shared" si="0"/>
        <v>165.07</v>
      </c>
      <c r="E29" s="48" t="str">
        <f t="shared" si="1"/>
        <v/>
      </c>
    </row>
    <row r="30" spans="1:5" ht="11.75" customHeight="1" x14ac:dyDescent="0.2">
      <c r="A30" s="37" t="s">
        <v>141</v>
      </c>
      <c r="B30" s="50">
        <f>((B27)+(B28))+(B29)</f>
        <v>825.36999999999989</v>
      </c>
      <c r="C30" s="50">
        <f>((C27)+(C28))+(C29)</f>
        <v>0</v>
      </c>
      <c r="D30" s="50">
        <f t="shared" si="0"/>
        <v>825.36999999999989</v>
      </c>
      <c r="E30" s="51" t="str">
        <f t="shared" si="1"/>
        <v/>
      </c>
    </row>
    <row r="31" spans="1:5" ht="11.75" customHeight="1" x14ac:dyDescent="0.2">
      <c r="A31" s="37" t="s">
        <v>142</v>
      </c>
      <c r="B31" s="46">
        <f>((((B23)+(B24))+(B25))+(B26))+(B30)</f>
        <v>22216.969999999998</v>
      </c>
      <c r="C31" s="46">
        <f>((((C23)+(C24))+(C25))+(C26))+(C30)</f>
        <v>0</v>
      </c>
      <c r="D31" s="46">
        <f t="shared" si="0"/>
        <v>22216.969999999998</v>
      </c>
      <c r="E31" s="49" t="str">
        <f t="shared" si="1"/>
        <v/>
      </c>
    </row>
    <row r="32" spans="1:5" ht="11.75" customHeight="1" x14ac:dyDescent="0.2">
      <c r="A32" s="37" t="s">
        <v>143</v>
      </c>
      <c r="B32" s="39"/>
      <c r="C32" s="39"/>
      <c r="D32" s="40">
        <f t="shared" si="0"/>
        <v>0</v>
      </c>
      <c r="E32" s="41" t="str">
        <f t="shared" si="1"/>
        <v/>
      </c>
    </row>
    <row r="33" spans="1:5" ht="11.75" customHeight="1" x14ac:dyDescent="0.2">
      <c r="A33" s="37" t="s">
        <v>144</v>
      </c>
      <c r="B33" s="40">
        <f>130.56</f>
        <v>130.56</v>
      </c>
      <c r="C33" s="39"/>
      <c r="D33" s="40">
        <f t="shared" si="0"/>
        <v>130.56</v>
      </c>
      <c r="E33" s="41" t="str">
        <f t="shared" si="1"/>
        <v/>
      </c>
    </row>
    <row r="34" spans="1:5" ht="11.75" customHeight="1" x14ac:dyDescent="0.2">
      <c r="A34" s="37" t="s">
        <v>145</v>
      </c>
      <c r="B34" s="40">
        <f>-100</f>
        <v>-100</v>
      </c>
      <c r="C34" s="39"/>
      <c r="D34" s="40">
        <f t="shared" si="0"/>
        <v>-100</v>
      </c>
      <c r="E34" s="41" t="str">
        <f t="shared" si="1"/>
        <v/>
      </c>
    </row>
    <row r="35" spans="1:5" ht="11.75" customHeight="1" x14ac:dyDescent="0.2">
      <c r="A35" s="37" t="s">
        <v>146</v>
      </c>
      <c r="B35" s="44">
        <f t="shared" ref="B35:C85" si="3">5000</f>
        <v>5000</v>
      </c>
      <c r="C35" s="43"/>
      <c r="D35" s="44">
        <f t="shared" si="0"/>
        <v>5000</v>
      </c>
      <c r="E35" s="48" t="str">
        <f t="shared" si="1"/>
        <v/>
      </c>
    </row>
    <row r="36" spans="1:5" ht="11.75" customHeight="1" x14ac:dyDescent="0.2">
      <c r="A36" s="37" t="s">
        <v>147</v>
      </c>
      <c r="B36" s="46">
        <f>(B34)+(B35)</f>
        <v>4900</v>
      </c>
      <c r="C36" s="46">
        <f>(C34)+(C35)</f>
        <v>0</v>
      </c>
      <c r="D36" s="46">
        <f t="shared" si="0"/>
        <v>4900</v>
      </c>
      <c r="E36" s="49" t="str">
        <f t="shared" si="1"/>
        <v/>
      </c>
    </row>
    <row r="37" spans="1:5" ht="11.75" customHeight="1" x14ac:dyDescent="0.2">
      <c r="A37" s="37" t="s">
        <v>148</v>
      </c>
      <c r="B37" s="39"/>
      <c r="C37" s="39"/>
      <c r="D37" s="40">
        <f t="shared" si="0"/>
        <v>0</v>
      </c>
      <c r="E37" s="41" t="str">
        <f t="shared" si="1"/>
        <v/>
      </c>
    </row>
    <row r="38" spans="1:5" ht="11.75" customHeight="1" x14ac:dyDescent="0.2">
      <c r="A38" s="37" t="s">
        <v>149</v>
      </c>
      <c r="B38" s="40">
        <f>413.98</f>
        <v>413.98</v>
      </c>
      <c r="C38" s="39"/>
      <c r="D38" s="40">
        <f t="shared" si="0"/>
        <v>413.98</v>
      </c>
      <c r="E38" s="41" t="str">
        <f t="shared" si="1"/>
        <v/>
      </c>
    </row>
    <row r="39" spans="1:5" ht="11.75" customHeight="1" x14ac:dyDescent="0.2">
      <c r="A39" s="37" t="s">
        <v>150</v>
      </c>
      <c r="B39" s="40">
        <f>74.83</f>
        <v>74.83</v>
      </c>
      <c r="C39" s="40">
        <f>287.73</f>
        <v>287.73</v>
      </c>
      <c r="D39" s="40">
        <f t="shared" si="0"/>
        <v>-212.90000000000003</v>
      </c>
      <c r="E39" s="42">
        <f t="shared" si="1"/>
        <v>0.26007020470580056</v>
      </c>
    </row>
    <row r="40" spans="1:5" ht="11.75" customHeight="1" x14ac:dyDescent="0.2">
      <c r="A40" s="37" t="s">
        <v>151</v>
      </c>
      <c r="B40" s="40">
        <f>869.9</f>
        <v>869.9</v>
      </c>
      <c r="C40" s="40">
        <f>3461.04</f>
        <v>3461.04</v>
      </c>
      <c r="D40" s="40">
        <f t="shared" si="0"/>
        <v>-2591.14</v>
      </c>
      <c r="E40" s="42">
        <f t="shared" si="1"/>
        <v>0.25134063749624391</v>
      </c>
    </row>
    <row r="41" spans="1:5" ht="11.75" customHeight="1" x14ac:dyDescent="0.2">
      <c r="A41" s="37" t="s">
        <v>152</v>
      </c>
      <c r="B41" s="39"/>
      <c r="C41" s="39"/>
      <c r="D41" s="40">
        <f t="shared" si="0"/>
        <v>0</v>
      </c>
      <c r="E41" s="41" t="str">
        <f t="shared" si="1"/>
        <v/>
      </c>
    </row>
    <row r="42" spans="1:5" ht="11.75" customHeight="1" x14ac:dyDescent="0.2">
      <c r="A42" s="37" t="s">
        <v>153</v>
      </c>
      <c r="B42" s="44">
        <f>2033.87</f>
        <v>2033.87</v>
      </c>
      <c r="C42" s="44">
        <f>8092.19</f>
        <v>8092.19</v>
      </c>
      <c r="D42" s="44">
        <f t="shared" si="0"/>
        <v>-6058.32</v>
      </c>
      <c r="E42" s="45">
        <f t="shared" si="1"/>
        <v>0.25133740062949583</v>
      </c>
    </row>
    <row r="43" spans="1:5" ht="11.75" customHeight="1" x14ac:dyDescent="0.2">
      <c r="A43" s="37" t="s">
        <v>154</v>
      </c>
      <c r="B43" s="46">
        <f>(B41)+(B42)</f>
        <v>2033.87</v>
      </c>
      <c r="C43" s="46">
        <f>(C41)+(C42)</f>
        <v>8092.19</v>
      </c>
      <c r="D43" s="46">
        <f t="shared" si="0"/>
        <v>-6058.32</v>
      </c>
      <c r="E43" s="47">
        <f t="shared" si="1"/>
        <v>0.25133740062949583</v>
      </c>
    </row>
    <row r="44" spans="1:5" ht="11.75" customHeight="1" x14ac:dyDescent="0.2">
      <c r="A44" s="37" t="s">
        <v>155</v>
      </c>
      <c r="B44" s="40">
        <f>265.1</f>
        <v>265.10000000000002</v>
      </c>
      <c r="C44" s="40">
        <f>1054.76</f>
        <v>1054.76</v>
      </c>
      <c r="D44" s="40">
        <f t="shared" si="0"/>
        <v>-789.66</v>
      </c>
      <c r="E44" s="42">
        <f t="shared" si="1"/>
        <v>0.25133679699647316</v>
      </c>
    </row>
    <row r="45" spans="1:5" ht="11.75" customHeight="1" x14ac:dyDescent="0.2">
      <c r="A45" s="37" t="s">
        <v>156</v>
      </c>
      <c r="B45" s="44">
        <f>4057.09</f>
        <v>4057.09</v>
      </c>
      <c r="C45" s="44">
        <f>16141.93</f>
        <v>16141.93</v>
      </c>
      <c r="D45" s="44">
        <f t="shared" si="0"/>
        <v>-12084.84</v>
      </c>
      <c r="E45" s="45">
        <f t="shared" si="1"/>
        <v>0.25133859457945862</v>
      </c>
    </row>
    <row r="46" spans="1:5" ht="11.75" customHeight="1" x14ac:dyDescent="0.2">
      <c r="A46" s="37" t="s">
        <v>157</v>
      </c>
      <c r="B46" s="46">
        <f>((((((B37)+(B38))+(B39))+(B40))+(B43))+(B44))+(B45)</f>
        <v>7714.77</v>
      </c>
      <c r="C46" s="46">
        <f>((((((C37)+(C38))+(C39))+(C40))+(C43))+(C44))+(C45)</f>
        <v>29037.65</v>
      </c>
      <c r="D46" s="46">
        <f t="shared" si="0"/>
        <v>-21322.880000000001</v>
      </c>
      <c r="E46" s="47">
        <f t="shared" si="1"/>
        <v>0.26568162368511228</v>
      </c>
    </row>
    <row r="47" spans="1:5" ht="11.75" customHeight="1" x14ac:dyDescent="0.2">
      <c r="A47" s="37" t="s">
        <v>158</v>
      </c>
      <c r="B47" s="40">
        <f>2309.94</f>
        <v>2309.94</v>
      </c>
      <c r="C47" s="39"/>
      <c r="D47" s="40">
        <f t="shared" si="0"/>
        <v>2309.94</v>
      </c>
      <c r="E47" s="41" t="str">
        <f t="shared" si="1"/>
        <v/>
      </c>
    </row>
    <row r="48" spans="1:5" ht="11.75" customHeight="1" x14ac:dyDescent="0.2">
      <c r="A48" s="37" t="s">
        <v>159</v>
      </c>
      <c r="B48" s="44">
        <f>58.56</f>
        <v>58.56</v>
      </c>
      <c r="C48" s="43"/>
      <c r="D48" s="44">
        <f t="shared" si="0"/>
        <v>58.56</v>
      </c>
      <c r="E48" s="48" t="str">
        <f t="shared" si="1"/>
        <v/>
      </c>
    </row>
    <row r="49" spans="1:5" ht="11.75" customHeight="1" x14ac:dyDescent="0.2">
      <c r="A49" s="37" t="s">
        <v>160</v>
      </c>
      <c r="B49" s="46">
        <f>(B47)+(B48)</f>
        <v>2368.5</v>
      </c>
      <c r="C49" s="46">
        <f>(C47)+(C48)</f>
        <v>0</v>
      </c>
      <c r="D49" s="46">
        <f t="shared" si="0"/>
        <v>2368.5</v>
      </c>
      <c r="E49" s="49" t="str">
        <f t="shared" si="1"/>
        <v/>
      </c>
    </row>
    <row r="50" spans="1:5" ht="11.75" customHeight="1" x14ac:dyDescent="0.2">
      <c r="A50" s="37" t="s">
        <v>161</v>
      </c>
      <c r="B50" s="44">
        <f t="shared" ref="B50:B147" si="4">361919.53</f>
        <v>361919.53</v>
      </c>
      <c r="C50" s="43"/>
      <c r="D50" s="44">
        <f t="shared" si="0"/>
        <v>361919.53</v>
      </c>
      <c r="E50" s="48" t="str">
        <f t="shared" si="1"/>
        <v/>
      </c>
    </row>
    <row r="51" spans="1:5" ht="11.75" customHeight="1" x14ac:dyDescent="0.2">
      <c r="A51" s="37" t="s">
        <v>162</v>
      </c>
      <c r="B51" s="50">
        <f>(((((B32)+(B33))+(B36))+(B46))+(B49))+(B50)</f>
        <v>377033.36000000004</v>
      </c>
      <c r="C51" s="50">
        <f>(((((C32)+(C33))+(C36))+(C46))+(C49))+(C50)</f>
        <v>29037.65</v>
      </c>
      <c r="D51" s="50">
        <f t="shared" si="0"/>
        <v>347995.71</v>
      </c>
      <c r="E51" s="52">
        <f t="shared" si="1"/>
        <v>12.984293150444337</v>
      </c>
    </row>
    <row r="52" spans="1:5" ht="11.75" customHeight="1" x14ac:dyDescent="0.2">
      <c r="A52" s="37" t="s">
        <v>163</v>
      </c>
      <c r="B52" s="50">
        <f>((((B12)+(B16))+(B22))+(B31))+(B51)</f>
        <v>459006.10000000003</v>
      </c>
      <c r="C52" s="50">
        <f>((((C12)+(C16))+(C22))+(C31))+(C51)</f>
        <v>123825.65</v>
      </c>
      <c r="D52" s="50">
        <f t="shared" si="0"/>
        <v>335180.45000000007</v>
      </c>
      <c r="E52" s="52">
        <f t="shared" si="1"/>
        <v>3.7068741411815731</v>
      </c>
    </row>
    <row r="53" spans="1:5" ht="11.75" customHeight="1" x14ac:dyDescent="0.2">
      <c r="A53" s="37" t="s">
        <v>164</v>
      </c>
      <c r="B53" s="46">
        <f>(B52)-(0)</f>
        <v>459006.10000000003</v>
      </c>
      <c r="C53" s="46">
        <f>(C52)-(0)</f>
        <v>123825.65</v>
      </c>
      <c r="D53" s="46">
        <f t="shared" si="0"/>
        <v>335180.45000000007</v>
      </c>
      <c r="E53" s="47">
        <f t="shared" si="1"/>
        <v>3.7068741411815731</v>
      </c>
    </row>
    <row r="54" spans="1:5" ht="11.75" customHeight="1" x14ac:dyDescent="0.2">
      <c r="A54" s="37" t="s">
        <v>165</v>
      </c>
      <c r="B54" s="39"/>
      <c r="C54" s="39"/>
      <c r="D54" s="39"/>
      <c r="E54" s="39"/>
    </row>
    <row r="55" spans="1:5" ht="11.75" customHeight="1" x14ac:dyDescent="0.2">
      <c r="A55" s="37" t="s">
        <v>166</v>
      </c>
      <c r="B55" s="39"/>
      <c r="C55" s="39"/>
      <c r="D55" s="40">
        <f t="shared" ref="D55:D86" si="5">(B55)-(C55)</f>
        <v>0</v>
      </c>
      <c r="E55" s="41" t="str">
        <f t="shared" ref="E55:E86" si="6">IF(C55=0,"",(B55)/(C55))</f>
        <v/>
      </c>
    </row>
    <row r="56" spans="1:5" ht="11.75" customHeight="1" x14ac:dyDescent="0.2">
      <c r="A56" s="37" t="s">
        <v>167</v>
      </c>
      <c r="B56" s="40">
        <f t="shared" ref="B56:C56" si="7">-269.88</f>
        <v>-269.88</v>
      </c>
      <c r="C56" s="40">
        <f t="shared" si="7"/>
        <v>-269.88</v>
      </c>
      <c r="D56" s="40">
        <f t="shared" si="5"/>
        <v>0</v>
      </c>
      <c r="E56" s="42">
        <f t="shared" si="6"/>
        <v>1</v>
      </c>
    </row>
    <row r="57" spans="1:5" ht="11.75" customHeight="1" x14ac:dyDescent="0.2">
      <c r="A57" s="37" t="s">
        <v>119</v>
      </c>
      <c r="B57" s="40">
        <f t="shared" ref="B57:C57" si="8">25803.4</f>
        <v>25803.4</v>
      </c>
      <c r="C57" s="40">
        <f t="shared" si="8"/>
        <v>25803.4</v>
      </c>
      <c r="D57" s="40">
        <f t="shared" si="5"/>
        <v>0</v>
      </c>
      <c r="E57" s="42">
        <f t="shared" si="6"/>
        <v>1</v>
      </c>
    </row>
    <row r="58" spans="1:5" ht="11.75" customHeight="1" x14ac:dyDescent="0.2">
      <c r="A58" s="37" t="s">
        <v>168</v>
      </c>
      <c r="B58" s="44">
        <f t="shared" ref="B58:C58" si="9">10795.3</f>
        <v>10795.3</v>
      </c>
      <c r="C58" s="44">
        <f t="shared" si="9"/>
        <v>10795.3</v>
      </c>
      <c r="D58" s="44">
        <f t="shared" si="5"/>
        <v>0</v>
      </c>
      <c r="E58" s="45">
        <f t="shared" si="6"/>
        <v>1</v>
      </c>
    </row>
    <row r="59" spans="1:5" ht="11.75" customHeight="1" x14ac:dyDescent="0.2">
      <c r="A59" s="37" t="s">
        <v>169</v>
      </c>
      <c r="B59" s="46">
        <f>(((B55)+(B56))+(B57))+(B58)</f>
        <v>36328.82</v>
      </c>
      <c r="C59" s="46">
        <f>(((C55)+(C56))+(C57))+(C58)</f>
        <v>36328.82</v>
      </c>
      <c r="D59" s="46">
        <f t="shared" si="5"/>
        <v>0</v>
      </c>
      <c r="E59" s="47">
        <f t="shared" si="6"/>
        <v>1</v>
      </c>
    </row>
    <row r="60" spans="1:5" ht="11.75" customHeight="1" x14ac:dyDescent="0.2">
      <c r="A60" s="37" t="s">
        <v>170</v>
      </c>
      <c r="B60" s="39"/>
      <c r="C60" s="39"/>
      <c r="D60" s="40">
        <f t="shared" si="5"/>
        <v>0</v>
      </c>
      <c r="E60" s="41" t="str">
        <f t="shared" si="6"/>
        <v/>
      </c>
    </row>
    <row r="61" spans="1:5" ht="11.75" customHeight="1" x14ac:dyDescent="0.2">
      <c r="A61" s="37" t="s">
        <v>171</v>
      </c>
      <c r="B61" s="40">
        <f>4029.75</f>
        <v>4029.75</v>
      </c>
      <c r="C61" s="39"/>
      <c r="D61" s="40">
        <f t="shared" si="5"/>
        <v>4029.75</v>
      </c>
      <c r="E61" s="41" t="str">
        <f t="shared" si="6"/>
        <v/>
      </c>
    </row>
    <row r="62" spans="1:5" ht="11.75" customHeight="1" x14ac:dyDescent="0.2">
      <c r="A62" s="37" t="s">
        <v>172</v>
      </c>
      <c r="B62" s="44">
        <f>1126.23</f>
        <v>1126.23</v>
      </c>
      <c r="C62" s="43"/>
      <c r="D62" s="44">
        <f t="shared" si="5"/>
        <v>1126.23</v>
      </c>
      <c r="E62" s="48" t="str">
        <f t="shared" si="6"/>
        <v/>
      </c>
    </row>
    <row r="63" spans="1:5" ht="11.75" customHeight="1" x14ac:dyDescent="0.2">
      <c r="A63" s="37" t="s">
        <v>173</v>
      </c>
      <c r="B63" s="46">
        <f>((B60)+(B61))+(B62)</f>
        <v>5155.9799999999996</v>
      </c>
      <c r="C63" s="46">
        <f>((C60)+(C61))+(C62)</f>
        <v>0</v>
      </c>
      <c r="D63" s="46">
        <f t="shared" si="5"/>
        <v>5155.9799999999996</v>
      </c>
      <c r="E63" s="49" t="str">
        <f t="shared" si="6"/>
        <v/>
      </c>
    </row>
    <row r="64" spans="1:5" ht="11.75" customHeight="1" x14ac:dyDescent="0.2">
      <c r="A64" s="37" t="s">
        <v>174</v>
      </c>
      <c r="B64" s="39"/>
      <c r="C64" s="39"/>
      <c r="D64" s="40">
        <f t="shared" si="5"/>
        <v>0</v>
      </c>
      <c r="E64" s="41" t="str">
        <f t="shared" si="6"/>
        <v/>
      </c>
    </row>
    <row r="65" spans="1:5" ht="11.75" customHeight="1" x14ac:dyDescent="0.2">
      <c r="A65" s="37" t="s">
        <v>131</v>
      </c>
      <c r="B65" s="44">
        <f>400</f>
        <v>400</v>
      </c>
      <c r="C65" s="43"/>
      <c r="D65" s="44">
        <f t="shared" si="5"/>
        <v>400</v>
      </c>
      <c r="E65" s="48" t="str">
        <f t="shared" si="6"/>
        <v/>
      </c>
    </row>
    <row r="66" spans="1:5" ht="11.75" customHeight="1" x14ac:dyDescent="0.2">
      <c r="A66" s="37" t="s">
        <v>175</v>
      </c>
      <c r="B66" s="46">
        <f>(B64)+(B65)</f>
        <v>400</v>
      </c>
      <c r="C66" s="46">
        <f>(C64)+(C65)</f>
        <v>0</v>
      </c>
      <c r="D66" s="46">
        <f t="shared" si="5"/>
        <v>400</v>
      </c>
      <c r="E66" s="49" t="str">
        <f t="shared" si="6"/>
        <v/>
      </c>
    </row>
    <row r="67" spans="1:5" ht="11.75" customHeight="1" x14ac:dyDescent="0.2">
      <c r="A67" s="37" t="s">
        <v>176</v>
      </c>
      <c r="B67" s="39"/>
      <c r="C67" s="39"/>
      <c r="D67" s="40">
        <f t="shared" si="5"/>
        <v>0</v>
      </c>
      <c r="E67" s="41" t="str">
        <f t="shared" si="6"/>
        <v/>
      </c>
    </row>
    <row r="68" spans="1:5" ht="11.75" customHeight="1" x14ac:dyDescent="0.2">
      <c r="A68" s="37" t="s">
        <v>177</v>
      </c>
      <c r="B68" s="40">
        <f>8736.5</f>
        <v>8736.5</v>
      </c>
      <c r="C68" s="39"/>
      <c r="D68" s="40">
        <f t="shared" si="5"/>
        <v>8736.5</v>
      </c>
      <c r="E68" s="41" t="str">
        <f t="shared" si="6"/>
        <v/>
      </c>
    </row>
    <row r="69" spans="1:5" ht="11.75" customHeight="1" x14ac:dyDescent="0.2">
      <c r="A69" s="37" t="s">
        <v>136</v>
      </c>
      <c r="B69" s="40">
        <f>1174.1</f>
        <v>1174.0999999999999</v>
      </c>
      <c r="C69" s="39"/>
      <c r="D69" s="40">
        <f t="shared" si="5"/>
        <v>1174.0999999999999</v>
      </c>
      <c r="E69" s="41" t="str">
        <f t="shared" si="6"/>
        <v/>
      </c>
    </row>
    <row r="70" spans="1:5" ht="11.75" customHeight="1" x14ac:dyDescent="0.2">
      <c r="A70" s="37" t="s">
        <v>137</v>
      </c>
      <c r="B70" s="40">
        <f>12410.1</f>
        <v>12410.1</v>
      </c>
      <c r="C70" s="39"/>
      <c r="D70" s="40">
        <f t="shared" si="5"/>
        <v>12410.1</v>
      </c>
      <c r="E70" s="41" t="str">
        <f t="shared" si="6"/>
        <v/>
      </c>
    </row>
    <row r="71" spans="1:5" ht="11.75" customHeight="1" x14ac:dyDescent="0.2">
      <c r="A71" s="37" t="s">
        <v>138</v>
      </c>
      <c r="B71" s="44">
        <f>1469.88</f>
        <v>1469.88</v>
      </c>
      <c r="C71" s="43"/>
      <c r="D71" s="44">
        <f t="shared" si="5"/>
        <v>1469.88</v>
      </c>
      <c r="E71" s="48" t="str">
        <f t="shared" si="6"/>
        <v/>
      </c>
    </row>
    <row r="72" spans="1:5" ht="11.75" customHeight="1" x14ac:dyDescent="0.2">
      <c r="A72" s="37" t="s">
        <v>178</v>
      </c>
      <c r="B72" s="46">
        <f>((((B67)+(B68))+(B69))+(B70))+(B71)</f>
        <v>23790.58</v>
      </c>
      <c r="C72" s="46">
        <f>((((C67)+(C68))+(C69))+(C70))+(C71)</f>
        <v>0</v>
      </c>
      <c r="D72" s="46">
        <f t="shared" si="5"/>
        <v>23790.58</v>
      </c>
      <c r="E72" s="49" t="str">
        <f t="shared" si="6"/>
        <v/>
      </c>
    </row>
    <row r="73" spans="1:5" ht="11.75" customHeight="1" x14ac:dyDescent="0.2">
      <c r="A73" s="37" t="s">
        <v>179</v>
      </c>
      <c r="B73" s="39"/>
      <c r="C73" s="39"/>
      <c r="D73" s="40">
        <f t="shared" si="5"/>
        <v>0</v>
      </c>
      <c r="E73" s="41" t="str">
        <f t="shared" si="6"/>
        <v/>
      </c>
    </row>
    <row r="74" spans="1:5" ht="11.75" customHeight="1" x14ac:dyDescent="0.2">
      <c r="A74" s="37" t="s">
        <v>180</v>
      </c>
      <c r="B74" s="40">
        <f>541.11</f>
        <v>541.11</v>
      </c>
      <c r="C74" s="39"/>
      <c r="D74" s="40">
        <f t="shared" si="5"/>
        <v>541.11</v>
      </c>
      <c r="E74" s="41" t="str">
        <f t="shared" si="6"/>
        <v/>
      </c>
    </row>
    <row r="75" spans="1:5" ht="11.75" customHeight="1" x14ac:dyDescent="0.2">
      <c r="A75" s="37" t="s">
        <v>181</v>
      </c>
      <c r="B75" s="40">
        <f>11413</f>
        <v>11413</v>
      </c>
      <c r="C75" s="39"/>
      <c r="D75" s="40">
        <f t="shared" si="5"/>
        <v>11413</v>
      </c>
      <c r="E75" s="41" t="str">
        <f t="shared" si="6"/>
        <v/>
      </c>
    </row>
    <row r="76" spans="1:5" ht="11.75" customHeight="1" x14ac:dyDescent="0.2">
      <c r="A76" s="37" t="s">
        <v>182</v>
      </c>
      <c r="B76" s="44">
        <f t="shared" si="2"/>
        <v>500</v>
      </c>
      <c r="C76" s="43"/>
      <c r="D76" s="44">
        <f t="shared" si="5"/>
        <v>500</v>
      </c>
      <c r="E76" s="48" t="str">
        <f t="shared" si="6"/>
        <v/>
      </c>
    </row>
    <row r="77" spans="1:5" ht="11.75" customHeight="1" x14ac:dyDescent="0.2">
      <c r="A77" s="37" t="s">
        <v>183</v>
      </c>
      <c r="B77" s="46">
        <f>(((B73)+(B74))+(B75))+(B76)</f>
        <v>12454.11</v>
      </c>
      <c r="C77" s="46">
        <f>(((C73)+(C74))+(C75))+(C76)</f>
        <v>0</v>
      </c>
      <c r="D77" s="46">
        <f t="shared" si="5"/>
        <v>12454.11</v>
      </c>
      <c r="E77" s="49" t="str">
        <f t="shared" si="6"/>
        <v/>
      </c>
    </row>
    <row r="78" spans="1:5" ht="11.75" customHeight="1" x14ac:dyDescent="0.2">
      <c r="A78" s="37" t="s">
        <v>184</v>
      </c>
      <c r="B78" s="39"/>
      <c r="C78" s="39"/>
      <c r="D78" s="40">
        <f t="shared" si="5"/>
        <v>0</v>
      </c>
      <c r="E78" s="41" t="str">
        <f t="shared" si="6"/>
        <v/>
      </c>
    </row>
    <row r="79" spans="1:5" ht="11.75" customHeight="1" x14ac:dyDescent="0.2">
      <c r="A79" s="37" t="s">
        <v>185</v>
      </c>
      <c r="B79" s="44">
        <f t="shared" ref="B79:C138" si="10">2000</f>
        <v>2000</v>
      </c>
      <c r="C79" s="43"/>
      <c r="D79" s="44">
        <f t="shared" si="5"/>
        <v>2000</v>
      </c>
      <c r="E79" s="48" t="str">
        <f t="shared" si="6"/>
        <v/>
      </c>
    </row>
    <row r="80" spans="1:5" ht="11.75" customHeight="1" x14ac:dyDescent="0.2">
      <c r="A80" s="37" t="s">
        <v>186</v>
      </c>
      <c r="B80" s="46">
        <f>(B78)+(B79)</f>
        <v>2000</v>
      </c>
      <c r="C80" s="46">
        <f>(C78)+(C79)</f>
        <v>0</v>
      </c>
      <c r="D80" s="46">
        <f t="shared" si="5"/>
        <v>2000</v>
      </c>
      <c r="E80" s="49" t="str">
        <f t="shared" si="6"/>
        <v/>
      </c>
    </row>
    <row r="81" spans="1:5" ht="11.75" customHeight="1" x14ac:dyDescent="0.2">
      <c r="A81" s="37" t="s">
        <v>187</v>
      </c>
      <c r="B81" s="39"/>
      <c r="C81" s="39"/>
      <c r="D81" s="40">
        <f t="shared" si="5"/>
        <v>0</v>
      </c>
      <c r="E81" s="41" t="str">
        <f t="shared" si="6"/>
        <v/>
      </c>
    </row>
    <row r="82" spans="1:5" ht="11.75" customHeight="1" x14ac:dyDescent="0.2">
      <c r="A82" s="37" t="s">
        <v>188</v>
      </c>
      <c r="B82" s="39"/>
      <c r="C82" s="40">
        <f t="shared" si="2"/>
        <v>500</v>
      </c>
      <c r="D82" s="40">
        <f t="shared" si="5"/>
        <v>-500</v>
      </c>
      <c r="E82" s="42">
        <f t="shared" si="6"/>
        <v>0</v>
      </c>
    </row>
    <row r="83" spans="1:5" ht="11.75" customHeight="1" x14ac:dyDescent="0.2">
      <c r="A83" s="37" t="s">
        <v>189</v>
      </c>
      <c r="B83" s="39"/>
      <c r="C83" s="40">
        <f t="shared" ref="C83:C139" si="11">1500</f>
        <v>1500</v>
      </c>
      <c r="D83" s="40">
        <f t="shared" si="5"/>
        <v>-1500</v>
      </c>
      <c r="E83" s="42">
        <f t="shared" si="6"/>
        <v>0</v>
      </c>
    </row>
    <row r="84" spans="1:5" ht="11.75" customHeight="1" x14ac:dyDescent="0.2">
      <c r="A84" s="37" t="s">
        <v>190</v>
      </c>
      <c r="B84" s="40">
        <f>1309.83</f>
        <v>1309.83</v>
      </c>
      <c r="C84" s="40">
        <f t="shared" si="3"/>
        <v>5000</v>
      </c>
      <c r="D84" s="40">
        <f t="shared" si="5"/>
        <v>-3690.17</v>
      </c>
      <c r="E84" s="42">
        <f t="shared" si="6"/>
        <v>0.26196599999999998</v>
      </c>
    </row>
    <row r="85" spans="1:5" ht="11.75" customHeight="1" x14ac:dyDescent="0.2">
      <c r="A85" s="37" t="s">
        <v>146</v>
      </c>
      <c r="B85" s="44">
        <f t="shared" si="3"/>
        <v>5000</v>
      </c>
      <c r="C85" s="43"/>
      <c r="D85" s="44">
        <f t="shared" si="5"/>
        <v>5000</v>
      </c>
      <c r="E85" s="48" t="str">
        <f t="shared" si="6"/>
        <v/>
      </c>
    </row>
    <row r="86" spans="1:5" ht="11.75" customHeight="1" x14ac:dyDescent="0.2">
      <c r="A86" s="37" t="s">
        <v>191</v>
      </c>
      <c r="B86" s="46">
        <f>(B84)+(B85)</f>
        <v>6309.83</v>
      </c>
      <c r="C86" s="46">
        <f>(C84)+(C85)</f>
        <v>5000</v>
      </c>
      <c r="D86" s="46">
        <f t="shared" si="5"/>
        <v>1309.83</v>
      </c>
      <c r="E86" s="47">
        <f t="shared" si="6"/>
        <v>1.2619659999999999</v>
      </c>
    </row>
    <row r="87" spans="1:5" ht="11.75" customHeight="1" x14ac:dyDescent="0.2">
      <c r="A87" s="37" t="s">
        <v>192</v>
      </c>
      <c r="B87" s="39"/>
      <c r="C87" s="40">
        <f t="shared" ref="C87:C135" si="12">100</f>
        <v>100</v>
      </c>
      <c r="D87" s="40">
        <f t="shared" ref="D87:D118" si="13">(B87)-(C87)</f>
        <v>-100</v>
      </c>
      <c r="E87" s="42">
        <f t="shared" ref="E87:E118" si="14">IF(C87=0,"",(B87)/(C87))</f>
        <v>0</v>
      </c>
    </row>
    <row r="88" spans="1:5" ht="11.75" customHeight="1" x14ac:dyDescent="0.2">
      <c r="A88" s="37" t="s">
        <v>193</v>
      </c>
      <c r="B88" s="40">
        <f>2323.44</f>
        <v>2323.44</v>
      </c>
      <c r="C88" s="40">
        <f>6000</f>
        <v>6000</v>
      </c>
      <c r="D88" s="40">
        <f t="shared" si="13"/>
        <v>-3676.56</v>
      </c>
      <c r="E88" s="42">
        <f t="shared" si="14"/>
        <v>0.38724000000000003</v>
      </c>
    </row>
    <row r="89" spans="1:5" ht="11.75" customHeight="1" x14ac:dyDescent="0.2">
      <c r="A89" s="37" t="s">
        <v>194</v>
      </c>
      <c r="B89" s="39"/>
      <c r="C89" s="40">
        <f t="shared" ref="C89:C94" si="15">1000</f>
        <v>1000</v>
      </c>
      <c r="D89" s="40">
        <f t="shared" si="13"/>
        <v>-1000</v>
      </c>
      <c r="E89" s="42">
        <f t="shared" si="14"/>
        <v>0</v>
      </c>
    </row>
    <row r="90" spans="1:5" ht="11.75" customHeight="1" x14ac:dyDescent="0.2">
      <c r="A90" s="37" t="s">
        <v>195</v>
      </c>
      <c r="B90" s="39"/>
      <c r="C90" s="40">
        <f>450</f>
        <v>450</v>
      </c>
      <c r="D90" s="40">
        <f t="shared" si="13"/>
        <v>-450</v>
      </c>
      <c r="E90" s="42">
        <f t="shared" si="14"/>
        <v>0</v>
      </c>
    </row>
    <row r="91" spans="1:5" ht="11.75" customHeight="1" x14ac:dyDescent="0.2">
      <c r="A91" s="37" t="s">
        <v>196</v>
      </c>
      <c r="B91" s="39"/>
      <c r="C91" s="40">
        <f t="shared" si="2"/>
        <v>500</v>
      </c>
      <c r="D91" s="40">
        <f t="shared" si="13"/>
        <v>-500</v>
      </c>
      <c r="E91" s="42">
        <f t="shared" si="14"/>
        <v>0</v>
      </c>
    </row>
    <row r="92" spans="1:5" ht="11.75" customHeight="1" x14ac:dyDescent="0.2">
      <c r="A92" s="37" t="s">
        <v>197</v>
      </c>
      <c r="B92" s="39"/>
      <c r="C92" s="40">
        <f t="shared" si="10"/>
        <v>2000</v>
      </c>
      <c r="D92" s="40">
        <f t="shared" si="13"/>
        <v>-2000</v>
      </c>
      <c r="E92" s="42">
        <f t="shared" si="14"/>
        <v>0</v>
      </c>
    </row>
    <row r="93" spans="1:5" ht="11.75" customHeight="1" x14ac:dyDescent="0.2">
      <c r="A93" s="37" t="s">
        <v>198</v>
      </c>
      <c r="B93" s="40">
        <f>12841.5</f>
        <v>12841.5</v>
      </c>
      <c r="C93" s="39"/>
      <c r="D93" s="40">
        <f t="shared" si="13"/>
        <v>12841.5</v>
      </c>
      <c r="E93" s="41" t="str">
        <f t="shared" si="14"/>
        <v/>
      </c>
    </row>
    <row r="94" spans="1:5" ht="11.75" customHeight="1" x14ac:dyDescent="0.2">
      <c r="A94" s="37" t="s">
        <v>199</v>
      </c>
      <c r="B94" s="39"/>
      <c r="C94" s="40">
        <f t="shared" si="15"/>
        <v>1000</v>
      </c>
      <c r="D94" s="40">
        <f t="shared" si="13"/>
        <v>-1000</v>
      </c>
      <c r="E94" s="42">
        <f t="shared" si="14"/>
        <v>0</v>
      </c>
    </row>
    <row r="95" spans="1:5" ht="11.75" customHeight="1" x14ac:dyDescent="0.2">
      <c r="A95" s="37" t="s">
        <v>200</v>
      </c>
      <c r="B95" s="43"/>
      <c r="C95" s="44">
        <f t="shared" si="11"/>
        <v>1500</v>
      </c>
      <c r="D95" s="44">
        <f t="shared" si="13"/>
        <v>-1500</v>
      </c>
      <c r="E95" s="45">
        <f t="shared" si="14"/>
        <v>0</v>
      </c>
    </row>
    <row r="96" spans="1:5" ht="11.75" customHeight="1" x14ac:dyDescent="0.2">
      <c r="A96" s="37" t="s">
        <v>201</v>
      </c>
      <c r="B96" s="46">
        <f>((((((((((((B81)+(B82))+(B83))+(B86))+(B87))+(B88))+(B89))+(B90))+(B91))+(B92))+(B93))+(B94))+(B95)</f>
        <v>21474.77</v>
      </c>
      <c r="C96" s="46">
        <f>((((((((((((C81)+(C82))+(C83))+(C86))+(C87))+(C88))+(C89))+(C90))+(C91))+(C92))+(C93))+(C94))+(C95)</f>
        <v>19550</v>
      </c>
      <c r="D96" s="46">
        <f t="shared" si="13"/>
        <v>1924.7700000000004</v>
      </c>
      <c r="E96" s="47">
        <f t="shared" si="14"/>
        <v>1.0984537084398978</v>
      </c>
    </row>
    <row r="97" spans="1:5" ht="11.75" customHeight="1" x14ac:dyDescent="0.2">
      <c r="A97" s="37" t="s">
        <v>202</v>
      </c>
      <c r="B97" s="39"/>
      <c r="C97" s="39"/>
      <c r="D97" s="40">
        <f t="shared" si="13"/>
        <v>0</v>
      </c>
      <c r="E97" s="41" t="str">
        <f t="shared" si="14"/>
        <v/>
      </c>
    </row>
    <row r="98" spans="1:5" ht="11.75" customHeight="1" x14ac:dyDescent="0.2">
      <c r="A98" s="37" t="s">
        <v>203</v>
      </c>
      <c r="B98" s="39"/>
      <c r="C98" s="39"/>
      <c r="D98" s="40">
        <f t="shared" si="13"/>
        <v>0</v>
      </c>
      <c r="E98" s="41" t="str">
        <f t="shared" si="14"/>
        <v/>
      </c>
    </row>
    <row r="99" spans="1:5" ht="11.75" customHeight="1" x14ac:dyDescent="0.2">
      <c r="A99" s="37" t="s">
        <v>204</v>
      </c>
      <c r="B99" s="40">
        <f>41204.05</f>
        <v>41204.050000000003</v>
      </c>
      <c r="C99" s="40">
        <f>52600</f>
        <v>52600</v>
      </c>
      <c r="D99" s="40">
        <f t="shared" si="13"/>
        <v>-11395.949999999997</v>
      </c>
      <c r="E99" s="42">
        <f t="shared" si="14"/>
        <v>0.78334695817490496</v>
      </c>
    </row>
    <row r="100" spans="1:5" ht="11.75" customHeight="1" x14ac:dyDescent="0.2">
      <c r="A100" s="37" t="s">
        <v>205</v>
      </c>
      <c r="B100" s="44">
        <f>12186.04</f>
        <v>12186.04</v>
      </c>
      <c r="C100" s="44">
        <f>28080</f>
        <v>28080</v>
      </c>
      <c r="D100" s="44">
        <f t="shared" si="13"/>
        <v>-15893.96</v>
      </c>
      <c r="E100" s="45">
        <f t="shared" si="14"/>
        <v>0.43397578347578353</v>
      </c>
    </row>
    <row r="101" spans="1:5" ht="11.75" customHeight="1" x14ac:dyDescent="0.2">
      <c r="A101" s="37" t="s">
        <v>206</v>
      </c>
      <c r="B101" s="46">
        <f>((B98)+(B99))+(B100)</f>
        <v>53390.090000000004</v>
      </c>
      <c r="C101" s="46">
        <f>((C98)+(C99))+(C100)</f>
        <v>80680</v>
      </c>
      <c r="D101" s="46">
        <f t="shared" si="13"/>
        <v>-27289.909999999996</v>
      </c>
      <c r="E101" s="47">
        <f t="shared" si="14"/>
        <v>0.66175123946455139</v>
      </c>
    </row>
    <row r="102" spans="1:5" ht="11.75" customHeight="1" x14ac:dyDescent="0.2">
      <c r="A102" s="37" t="s">
        <v>207</v>
      </c>
      <c r="B102" s="39"/>
      <c r="C102" s="39"/>
      <c r="D102" s="40">
        <f t="shared" si="13"/>
        <v>0</v>
      </c>
      <c r="E102" s="41" t="str">
        <f t="shared" si="14"/>
        <v/>
      </c>
    </row>
    <row r="103" spans="1:5" ht="11.75" customHeight="1" x14ac:dyDescent="0.2">
      <c r="A103" s="37" t="s">
        <v>204</v>
      </c>
      <c r="B103" s="40">
        <f>2010.81</f>
        <v>2010.81</v>
      </c>
      <c r="C103" s="40">
        <f>4024</f>
        <v>4024</v>
      </c>
      <c r="D103" s="40">
        <f t="shared" si="13"/>
        <v>-2013.19</v>
      </c>
      <c r="E103" s="42">
        <f t="shared" si="14"/>
        <v>0.49970427435387671</v>
      </c>
    </row>
    <row r="104" spans="1:5" ht="11.75" customHeight="1" x14ac:dyDescent="0.2">
      <c r="A104" s="37" t="s">
        <v>205</v>
      </c>
      <c r="B104" s="44">
        <f>974.65</f>
        <v>974.65</v>
      </c>
      <c r="C104" s="44">
        <f>2148</f>
        <v>2148</v>
      </c>
      <c r="D104" s="44">
        <f t="shared" si="13"/>
        <v>-1173.3499999999999</v>
      </c>
      <c r="E104" s="45">
        <f t="shared" si="14"/>
        <v>0.45374767225325885</v>
      </c>
    </row>
    <row r="105" spans="1:5" ht="11.75" customHeight="1" x14ac:dyDescent="0.2">
      <c r="A105" s="37" t="s">
        <v>208</v>
      </c>
      <c r="B105" s="46">
        <f>((B102)+(B103))+(B104)</f>
        <v>2985.46</v>
      </c>
      <c r="C105" s="46">
        <f>((C102)+(C103))+(C104)</f>
        <v>6172</v>
      </c>
      <c r="D105" s="46">
        <f t="shared" si="13"/>
        <v>-3186.54</v>
      </c>
      <c r="E105" s="47">
        <f t="shared" si="14"/>
        <v>0.48371030460142578</v>
      </c>
    </row>
    <row r="106" spans="1:5" ht="11.75" customHeight="1" x14ac:dyDescent="0.2">
      <c r="A106" s="37" t="s">
        <v>209</v>
      </c>
      <c r="B106" s="39"/>
      <c r="C106" s="39"/>
      <c r="D106" s="40">
        <f t="shared" si="13"/>
        <v>0</v>
      </c>
      <c r="E106" s="41" t="str">
        <f t="shared" si="14"/>
        <v/>
      </c>
    </row>
    <row r="107" spans="1:5" ht="11.75" customHeight="1" x14ac:dyDescent="0.2">
      <c r="A107" s="37" t="s">
        <v>204</v>
      </c>
      <c r="B107" s="44">
        <f>14580</f>
        <v>14580</v>
      </c>
      <c r="C107" s="44">
        <f>32400</f>
        <v>32400</v>
      </c>
      <c r="D107" s="44">
        <f t="shared" si="13"/>
        <v>-17820</v>
      </c>
      <c r="E107" s="45">
        <f t="shared" si="14"/>
        <v>0.45</v>
      </c>
    </row>
    <row r="108" spans="1:5" ht="11.75" customHeight="1" x14ac:dyDescent="0.2">
      <c r="A108" s="37" t="s">
        <v>210</v>
      </c>
      <c r="B108" s="46">
        <f>(B106)+(B107)</f>
        <v>14580</v>
      </c>
      <c r="C108" s="46">
        <f>(C106)+(C107)</f>
        <v>32400</v>
      </c>
      <c r="D108" s="46">
        <f t="shared" si="13"/>
        <v>-17820</v>
      </c>
      <c r="E108" s="47">
        <f t="shared" si="14"/>
        <v>0.45</v>
      </c>
    </row>
    <row r="109" spans="1:5" ht="11.75" customHeight="1" x14ac:dyDescent="0.2">
      <c r="A109" s="37" t="s">
        <v>211</v>
      </c>
      <c r="B109" s="39"/>
      <c r="C109" s="39"/>
      <c r="D109" s="40">
        <f t="shared" si="13"/>
        <v>0</v>
      </c>
      <c r="E109" s="41" t="str">
        <f t="shared" si="14"/>
        <v/>
      </c>
    </row>
    <row r="110" spans="1:5" ht="11.75" customHeight="1" x14ac:dyDescent="0.2">
      <c r="A110" s="37" t="s">
        <v>204</v>
      </c>
      <c r="B110" s="43"/>
      <c r="C110" s="44">
        <f t="shared" si="10"/>
        <v>2000</v>
      </c>
      <c r="D110" s="44">
        <f t="shared" si="13"/>
        <v>-2000</v>
      </c>
      <c r="E110" s="45">
        <f t="shared" si="14"/>
        <v>0</v>
      </c>
    </row>
    <row r="111" spans="1:5" ht="11.75" customHeight="1" x14ac:dyDescent="0.2">
      <c r="A111" s="37" t="s">
        <v>212</v>
      </c>
      <c r="B111" s="46">
        <f>(B109)+(B110)</f>
        <v>0</v>
      </c>
      <c r="C111" s="46">
        <f>(C109)+(C110)</f>
        <v>2000</v>
      </c>
      <c r="D111" s="46">
        <f t="shared" si="13"/>
        <v>-2000</v>
      </c>
      <c r="E111" s="47">
        <f t="shared" si="14"/>
        <v>0</v>
      </c>
    </row>
    <row r="112" spans="1:5" ht="11.75" customHeight="1" x14ac:dyDescent="0.2">
      <c r="A112" s="37" t="s">
        <v>213</v>
      </c>
      <c r="B112" s="39"/>
      <c r="C112" s="39"/>
      <c r="D112" s="40">
        <f t="shared" si="13"/>
        <v>0</v>
      </c>
      <c r="E112" s="41" t="str">
        <f t="shared" si="14"/>
        <v/>
      </c>
    </row>
    <row r="113" spans="1:5" ht="11.75" customHeight="1" x14ac:dyDescent="0.2">
      <c r="A113" s="37" t="s">
        <v>204</v>
      </c>
      <c r="B113" s="40">
        <f>2106.76</f>
        <v>2106.7600000000002</v>
      </c>
      <c r="C113" s="40">
        <f>3000</f>
        <v>3000</v>
      </c>
      <c r="D113" s="40">
        <f t="shared" si="13"/>
        <v>-893.23999999999978</v>
      </c>
      <c r="E113" s="42">
        <f t="shared" si="14"/>
        <v>0.7022533333333334</v>
      </c>
    </row>
    <row r="114" spans="1:5" ht="11.75" customHeight="1" x14ac:dyDescent="0.2">
      <c r="A114" s="37" t="s">
        <v>214</v>
      </c>
      <c r="B114" s="44">
        <f>495.74</f>
        <v>495.74</v>
      </c>
      <c r="C114" s="44">
        <f>1800</f>
        <v>1800</v>
      </c>
      <c r="D114" s="44">
        <f t="shared" si="13"/>
        <v>-1304.26</v>
      </c>
      <c r="E114" s="45">
        <f t="shared" si="14"/>
        <v>0.27541111111111111</v>
      </c>
    </row>
    <row r="115" spans="1:5" ht="11.75" customHeight="1" x14ac:dyDescent="0.2">
      <c r="A115" s="37" t="s">
        <v>215</v>
      </c>
      <c r="B115" s="46">
        <f>((B112)+(B113))+(B114)</f>
        <v>2602.5</v>
      </c>
      <c r="C115" s="46">
        <f>((C112)+(C113))+(C114)</f>
        <v>4800</v>
      </c>
      <c r="D115" s="46">
        <f t="shared" si="13"/>
        <v>-2197.5</v>
      </c>
      <c r="E115" s="47">
        <f t="shared" si="14"/>
        <v>0.54218750000000004</v>
      </c>
    </row>
    <row r="116" spans="1:5" ht="11.75" customHeight="1" x14ac:dyDescent="0.2">
      <c r="A116" s="37" t="s">
        <v>216</v>
      </c>
      <c r="B116" s="39"/>
      <c r="C116" s="39"/>
      <c r="D116" s="40">
        <f t="shared" si="13"/>
        <v>0</v>
      </c>
      <c r="E116" s="41" t="str">
        <f t="shared" si="14"/>
        <v/>
      </c>
    </row>
    <row r="117" spans="1:5" ht="11.75" customHeight="1" x14ac:dyDescent="0.2">
      <c r="A117" s="37" t="s">
        <v>204</v>
      </c>
      <c r="B117" s="40">
        <f>2204.07</f>
        <v>2204.0700000000002</v>
      </c>
      <c r="C117" s="40">
        <f t="shared" si="10"/>
        <v>2000</v>
      </c>
      <c r="D117" s="40">
        <f t="shared" si="13"/>
        <v>204.07000000000016</v>
      </c>
      <c r="E117" s="42">
        <f t="shared" si="14"/>
        <v>1.1020350000000001</v>
      </c>
    </row>
    <row r="118" spans="1:5" ht="11.75" customHeight="1" x14ac:dyDescent="0.2">
      <c r="A118" s="37" t="s">
        <v>214</v>
      </c>
      <c r="B118" s="44">
        <f>1220</f>
        <v>1220</v>
      </c>
      <c r="C118" s="44">
        <f t="shared" ref="C118:C145" si="16">200</f>
        <v>200</v>
      </c>
      <c r="D118" s="44">
        <f t="shared" si="13"/>
        <v>1020</v>
      </c>
      <c r="E118" s="45">
        <f t="shared" si="14"/>
        <v>6.1</v>
      </c>
    </row>
    <row r="119" spans="1:5" ht="11.75" customHeight="1" x14ac:dyDescent="0.2">
      <c r="A119" s="37" t="s">
        <v>217</v>
      </c>
      <c r="B119" s="46">
        <f>((B116)+(B117))+(B118)</f>
        <v>3424.07</v>
      </c>
      <c r="C119" s="46">
        <f>((C116)+(C117))+(C118)</f>
        <v>2200</v>
      </c>
      <c r="D119" s="46">
        <f t="shared" ref="D119:D150" si="17">(B119)-(C119)</f>
        <v>1224.0700000000002</v>
      </c>
      <c r="E119" s="47">
        <f t="shared" ref="E119:E149" si="18">IF(C119=0,"",(B119)/(C119))</f>
        <v>1.5563954545454546</v>
      </c>
    </row>
    <row r="120" spans="1:5" ht="11.75" customHeight="1" x14ac:dyDescent="0.2">
      <c r="A120" s="37" t="s">
        <v>218</v>
      </c>
      <c r="B120" s="40">
        <f>200.59</f>
        <v>200.59</v>
      </c>
      <c r="C120" s="39"/>
      <c r="D120" s="40">
        <f t="shared" si="17"/>
        <v>200.59</v>
      </c>
      <c r="E120" s="41" t="str">
        <f t="shared" si="18"/>
        <v/>
      </c>
    </row>
    <row r="121" spans="1:5" ht="11.75" customHeight="1" x14ac:dyDescent="0.2">
      <c r="A121" s="37" t="s">
        <v>214</v>
      </c>
      <c r="B121" s="44">
        <f>-1.3</f>
        <v>-1.3</v>
      </c>
      <c r="C121" s="43"/>
      <c r="D121" s="44">
        <f t="shared" si="17"/>
        <v>-1.3</v>
      </c>
      <c r="E121" s="48" t="str">
        <f t="shared" si="18"/>
        <v/>
      </c>
    </row>
    <row r="122" spans="1:5" ht="11.75" customHeight="1" x14ac:dyDescent="0.2">
      <c r="A122" s="37" t="s">
        <v>219</v>
      </c>
      <c r="B122" s="46">
        <f>(B120)+(B121)</f>
        <v>199.29</v>
      </c>
      <c r="C122" s="46">
        <f>(C120)+(C121)</f>
        <v>0</v>
      </c>
      <c r="D122" s="46">
        <f t="shared" si="17"/>
        <v>199.29</v>
      </c>
      <c r="E122" s="49" t="str">
        <f t="shared" si="18"/>
        <v/>
      </c>
    </row>
    <row r="123" spans="1:5" ht="11.75" customHeight="1" x14ac:dyDescent="0.2">
      <c r="A123" s="37" t="s">
        <v>220</v>
      </c>
      <c r="B123" s="39"/>
      <c r="C123" s="39"/>
      <c r="D123" s="40">
        <f t="shared" si="17"/>
        <v>0</v>
      </c>
      <c r="E123" s="41" t="str">
        <f t="shared" si="18"/>
        <v/>
      </c>
    </row>
    <row r="124" spans="1:5" ht="11.75" customHeight="1" x14ac:dyDescent="0.2">
      <c r="A124" s="37" t="s">
        <v>204</v>
      </c>
      <c r="B124" s="43"/>
      <c r="C124" s="44">
        <f t="shared" si="11"/>
        <v>1500</v>
      </c>
      <c r="D124" s="44">
        <f t="shared" si="17"/>
        <v>-1500</v>
      </c>
      <c r="E124" s="45">
        <f t="shared" si="18"/>
        <v>0</v>
      </c>
    </row>
    <row r="125" spans="1:5" ht="11.75" customHeight="1" x14ac:dyDescent="0.2">
      <c r="A125" s="37" t="s">
        <v>221</v>
      </c>
      <c r="B125" s="46">
        <f>(B123)+(B124)</f>
        <v>0</v>
      </c>
      <c r="C125" s="46">
        <f>(C123)+(C124)</f>
        <v>1500</v>
      </c>
      <c r="D125" s="46">
        <f t="shared" si="17"/>
        <v>-1500</v>
      </c>
      <c r="E125" s="47">
        <f t="shared" si="18"/>
        <v>0</v>
      </c>
    </row>
    <row r="126" spans="1:5" ht="11.75" customHeight="1" x14ac:dyDescent="0.2">
      <c r="A126" s="37" t="s">
        <v>222</v>
      </c>
      <c r="B126" s="39"/>
      <c r="C126" s="39"/>
      <c r="D126" s="40">
        <f t="shared" si="17"/>
        <v>0</v>
      </c>
      <c r="E126" s="41" t="str">
        <f t="shared" si="18"/>
        <v/>
      </c>
    </row>
    <row r="127" spans="1:5" ht="11.75" customHeight="1" x14ac:dyDescent="0.2">
      <c r="A127" s="37" t="s">
        <v>204</v>
      </c>
      <c r="B127" s="44">
        <f>5100</f>
        <v>5100</v>
      </c>
      <c r="C127" s="44">
        <f>10200</f>
        <v>10200</v>
      </c>
      <c r="D127" s="44">
        <f t="shared" si="17"/>
        <v>-5100</v>
      </c>
      <c r="E127" s="45">
        <f t="shared" si="18"/>
        <v>0.5</v>
      </c>
    </row>
    <row r="128" spans="1:5" ht="11.75" customHeight="1" x14ac:dyDescent="0.2">
      <c r="A128" s="37" t="s">
        <v>223</v>
      </c>
      <c r="B128" s="50">
        <f>(B126)+(B127)</f>
        <v>5100</v>
      </c>
      <c r="C128" s="50">
        <f>(C126)+(C127)</f>
        <v>10200</v>
      </c>
      <c r="D128" s="50">
        <f t="shared" si="17"/>
        <v>-5100</v>
      </c>
      <c r="E128" s="52">
        <f t="shared" si="18"/>
        <v>0.5</v>
      </c>
    </row>
    <row r="129" spans="1:5" ht="11.75" customHeight="1" x14ac:dyDescent="0.2">
      <c r="A129" s="37" t="s">
        <v>224</v>
      </c>
      <c r="B129" s="46">
        <f>(((((((((B97)+(B101))+(B105))+(B108))+(B111))+(B115))+(B119))+(B122))+(B125))+(B128)</f>
        <v>82281.41</v>
      </c>
      <c r="C129" s="46">
        <f>(((((((((C97)+(C101))+(C105))+(C108))+(C111))+(C115))+(C119))+(C122))+(C125))+(C128)</f>
        <v>139952</v>
      </c>
      <c r="D129" s="46">
        <f t="shared" si="17"/>
        <v>-57670.59</v>
      </c>
      <c r="E129" s="47">
        <f t="shared" si="18"/>
        <v>0.58792593174802787</v>
      </c>
    </row>
    <row r="130" spans="1:5" ht="11.75" customHeight="1" x14ac:dyDescent="0.2">
      <c r="A130" s="37" t="s">
        <v>225</v>
      </c>
      <c r="B130" s="39"/>
      <c r="C130" s="39"/>
      <c r="D130" s="40">
        <f t="shared" si="17"/>
        <v>0</v>
      </c>
      <c r="E130" s="41" t="str">
        <f t="shared" si="18"/>
        <v/>
      </c>
    </row>
    <row r="131" spans="1:5" ht="11.75" customHeight="1" x14ac:dyDescent="0.2">
      <c r="A131" s="37" t="s">
        <v>226</v>
      </c>
      <c r="B131" s="40">
        <f>1795.61</f>
        <v>1795.61</v>
      </c>
      <c r="C131" s="40">
        <f>800</f>
        <v>800</v>
      </c>
      <c r="D131" s="40">
        <f t="shared" si="17"/>
        <v>995.6099999999999</v>
      </c>
      <c r="E131" s="42">
        <f t="shared" si="18"/>
        <v>2.2445124999999999</v>
      </c>
    </row>
    <row r="132" spans="1:5" ht="11.75" customHeight="1" x14ac:dyDescent="0.2">
      <c r="A132" s="37" t="s">
        <v>227</v>
      </c>
      <c r="B132" s="40">
        <f>700</f>
        <v>700</v>
      </c>
      <c r="C132" s="40">
        <f>1200</f>
        <v>1200</v>
      </c>
      <c r="D132" s="40">
        <f t="shared" si="17"/>
        <v>-500</v>
      </c>
      <c r="E132" s="42">
        <f t="shared" si="18"/>
        <v>0.58333333333333337</v>
      </c>
    </row>
    <row r="133" spans="1:5" ht="11.75" customHeight="1" x14ac:dyDescent="0.2">
      <c r="A133" s="37" t="s">
        <v>228</v>
      </c>
      <c r="B133" s="40">
        <f>227.91</f>
        <v>227.91</v>
      </c>
      <c r="C133" s="40">
        <f t="shared" si="2"/>
        <v>500</v>
      </c>
      <c r="D133" s="40">
        <f t="shared" si="17"/>
        <v>-272.09000000000003</v>
      </c>
      <c r="E133" s="42">
        <f t="shared" si="18"/>
        <v>0.45582</v>
      </c>
    </row>
    <row r="134" spans="1:5" ht="11.75" customHeight="1" x14ac:dyDescent="0.2">
      <c r="A134" s="37" t="s">
        <v>229</v>
      </c>
      <c r="B134" s="40">
        <f>1706.52</f>
        <v>1706.52</v>
      </c>
      <c r="C134" s="40">
        <f t="shared" ref="C134:C142" si="19">3500</f>
        <v>3500</v>
      </c>
      <c r="D134" s="40">
        <f t="shared" si="17"/>
        <v>-1793.48</v>
      </c>
      <c r="E134" s="42">
        <f t="shared" si="18"/>
        <v>0.48757714285714288</v>
      </c>
    </row>
    <row r="135" spans="1:5" ht="11.75" customHeight="1" x14ac:dyDescent="0.2">
      <c r="A135" s="37" t="s">
        <v>230</v>
      </c>
      <c r="B135" s="40">
        <f>389.91</f>
        <v>389.91</v>
      </c>
      <c r="C135" s="40">
        <f t="shared" si="12"/>
        <v>100</v>
      </c>
      <c r="D135" s="40">
        <f t="shared" si="17"/>
        <v>289.91000000000003</v>
      </c>
      <c r="E135" s="42">
        <f t="shared" si="18"/>
        <v>3.8991000000000002</v>
      </c>
    </row>
    <row r="136" spans="1:5" ht="11.75" customHeight="1" x14ac:dyDescent="0.2">
      <c r="A136" s="37" t="s">
        <v>231</v>
      </c>
      <c r="B136" s="39"/>
      <c r="C136" s="40">
        <f>250</f>
        <v>250</v>
      </c>
      <c r="D136" s="40">
        <f t="shared" si="17"/>
        <v>-250</v>
      </c>
      <c r="E136" s="42">
        <f t="shared" si="18"/>
        <v>0</v>
      </c>
    </row>
    <row r="137" spans="1:5" ht="11.75" customHeight="1" x14ac:dyDescent="0.2">
      <c r="A137" s="37" t="s">
        <v>232</v>
      </c>
      <c r="B137" s="39"/>
      <c r="C137" s="40">
        <f>7000</f>
        <v>7000</v>
      </c>
      <c r="D137" s="40">
        <f t="shared" si="17"/>
        <v>-7000</v>
      </c>
      <c r="E137" s="42">
        <f t="shared" si="18"/>
        <v>0</v>
      </c>
    </row>
    <row r="138" spans="1:5" ht="11.75" customHeight="1" x14ac:dyDescent="0.2">
      <c r="A138" s="37" t="s">
        <v>233</v>
      </c>
      <c r="B138" s="39"/>
      <c r="C138" s="40">
        <f t="shared" si="10"/>
        <v>2000</v>
      </c>
      <c r="D138" s="40">
        <f t="shared" si="17"/>
        <v>-2000</v>
      </c>
      <c r="E138" s="42">
        <f t="shared" si="18"/>
        <v>0</v>
      </c>
    </row>
    <row r="139" spans="1:5" ht="11.75" customHeight="1" x14ac:dyDescent="0.2">
      <c r="A139" s="37" t="s">
        <v>234</v>
      </c>
      <c r="B139" s="40">
        <f>1135.7</f>
        <v>1135.7</v>
      </c>
      <c r="C139" s="40">
        <f t="shared" si="11"/>
        <v>1500</v>
      </c>
      <c r="D139" s="40">
        <f t="shared" si="17"/>
        <v>-364.29999999999995</v>
      </c>
      <c r="E139" s="42">
        <f t="shared" si="18"/>
        <v>0.75713333333333332</v>
      </c>
    </row>
    <row r="140" spans="1:5" ht="11.75" customHeight="1" x14ac:dyDescent="0.2">
      <c r="A140" s="53" t="s">
        <v>235</v>
      </c>
      <c r="B140" s="54">
        <f>2650</f>
        <v>2650</v>
      </c>
      <c r="C140" s="54">
        <f>2600</f>
        <v>2600</v>
      </c>
      <c r="D140" s="54">
        <f t="shared" si="17"/>
        <v>50</v>
      </c>
      <c r="E140" s="55">
        <f t="shared" si="18"/>
        <v>1.0192307692307692</v>
      </c>
    </row>
    <row r="141" spans="1:5" ht="11.75" customHeight="1" x14ac:dyDescent="0.2">
      <c r="A141" s="56" t="s">
        <v>236</v>
      </c>
      <c r="B141" s="57">
        <f>138.5</f>
        <v>138.5</v>
      </c>
      <c r="C141" s="58"/>
      <c r="D141" s="57">
        <f t="shared" si="17"/>
        <v>138.5</v>
      </c>
      <c r="E141" s="59" t="str">
        <f t="shared" si="18"/>
        <v/>
      </c>
    </row>
    <row r="142" spans="1:5" ht="11.75" customHeight="1" x14ac:dyDescent="0.2">
      <c r="A142" s="60" t="s">
        <v>237</v>
      </c>
      <c r="B142" s="61"/>
      <c r="C142" s="62">
        <f t="shared" si="19"/>
        <v>3500</v>
      </c>
      <c r="D142" s="62">
        <f t="shared" si="17"/>
        <v>-3500</v>
      </c>
      <c r="E142" s="63">
        <f t="shared" si="18"/>
        <v>0</v>
      </c>
    </row>
    <row r="143" spans="1:5" ht="11.75" customHeight="1" x14ac:dyDescent="0.2">
      <c r="A143" s="37" t="s">
        <v>238</v>
      </c>
      <c r="B143" s="40">
        <f>5087.6</f>
        <v>5087.6000000000004</v>
      </c>
      <c r="C143" s="40">
        <f>10000</f>
        <v>10000</v>
      </c>
      <c r="D143" s="40">
        <f t="shared" si="17"/>
        <v>-4912.3999999999996</v>
      </c>
      <c r="E143" s="42">
        <f t="shared" si="18"/>
        <v>0.50875999999999999</v>
      </c>
    </row>
    <row r="144" spans="1:5" ht="11.75" customHeight="1" x14ac:dyDescent="0.2">
      <c r="A144" s="37" t="s">
        <v>239</v>
      </c>
      <c r="B144" s="40">
        <f>9500</f>
        <v>9500</v>
      </c>
      <c r="C144" s="40">
        <f>14800</f>
        <v>14800</v>
      </c>
      <c r="D144" s="40">
        <f t="shared" si="17"/>
        <v>-5300</v>
      </c>
      <c r="E144" s="42">
        <f t="shared" si="18"/>
        <v>0.64189189189189189</v>
      </c>
    </row>
    <row r="145" spans="1:5" ht="11.75" customHeight="1" x14ac:dyDescent="0.2">
      <c r="A145" s="37" t="s">
        <v>240</v>
      </c>
      <c r="B145" s="43"/>
      <c r="C145" s="44">
        <f t="shared" si="16"/>
        <v>200</v>
      </c>
      <c r="D145" s="44">
        <f t="shared" si="17"/>
        <v>-200</v>
      </c>
      <c r="E145" s="45">
        <f t="shared" si="18"/>
        <v>0</v>
      </c>
    </row>
    <row r="146" spans="1:5" ht="11.75" customHeight="1" x14ac:dyDescent="0.2">
      <c r="A146" s="37" t="s">
        <v>241</v>
      </c>
      <c r="B146" s="46">
        <f>(((((((((((((((B130)+(B131))+(B132))+(B133))+(B134))+(B135))+(B136))+(B137))+(B138))+(B139))+(B140))+(B141))+(B142))+(B143))+(B144))+(B145)</f>
        <v>23331.75</v>
      </c>
      <c r="C146" s="46">
        <f>(((((((((((((((C130)+(C131))+(C132))+(C133))+(C134))+(C135))+(C136))+(C137))+(C138))+(C139))+(C140))+(C141))+(C142))+(C143))+(C144))+(C145)</f>
        <v>47950</v>
      </c>
      <c r="D146" s="46">
        <f t="shared" si="17"/>
        <v>-24618.25</v>
      </c>
      <c r="E146" s="47">
        <f t="shared" si="18"/>
        <v>0.48658498435870701</v>
      </c>
    </row>
    <row r="147" spans="1:5" ht="11.75" customHeight="1" x14ac:dyDescent="0.2">
      <c r="A147" s="37" t="s">
        <v>242</v>
      </c>
      <c r="B147" s="44">
        <f t="shared" si="4"/>
        <v>361919.53</v>
      </c>
      <c r="C147" s="43"/>
      <c r="D147" s="44">
        <f t="shared" si="17"/>
        <v>361919.53</v>
      </c>
      <c r="E147" s="48" t="str">
        <f t="shared" si="18"/>
        <v/>
      </c>
    </row>
    <row r="148" spans="1:5" ht="11.75" customHeight="1" x14ac:dyDescent="0.2">
      <c r="A148" s="37" t="s">
        <v>243</v>
      </c>
      <c r="B148" s="50">
        <f>(((((((((B59)+(B63))+(B66))+(B72))+(B77))+(B80))+(B96))+(B129))+(B146))+(B147)</f>
        <v>569136.95000000007</v>
      </c>
      <c r="C148" s="50">
        <f>(((((((((C59)+(C63))+(C66))+(C72))+(C77))+(C80))+(C96))+(C129))+(C146))+(C147)</f>
        <v>243780.82</v>
      </c>
      <c r="D148" s="50">
        <f t="shared" si="17"/>
        <v>325356.13000000006</v>
      </c>
      <c r="E148" s="52">
        <f t="shared" si="18"/>
        <v>2.3346256280539217</v>
      </c>
    </row>
    <row r="149" spans="1:5" ht="11.75" customHeight="1" x14ac:dyDescent="0.2">
      <c r="A149" s="37" t="s">
        <v>244</v>
      </c>
      <c r="B149" s="46">
        <f>(B53)-(B148)</f>
        <v>-110130.85000000003</v>
      </c>
      <c r="C149" s="46">
        <f>(C53)-(C148)</f>
        <v>-119955.17000000001</v>
      </c>
      <c r="D149" s="46">
        <f t="shared" si="17"/>
        <v>9824.3199999999779</v>
      </c>
      <c r="E149" s="47">
        <f t="shared" si="18"/>
        <v>0.91810007021789908</v>
      </c>
    </row>
    <row r="150" spans="1:5" ht="11.75" customHeight="1" x14ac:dyDescent="0.2">
      <c r="A150" s="37" t="s">
        <v>245</v>
      </c>
      <c r="B150" s="39"/>
      <c r="C150" s="39"/>
      <c r="D150" s="39"/>
      <c r="E150" s="39"/>
    </row>
    <row r="151" spans="1:5" ht="11.75" customHeight="1" x14ac:dyDescent="0.2">
      <c r="A151" s="37" t="s">
        <v>246</v>
      </c>
      <c r="B151" s="40">
        <f>-3514.03</f>
        <v>-3514.03</v>
      </c>
      <c r="C151" s="39"/>
      <c r="D151" s="40">
        <f t="shared" ref="D151:D168" si="20">(B151)-(C151)</f>
        <v>-3514.03</v>
      </c>
      <c r="E151" s="41" t="str">
        <f t="shared" ref="E151:E168" si="21">IF(C151=0,"",(B151)/(C151))</f>
        <v/>
      </c>
    </row>
    <row r="152" spans="1:5" ht="11.75" customHeight="1" x14ac:dyDescent="0.2">
      <c r="A152" s="37" t="s">
        <v>247</v>
      </c>
      <c r="B152" s="40">
        <f>18528.37</f>
        <v>18528.37</v>
      </c>
      <c r="C152" s="39"/>
      <c r="D152" s="40">
        <f t="shared" si="20"/>
        <v>18528.37</v>
      </c>
      <c r="E152" s="41" t="str">
        <f t="shared" si="21"/>
        <v/>
      </c>
    </row>
    <row r="153" spans="1:5" ht="11.75" customHeight="1" x14ac:dyDescent="0.2">
      <c r="A153" s="37" t="s">
        <v>248</v>
      </c>
      <c r="B153" s="40">
        <f>2021.35</f>
        <v>2021.35</v>
      </c>
      <c r="C153" s="39"/>
      <c r="D153" s="40">
        <f t="shared" si="20"/>
        <v>2021.35</v>
      </c>
      <c r="E153" s="41" t="str">
        <f t="shared" si="21"/>
        <v/>
      </c>
    </row>
    <row r="154" spans="1:5" ht="11.75" customHeight="1" x14ac:dyDescent="0.2">
      <c r="A154" s="37" t="s">
        <v>249</v>
      </c>
      <c r="B154" s="39"/>
      <c r="C154" s="39"/>
      <c r="D154" s="40">
        <f t="shared" si="20"/>
        <v>0</v>
      </c>
      <c r="E154" s="41" t="str">
        <f t="shared" si="21"/>
        <v/>
      </c>
    </row>
    <row r="155" spans="1:5" ht="11.75" customHeight="1" x14ac:dyDescent="0.2">
      <c r="A155" s="37" t="s">
        <v>250</v>
      </c>
      <c r="B155" s="44">
        <f>4726.07</f>
        <v>4726.07</v>
      </c>
      <c r="C155" s="43"/>
      <c r="D155" s="44">
        <f t="shared" si="20"/>
        <v>4726.07</v>
      </c>
      <c r="E155" s="48" t="str">
        <f t="shared" si="21"/>
        <v/>
      </c>
    </row>
    <row r="156" spans="1:5" ht="11.75" customHeight="1" x14ac:dyDescent="0.2">
      <c r="A156" s="37" t="s">
        <v>251</v>
      </c>
      <c r="B156" s="46">
        <f>(B154)+(B155)</f>
        <v>4726.07</v>
      </c>
      <c r="C156" s="46">
        <f>(C154)+(C155)</f>
        <v>0</v>
      </c>
      <c r="D156" s="46">
        <f t="shared" si="20"/>
        <v>4726.07</v>
      </c>
      <c r="E156" s="49" t="str">
        <f t="shared" si="21"/>
        <v/>
      </c>
    </row>
    <row r="157" spans="1:5" ht="11.75" customHeight="1" x14ac:dyDescent="0.2">
      <c r="A157" s="37" t="s">
        <v>252</v>
      </c>
      <c r="B157" s="40">
        <f>616</f>
        <v>616</v>
      </c>
      <c r="C157" s="39"/>
      <c r="D157" s="40">
        <f t="shared" si="20"/>
        <v>616</v>
      </c>
      <c r="E157" s="41" t="str">
        <f t="shared" si="21"/>
        <v/>
      </c>
    </row>
    <row r="158" spans="1:5" ht="11.75" customHeight="1" x14ac:dyDescent="0.2">
      <c r="A158" s="37" t="s">
        <v>253</v>
      </c>
      <c r="B158" s="40">
        <f>10389.3</f>
        <v>10389.299999999999</v>
      </c>
      <c r="C158" s="39"/>
      <c r="D158" s="40">
        <f t="shared" si="20"/>
        <v>10389.299999999999</v>
      </c>
      <c r="E158" s="41" t="str">
        <f t="shared" si="21"/>
        <v/>
      </c>
    </row>
    <row r="159" spans="1:5" ht="11.75" customHeight="1" x14ac:dyDescent="0.2">
      <c r="A159" s="37" t="s">
        <v>254</v>
      </c>
      <c r="B159" s="40">
        <f>174.62</f>
        <v>174.62</v>
      </c>
      <c r="C159" s="39"/>
      <c r="D159" s="40">
        <f t="shared" si="20"/>
        <v>174.62</v>
      </c>
      <c r="E159" s="41" t="str">
        <f t="shared" si="21"/>
        <v/>
      </c>
    </row>
    <row r="160" spans="1:5" ht="11.75" customHeight="1" x14ac:dyDescent="0.2">
      <c r="A160" s="37" t="s">
        <v>255</v>
      </c>
      <c r="B160" s="39"/>
      <c r="C160" s="39"/>
      <c r="D160" s="40">
        <f t="shared" si="20"/>
        <v>0</v>
      </c>
      <c r="E160" s="41" t="str">
        <f t="shared" si="21"/>
        <v/>
      </c>
    </row>
    <row r="161" spans="1:5" ht="11.75" customHeight="1" x14ac:dyDescent="0.2">
      <c r="A161" s="37" t="s">
        <v>256</v>
      </c>
      <c r="B161" s="40">
        <f>29306.76</f>
        <v>29306.76</v>
      </c>
      <c r="C161" s="39"/>
      <c r="D161" s="40">
        <f t="shared" si="20"/>
        <v>29306.76</v>
      </c>
      <c r="E161" s="41" t="str">
        <f t="shared" si="21"/>
        <v/>
      </c>
    </row>
    <row r="162" spans="1:5" ht="11.75" customHeight="1" x14ac:dyDescent="0.2">
      <c r="A162" s="37" t="s">
        <v>257</v>
      </c>
      <c r="B162" s="40">
        <f>13116.26</f>
        <v>13116.26</v>
      </c>
      <c r="C162" s="39"/>
      <c r="D162" s="40">
        <f t="shared" si="20"/>
        <v>13116.26</v>
      </c>
      <c r="E162" s="41" t="str">
        <f t="shared" si="21"/>
        <v/>
      </c>
    </row>
    <row r="163" spans="1:5" ht="11.75" customHeight="1" x14ac:dyDescent="0.2">
      <c r="A163" s="37" t="s">
        <v>258</v>
      </c>
      <c r="B163" s="44">
        <f>4577.96</f>
        <v>4577.96</v>
      </c>
      <c r="C163" s="43"/>
      <c r="D163" s="44">
        <f t="shared" si="20"/>
        <v>4577.96</v>
      </c>
      <c r="E163" s="48" t="str">
        <f t="shared" si="21"/>
        <v/>
      </c>
    </row>
    <row r="164" spans="1:5" ht="11.75" customHeight="1" x14ac:dyDescent="0.2">
      <c r="A164" s="37" t="s">
        <v>259</v>
      </c>
      <c r="B164" s="50">
        <f>(((B160)+(B161))+(B162))+(B163)</f>
        <v>47000.979999999996</v>
      </c>
      <c r="C164" s="50">
        <f>(((C160)+(C161))+(C162))+(C163)</f>
        <v>0</v>
      </c>
      <c r="D164" s="50">
        <f t="shared" si="20"/>
        <v>47000.979999999996</v>
      </c>
      <c r="E164" s="51" t="str">
        <f t="shared" si="21"/>
        <v/>
      </c>
    </row>
    <row r="165" spans="1:5" ht="11.75" customHeight="1" x14ac:dyDescent="0.2">
      <c r="A165" s="37" t="s">
        <v>260</v>
      </c>
      <c r="B165" s="50">
        <f>(((((((B151)+(B152))+(B153))+(B156))+(B157))+(B158))+(B159))+(B164)</f>
        <v>79942.66</v>
      </c>
      <c r="C165" s="50">
        <f>(((((((C151)+(C152))+(C153))+(C156))+(C157))+(C158))+(C159))+(C164)</f>
        <v>0</v>
      </c>
      <c r="D165" s="50">
        <f t="shared" si="20"/>
        <v>79942.66</v>
      </c>
      <c r="E165" s="51" t="str">
        <f t="shared" si="21"/>
        <v/>
      </c>
    </row>
    <row r="166" spans="1:5" ht="11.75" customHeight="1" x14ac:dyDescent="0.2">
      <c r="A166" s="37" t="s">
        <v>261</v>
      </c>
      <c r="B166" s="50">
        <f>B165</f>
        <v>79942.66</v>
      </c>
      <c r="C166" s="50">
        <f>C165</f>
        <v>0</v>
      </c>
      <c r="D166" s="50">
        <f t="shared" si="20"/>
        <v>79942.66</v>
      </c>
      <c r="E166" s="51" t="str">
        <f t="shared" si="21"/>
        <v/>
      </c>
    </row>
    <row r="167" spans="1:5" ht="11.75" customHeight="1" x14ac:dyDescent="0.2">
      <c r="A167" s="37" t="s">
        <v>262</v>
      </c>
      <c r="B167" s="50">
        <f>(B166)-(0)</f>
        <v>79942.66</v>
      </c>
      <c r="C167" s="50">
        <f>(C166)-(0)</f>
        <v>0</v>
      </c>
      <c r="D167" s="50">
        <f t="shared" si="20"/>
        <v>79942.66</v>
      </c>
      <c r="E167" s="51" t="str">
        <f t="shared" si="21"/>
        <v/>
      </c>
    </row>
    <row r="168" spans="1:5" ht="11.75" customHeight="1" x14ac:dyDescent="0.2">
      <c r="A168" s="37" t="s">
        <v>263</v>
      </c>
      <c r="B168" s="46">
        <f>(B149)+(B167)</f>
        <v>-30188.190000000031</v>
      </c>
      <c r="C168" s="46">
        <f>(C149)+(C167)</f>
        <v>-119955.17000000001</v>
      </c>
      <c r="D168" s="46">
        <f t="shared" si="20"/>
        <v>89766.979999999981</v>
      </c>
      <c r="E168" s="47">
        <f t="shared" si="21"/>
        <v>0.25166226682851628</v>
      </c>
    </row>
    <row r="169" spans="1:5" ht="11.75" customHeight="1" x14ac:dyDescent="0.2">
      <c r="A169" s="64"/>
      <c r="B169" s="39"/>
      <c r="C169" s="39"/>
      <c r="D169" s="39"/>
      <c r="E169" s="39"/>
    </row>
    <row r="170" spans="1:5" ht="15.25" customHeight="1" x14ac:dyDescent="0.2">
      <c r="A170" s="32"/>
      <c r="B170" s="32"/>
      <c r="C170" s="32"/>
      <c r="D170" s="32"/>
      <c r="E170" s="32"/>
    </row>
    <row r="171" spans="1:5" ht="15.25" customHeight="1" x14ac:dyDescent="0.2">
      <c r="A171" s="32"/>
      <c r="B171" s="32"/>
      <c r="C171" s="32"/>
      <c r="D171" s="32"/>
      <c r="E171" s="32"/>
    </row>
    <row r="172" spans="1:5" ht="11.75" customHeight="1" x14ac:dyDescent="0.2">
      <c r="A172" s="73" t="s">
        <v>264</v>
      </c>
      <c r="B172" s="74"/>
      <c r="C172" s="74"/>
      <c r="D172" s="74"/>
      <c r="E172" s="74"/>
    </row>
  </sheetData>
  <mergeCells count="5">
    <mergeCell ref="B4:E4"/>
    <mergeCell ref="A172:E172"/>
    <mergeCell ref="A1:E1"/>
    <mergeCell ref="A2:E2"/>
    <mergeCell ref="A3:E3"/>
  </mergeCells>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Export Summary</vt:lpstr>
      <vt:lpstr>Budget worksheet</vt:lpstr>
      <vt:lpstr>07-24-REF-Budget vs. Actuals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2024-09-15T10:55:29Z</dcterms:created>
  <dcterms:modified xsi:type="dcterms:W3CDTF">2024-09-15T10:55:29Z</dcterms:modified>
</cp:coreProperties>
</file>