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HAO\MHAO\2020\Board Information\Financial Info\"/>
    </mc:Choice>
  </mc:AlternateContent>
  <xr:revisionPtr revIDLastSave="0" documentId="13_ncr:1_{27366342-897F-4FE3-9A41-9C163E3C42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fit and Loss by Class" sheetId="1" r:id="rId1"/>
  </sheets>
  <definedNames>
    <definedName name="_xlnm.Print_Titles" localSheetId="0">'Profit and Loss by Class'!$1:$5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7" i="1" l="1"/>
  <c r="P87" i="1" s="1"/>
  <c r="R87" i="1" s="1"/>
  <c r="Q86" i="1"/>
  <c r="Q88" i="1" s="1"/>
  <c r="O86" i="1"/>
  <c r="O88" i="1" s="1"/>
  <c r="N86" i="1"/>
  <c r="N88" i="1" s="1"/>
  <c r="M86" i="1"/>
  <c r="M88" i="1" s="1"/>
  <c r="L86" i="1"/>
  <c r="L88" i="1" s="1"/>
  <c r="K86" i="1"/>
  <c r="K88" i="1" s="1"/>
  <c r="J86" i="1"/>
  <c r="J88" i="1" s="1"/>
  <c r="I86" i="1"/>
  <c r="I88" i="1" s="1"/>
  <c r="G86" i="1"/>
  <c r="G88" i="1" s="1"/>
  <c r="F86" i="1"/>
  <c r="F88" i="1" s="1"/>
  <c r="E86" i="1"/>
  <c r="E88" i="1" s="1"/>
  <c r="D86" i="1"/>
  <c r="D88" i="1" s="1"/>
  <c r="C86" i="1"/>
  <c r="B86" i="1"/>
  <c r="B88" i="1" s="1"/>
  <c r="H85" i="1"/>
  <c r="H86" i="1" s="1"/>
  <c r="H88" i="1" s="1"/>
  <c r="P84" i="1"/>
  <c r="R84" i="1" s="1"/>
  <c r="O82" i="1"/>
  <c r="O89" i="1" s="1"/>
  <c r="P81" i="1"/>
  <c r="B81" i="1"/>
  <c r="R81" i="1" s="1"/>
  <c r="O80" i="1"/>
  <c r="N80" i="1"/>
  <c r="N82" i="1" s="1"/>
  <c r="M80" i="1"/>
  <c r="M82" i="1" s="1"/>
  <c r="M89" i="1" s="1"/>
  <c r="L80" i="1"/>
  <c r="L82" i="1" s="1"/>
  <c r="L89" i="1" s="1"/>
  <c r="K80" i="1"/>
  <c r="K82" i="1" s="1"/>
  <c r="K89" i="1" s="1"/>
  <c r="J80" i="1"/>
  <c r="J82" i="1" s="1"/>
  <c r="I80" i="1"/>
  <c r="I82" i="1" s="1"/>
  <c r="I89" i="1" s="1"/>
  <c r="H80" i="1"/>
  <c r="H82" i="1" s="1"/>
  <c r="H89" i="1" s="1"/>
  <c r="G80" i="1"/>
  <c r="G82" i="1" s="1"/>
  <c r="G89" i="1" s="1"/>
  <c r="F80" i="1"/>
  <c r="F82" i="1" s="1"/>
  <c r="E80" i="1"/>
  <c r="E82" i="1" s="1"/>
  <c r="D80" i="1"/>
  <c r="D82" i="1" s="1"/>
  <c r="D89" i="1" s="1"/>
  <c r="C80" i="1"/>
  <c r="B80" i="1"/>
  <c r="Q79" i="1"/>
  <c r="Q80" i="1" s="1"/>
  <c r="Q82" i="1" s="1"/>
  <c r="P79" i="1"/>
  <c r="P78" i="1"/>
  <c r="R78" i="1" s="1"/>
  <c r="C74" i="1"/>
  <c r="P74" i="1" s="1"/>
  <c r="R74" i="1" s="1"/>
  <c r="Q73" i="1"/>
  <c r="O73" i="1"/>
  <c r="N73" i="1"/>
  <c r="M73" i="1"/>
  <c r="K73" i="1"/>
  <c r="J73" i="1"/>
  <c r="I73" i="1"/>
  <c r="H73" i="1"/>
  <c r="G73" i="1"/>
  <c r="F73" i="1"/>
  <c r="E73" i="1"/>
  <c r="D73" i="1"/>
  <c r="C73" i="1"/>
  <c r="B73" i="1"/>
  <c r="O72" i="1"/>
  <c r="P72" i="1" s="1"/>
  <c r="R72" i="1" s="1"/>
  <c r="L71" i="1"/>
  <c r="P71" i="1" s="1"/>
  <c r="R71" i="1" s="1"/>
  <c r="P70" i="1"/>
  <c r="R70" i="1" s="1"/>
  <c r="Q69" i="1"/>
  <c r="M69" i="1"/>
  <c r="K69" i="1"/>
  <c r="I69" i="1"/>
  <c r="G69" i="1"/>
  <c r="F69" i="1"/>
  <c r="D69" i="1"/>
  <c r="B69" i="1"/>
  <c r="H68" i="1"/>
  <c r="P68" i="1" s="1"/>
  <c r="R68" i="1" s="1"/>
  <c r="E67" i="1"/>
  <c r="O66" i="1"/>
  <c r="O69" i="1" s="1"/>
  <c r="N66" i="1"/>
  <c r="L66" i="1"/>
  <c r="L69" i="1" s="1"/>
  <c r="J66" i="1"/>
  <c r="J69" i="1" s="1"/>
  <c r="H65" i="1"/>
  <c r="P65" i="1" s="1"/>
  <c r="R65" i="1" s="1"/>
  <c r="C65" i="1"/>
  <c r="H64" i="1"/>
  <c r="C63" i="1"/>
  <c r="P63" i="1" s="1"/>
  <c r="R63" i="1" s="1"/>
  <c r="N62" i="1"/>
  <c r="C62" i="1"/>
  <c r="P61" i="1"/>
  <c r="R61" i="1" s="1"/>
  <c r="Q60" i="1"/>
  <c r="O60" i="1"/>
  <c r="L60" i="1"/>
  <c r="K60" i="1"/>
  <c r="J60" i="1"/>
  <c r="I60" i="1"/>
  <c r="E60" i="1"/>
  <c r="B60" i="1"/>
  <c r="R59" i="1"/>
  <c r="P59" i="1"/>
  <c r="N59" i="1"/>
  <c r="N60" i="1" s="1"/>
  <c r="G59" i="1"/>
  <c r="G60" i="1" s="1"/>
  <c r="M58" i="1"/>
  <c r="M60" i="1" s="1"/>
  <c r="H58" i="1"/>
  <c r="C58" i="1"/>
  <c r="D57" i="1"/>
  <c r="P57" i="1" s="1"/>
  <c r="R57" i="1" s="1"/>
  <c r="P56" i="1"/>
  <c r="R56" i="1" s="1"/>
  <c r="D56" i="1"/>
  <c r="H55" i="1"/>
  <c r="F55" i="1"/>
  <c r="F60" i="1" s="1"/>
  <c r="D55" i="1"/>
  <c r="D60" i="1" s="1"/>
  <c r="C55" i="1"/>
  <c r="P54" i="1"/>
  <c r="R54" i="1" s="1"/>
  <c r="P53" i="1"/>
  <c r="R53" i="1" s="1"/>
  <c r="H53" i="1"/>
  <c r="Q52" i="1"/>
  <c r="O52" i="1"/>
  <c r="M52" i="1"/>
  <c r="L52" i="1"/>
  <c r="K52" i="1"/>
  <c r="J52" i="1"/>
  <c r="I52" i="1"/>
  <c r="G52" i="1"/>
  <c r="F52" i="1"/>
  <c r="E52" i="1"/>
  <c r="D52" i="1"/>
  <c r="C52" i="1"/>
  <c r="B52" i="1"/>
  <c r="H51" i="1"/>
  <c r="P51" i="1" s="1"/>
  <c r="R51" i="1" s="1"/>
  <c r="H50" i="1"/>
  <c r="P50" i="1" s="1"/>
  <c r="R50" i="1" s="1"/>
  <c r="N49" i="1"/>
  <c r="N52" i="1" s="1"/>
  <c r="P48" i="1"/>
  <c r="R48" i="1" s="1"/>
  <c r="Q47" i="1"/>
  <c r="O47" i="1"/>
  <c r="M47" i="1"/>
  <c r="L47" i="1"/>
  <c r="K47" i="1"/>
  <c r="J47" i="1"/>
  <c r="I47" i="1"/>
  <c r="H47" i="1"/>
  <c r="F47" i="1"/>
  <c r="E47" i="1"/>
  <c r="N46" i="1"/>
  <c r="P46" i="1" s="1"/>
  <c r="R46" i="1" s="1"/>
  <c r="N45" i="1"/>
  <c r="G45" i="1"/>
  <c r="D45" i="1"/>
  <c r="D47" i="1" s="1"/>
  <c r="C45" i="1"/>
  <c r="C47" i="1" s="1"/>
  <c r="B45" i="1"/>
  <c r="G44" i="1"/>
  <c r="P44" i="1" s="1"/>
  <c r="R44" i="1" s="1"/>
  <c r="P43" i="1"/>
  <c r="R43" i="1" s="1"/>
  <c r="C43" i="1"/>
  <c r="P42" i="1"/>
  <c r="R42" i="1" s="1"/>
  <c r="O41" i="1"/>
  <c r="N41" i="1"/>
  <c r="M41" i="1"/>
  <c r="L41" i="1"/>
  <c r="K41" i="1"/>
  <c r="J41" i="1"/>
  <c r="G41" i="1"/>
  <c r="E41" i="1"/>
  <c r="D41" i="1"/>
  <c r="F40" i="1"/>
  <c r="F41" i="1" s="1"/>
  <c r="R39" i="1"/>
  <c r="Q39" i="1"/>
  <c r="Q41" i="1" s="1"/>
  <c r="P39" i="1"/>
  <c r="H38" i="1"/>
  <c r="H41" i="1" s="1"/>
  <c r="I37" i="1"/>
  <c r="I41" i="1" s="1"/>
  <c r="I75" i="1" s="1"/>
  <c r="C37" i="1"/>
  <c r="C41" i="1" s="1"/>
  <c r="B37" i="1"/>
  <c r="B41" i="1" s="1"/>
  <c r="P36" i="1"/>
  <c r="R36" i="1" s="1"/>
  <c r="Q32" i="1"/>
  <c r="O32" i="1"/>
  <c r="N32" i="1"/>
  <c r="M32" i="1"/>
  <c r="L32" i="1"/>
  <c r="K32" i="1"/>
  <c r="J32" i="1"/>
  <c r="I32" i="1"/>
  <c r="G32" i="1"/>
  <c r="F32" i="1"/>
  <c r="E32" i="1"/>
  <c r="D32" i="1"/>
  <c r="C32" i="1"/>
  <c r="B32" i="1"/>
  <c r="H31" i="1"/>
  <c r="P30" i="1"/>
  <c r="R30" i="1" s="1"/>
  <c r="Q29" i="1"/>
  <c r="M29" i="1"/>
  <c r="J29" i="1"/>
  <c r="I29" i="1"/>
  <c r="H29" i="1"/>
  <c r="F29" i="1"/>
  <c r="E29" i="1"/>
  <c r="D29" i="1"/>
  <c r="C29" i="1"/>
  <c r="P28" i="1"/>
  <c r="R28" i="1" s="1"/>
  <c r="N28" i="1"/>
  <c r="N29" i="1" s="1"/>
  <c r="N33" i="1" s="1"/>
  <c r="N34" i="1" s="1"/>
  <c r="O27" i="1"/>
  <c r="O29" i="1" s="1"/>
  <c r="B27" i="1"/>
  <c r="P26" i="1"/>
  <c r="B26" i="1"/>
  <c r="K25" i="1"/>
  <c r="P25" i="1" s="1"/>
  <c r="R25" i="1" s="1"/>
  <c r="P24" i="1"/>
  <c r="R24" i="1" s="1"/>
  <c r="G24" i="1"/>
  <c r="G29" i="1" s="1"/>
  <c r="L23" i="1"/>
  <c r="L29" i="1" s="1"/>
  <c r="Q22" i="1"/>
  <c r="O22" i="1"/>
  <c r="N22" i="1"/>
  <c r="M22" i="1"/>
  <c r="L22" i="1"/>
  <c r="K22" i="1"/>
  <c r="J22" i="1"/>
  <c r="I22" i="1"/>
  <c r="H22" i="1"/>
  <c r="G22" i="1"/>
  <c r="F22" i="1"/>
  <c r="E22" i="1"/>
  <c r="P21" i="1"/>
  <c r="B21" i="1"/>
  <c r="C20" i="1"/>
  <c r="P20" i="1" s="1"/>
  <c r="R20" i="1" s="1"/>
  <c r="D19" i="1"/>
  <c r="D22" i="1" s="1"/>
  <c r="C19" i="1"/>
  <c r="B19" i="1"/>
  <c r="P18" i="1"/>
  <c r="B18" i="1"/>
  <c r="P17" i="1"/>
  <c r="R17" i="1" s="1"/>
  <c r="Q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C15" i="1"/>
  <c r="C16" i="1" s="1"/>
  <c r="P14" i="1"/>
  <c r="R14" i="1" s="1"/>
  <c r="R13" i="1"/>
  <c r="Q13" i="1"/>
  <c r="P13" i="1"/>
  <c r="Q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C11" i="1"/>
  <c r="P11" i="1" s="1"/>
  <c r="R11" i="1" s="1"/>
  <c r="P10" i="1"/>
  <c r="R10" i="1" s="1"/>
  <c r="Q9" i="1"/>
  <c r="Q33" i="1" s="1"/>
  <c r="Q34" i="1" s="1"/>
  <c r="O9" i="1"/>
  <c r="N9" i="1"/>
  <c r="M9" i="1"/>
  <c r="L9" i="1"/>
  <c r="L33" i="1" s="1"/>
  <c r="L34" i="1" s="1"/>
  <c r="K9" i="1"/>
  <c r="J9" i="1"/>
  <c r="I9" i="1"/>
  <c r="H9" i="1"/>
  <c r="G9" i="1"/>
  <c r="F9" i="1"/>
  <c r="E9" i="1"/>
  <c r="D9" i="1"/>
  <c r="D33" i="1" s="1"/>
  <c r="D34" i="1" s="1"/>
  <c r="B9" i="1"/>
  <c r="C8" i="1"/>
  <c r="C9" i="1" s="1"/>
  <c r="P7" i="1"/>
  <c r="R7" i="1" s="1"/>
  <c r="J75" i="1" l="1"/>
  <c r="P16" i="1"/>
  <c r="R16" i="1" s="1"/>
  <c r="I33" i="1"/>
  <c r="I34" i="1" s="1"/>
  <c r="I76" i="1" s="1"/>
  <c r="I90" i="1" s="1"/>
  <c r="P23" i="1"/>
  <c r="R23" i="1" s="1"/>
  <c r="P38" i="1"/>
  <c r="R38" i="1" s="1"/>
  <c r="F75" i="1"/>
  <c r="K75" i="1"/>
  <c r="H60" i="1"/>
  <c r="E89" i="1"/>
  <c r="O75" i="1"/>
  <c r="E33" i="1"/>
  <c r="E34" i="1" s="1"/>
  <c r="M33" i="1"/>
  <c r="M34" i="1" s="1"/>
  <c r="M76" i="1" s="1"/>
  <c r="M90" i="1" s="1"/>
  <c r="P8" i="1"/>
  <c r="R8" i="1" s="1"/>
  <c r="F33" i="1"/>
  <c r="F34" i="1" s="1"/>
  <c r="P15" i="1"/>
  <c r="R15" i="1" s="1"/>
  <c r="J33" i="1"/>
  <c r="J34" i="1" s="1"/>
  <c r="R21" i="1"/>
  <c r="M75" i="1"/>
  <c r="P58" i="1"/>
  <c r="R58" i="1" s="1"/>
  <c r="H69" i="1"/>
  <c r="F89" i="1"/>
  <c r="Q75" i="1"/>
  <c r="Q76" i="1" s="1"/>
  <c r="Q90" i="1" s="1"/>
  <c r="N47" i="1"/>
  <c r="P62" i="1"/>
  <c r="R62" i="1" s="1"/>
  <c r="P80" i="1"/>
  <c r="P9" i="1"/>
  <c r="R9" i="1" s="1"/>
  <c r="Q89" i="1"/>
  <c r="F76" i="1"/>
  <c r="F90" i="1" s="1"/>
  <c r="J76" i="1"/>
  <c r="B29" i="1"/>
  <c r="R26" i="1"/>
  <c r="P27" i="1"/>
  <c r="R27" i="1" s="1"/>
  <c r="K29" i="1"/>
  <c r="P29" i="1" s="1"/>
  <c r="H32" i="1"/>
  <c r="H33" i="1" s="1"/>
  <c r="H34" i="1" s="1"/>
  <c r="P31" i="1"/>
  <c r="R31" i="1" s="1"/>
  <c r="P40" i="1"/>
  <c r="R40" i="1" s="1"/>
  <c r="E75" i="1"/>
  <c r="E76" i="1" s="1"/>
  <c r="E90" i="1" s="1"/>
  <c r="P45" i="1"/>
  <c r="G47" i="1"/>
  <c r="C60" i="1"/>
  <c r="P55" i="1"/>
  <c r="R55" i="1" s="1"/>
  <c r="N69" i="1"/>
  <c r="P64" i="1"/>
  <c r="R64" i="1" s="1"/>
  <c r="C82" i="1"/>
  <c r="B22" i="1"/>
  <c r="R18" i="1"/>
  <c r="P41" i="1"/>
  <c r="R41" i="1" s="1"/>
  <c r="P37" i="1"/>
  <c r="R37" i="1" s="1"/>
  <c r="D75" i="1"/>
  <c r="D76" i="1" s="1"/>
  <c r="D90" i="1" s="1"/>
  <c r="B47" i="1"/>
  <c r="R45" i="1"/>
  <c r="H52" i="1"/>
  <c r="B82" i="1"/>
  <c r="J89" i="1"/>
  <c r="N89" i="1"/>
  <c r="G33" i="1"/>
  <c r="G34" i="1" s="1"/>
  <c r="O33" i="1"/>
  <c r="O34" i="1" s="1"/>
  <c r="O76" i="1" s="1"/>
  <c r="O90" i="1" s="1"/>
  <c r="C12" i="1"/>
  <c r="P12" i="1" s="1"/>
  <c r="R12" i="1" s="1"/>
  <c r="P19" i="1"/>
  <c r="R19" i="1" s="1"/>
  <c r="C22" i="1"/>
  <c r="P22" i="1" s="1"/>
  <c r="E69" i="1"/>
  <c r="P67" i="1"/>
  <c r="R67" i="1" s="1"/>
  <c r="C69" i="1"/>
  <c r="R79" i="1"/>
  <c r="P86" i="1"/>
  <c r="R86" i="1" s="1"/>
  <c r="L73" i="1"/>
  <c r="P73" i="1" s="1"/>
  <c r="R73" i="1" s="1"/>
  <c r="C88" i="1"/>
  <c r="P88" i="1" s="1"/>
  <c r="R88" i="1" s="1"/>
  <c r="P49" i="1"/>
  <c r="R49" i="1" s="1"/>
  <c r="P66" i="1"/>
  <c r="R66" i="1" s="1"/>
  <c r="R80" i="1"/>
  <c r="P85" i="1"/>
  <c r="R85" i="1" s="1"/>
  <c r="L75" i="1" l="1"/>
  <c r="L76" i="1" s="1"/>
  <c r="L90" i="1" s="1"/>
  <c r="P60" i="1"/>
  <c r="R60" i="1" s="1"/>
  <c r="K33" i="1"/>
  <c r="K34" i="1" s="1"/>
  <c r="K76" i="1" s="1"/>
  <c r="K90" i="1" s="1"/>
  <c r="P47" i="1"/>
  <c r="R47" i="1" s="1"/>
  <c r="P69" i="1"/>
  <c r="R69" i="1" s="1"/>
  <c r="H75" i="1"/>
  <c r="H76" i="1" s="1"/>
  <c r="H90" i="1" s="1"/>
  <c r="N75" i="1"/>
  <c r="N76" i="1" s="1"/>
  <c r="N90" i="1" s="1"/>
  <c r="B33" i="1"/>
  <c r="B34" i="1" s="1"/>
  <c r="C89" i="1"/>
  <c r="P89" i="1" s="1"/>
  <c r="P82" i="1"/>
  <c r="R82" i="1" s="1"/>
  <c r="B89" i="1"/>
  <c r="C33" i="1"/>
  <c r="P32" i="1"/>
  <c r="R32" i="1" s="1"/>
  <c r="C75" i="1"/>
  <c r="G75" i="1"/>
  <c r="G76" i="1" s="1"/>
  <c r="G90" i="1" s="1"/>
  <c r="R29" i="1"/>
  <c r="P52" i="1"/>
  <c r="R52" i="1" s="1"/>
  <c r="R22" i="1"/>
  <c r="J90" i="1"/>
  <c r="B75" i="1"/>
  <c r="P75" i="1" l="1"/>
  <c r="R89" i="1"/>
  <c r="R75" i="1"/>
  <c r="B76" i="1"/>
  <c r="P33" i="1"/>
  <c r="R33" i="1" s="1"/>
  <c r="C34" i="1"/>
  <c r="B90" i="1" l="1"/>
  <c r="C76" i="1"/>
  <c r="P34" i="1"/>
  <c r="R34" i="1" s="1"/>
  <c r="P76" i="1" l="1"/>
  <c r="R76" i="1" s="1"/>
  <c r="C90" i="1"/>
  <c r="P90" i="1" s="1"/>
  <c r="R90" i="1" s="1"/>
</calcChain>
</file>

<file path=xl/sharedStrings.xml><?xml version="1.0" encoding="utf-8"?>
<sst xmlns="http://schemas.openxmlformats.org/spreadsheetml/2006/main" count="106" uniqueCount="106">
  <si>
    <t>Futurity</t>
  </si>
  <si>
    <t>MHAO General</t>
  </si>
  <si>
    <t>Directory &amp; Communications</t>
  </si>
  <si>
    <t>Emergency Fund</t>
  </si>
  <si>
    <t>High Point</t>
  </si>
  <si>
    <t>Membership</t>
  </si>
  <si>
    <t>OMC</t>
  </si>
  <si>
    <t>Open Competition</t>
  </si>
  <si>
    <t>Presidents Budget</t>
  </si>
  <si>
    <t>Ride &amp; Drive Program</t>
  </si>
  <si>
    <t>Spring Clinic</t>
  </si>
  <si>
    <t>Stable Sheet</t>
  </si>
  <si>
    <t>Stallion Auction</t>
  </si>
  <si>
    <t>Year End Banquet</t>
  </si>
  <si>
    <t>Total MHAO General</t>
  </si>
  <si>
    <t>Nancy Falk Award Restricted Funds</t>
  </si>
  <si>
    <t>TOTAL</t>
  </si>
  <si>
    <t>Income</t>
  </si>
  <si>
    <t xml:space="preserve">   43300 Direct Public Grants</t>
  </si>
  <si>
    <t xml:space="preserve">      43330 Foundation and Trust Grants</t>
  </si>
  <si>
    <t xml:space="preserve">   Total 43300 Direct Public Grants</t>
  </si>
  <si>
    <t xml:space="preserve">   43400 Direct Public Support</t>
  </si>
  <si>
    <t xml:space="preserve">      43450 Donation/Sponsorship - Individual</t>
  </si>
  <si>
    <t xml:space="preserve">   Total 43400 Direct Public Support</t>
  </si>
  <si>
    <t xml:space="preserve">   44900 Restricted Funds Released</t>
  </si>
  <si>
    <t xml:space="preserve">   45000 Investments</t>
  </si>
  <si>
    <t xml:space="preserve">      45030 Interest-Savings, Short-term CD</t>
  </si>
  <si>
    <t xml:space="preserve">   Total 45000 Investments</t>
  </si>
  <si>
    <t xml:space="preserve">   46400 Other Types of Income</t>
  </si>
  <si>
    <t xml:space="preserve">      46411 Advertising Sales - Futurity</t>
  </si>
  <si>
    <t xml:space="preserve">      46413 Advertising Sales - Membership</t>
  </si>
  <si>
    <t xml:space="preserve">      46430 Miscellaneous Revenue</t>
  </si>
  <si>
    <t xml:space="preserve">      Advertising - 10% discount</t>
  </si>
  <si>
    <t xml:space="preserve">   Total 46400 Other Types of Income</t>
  </si>
  <si>
    <t xml:space="preserve">   47200 Program Income</t>
  </si>
  <si>
    <t xml:space="preserve">      47230 Membership Dues</t>
  </si>
  <si>
    <t xml:space="preserve">      47235 Ride &amp; Drive Program Enrollment</t>
  </si>
  <si>
    <t xml:space="preserve">      47242 Futurity Program Income</t>
  </si>
  <si>
    <t xml:space="preserve">      47244 Silent Auction</t>
  </si>
  <si>
    <t xml:space="preserve">      47245 Stallion Service Auction Income</t>
  </si>
  <si>
    <t xml:space="preserve">   Total 47200 Program Income</t>
  </si>
  <si>
    <t xml:space="preserve">   49000 Special Events Income</t>
  </si>
  <si>
    <t xml:space="preserve">      49010 OMC Sponsorships</t>
  </si>
  <si>
    <t xml:space="preserve">   Total 49000 Special Events Income</t>
  </si>
  <si>
    <t>Total Income</t>
  </si>
  <si>
    <t>Gross Profit</t>
  </si>
  <si>
    <t>Expenses</t>
  </si>
  <si>
    <t xml:space="preserve">   60300 Awards and Grants</t>
  </si>
  <si>
    <t xml:space="preserve">      60310 Benefits Paid To or For Members</t>
  </si>
  <si>
    <t xml:space="preserve">      60330 Ribbons &amp; Trophies</t>
  </si>
  <si>
    <t xml:space="preserve">      60350 Youth Budget</t>
  </si>
  <si>
    <t xml:space="preserve">      60360 High Point Awards</t>
  </si>
  <si>
    <t xml:space="preserve">   Total 60300 Awards and Grants</t>
  </si>
  <si>
    <t xml:space="preserve">   60900 Business Expenses</t>
  </si>
  <si>
    <t xml:space="preserve">      60920 Business Registration Fees</t>
  </si>
  <si>
    <t xml:space="preserve">      60921 PayPal Fees</t>
  </si>
  <si>
    <t xml:space="preserve">      60922 IPN Fees</t>
  </si>
  <si>
    <t xml:space="preserve">      60929 Returned Item Charges</t>
  </si>
  <si>
    <t xml:space="preserve">   Total 60900 Business Expenses</t>
  </si>
  <si>
    <t xml:space="preserve">   62100 Contract Services</t>
  </si>
  <si>
    <t xml:space="preserve">      62150 Outside Contract Services</t>
  </si>
  <si>
    <t xml:space="preserve">      62152 OMC Show Secretary Salary</t>
  </si>
  <si>
    <t xml:space="preserve">      62154 OMC Show Manager Salary</t>
  </si>
  <si>
    <t xml:space="preserve">   Total 62100 Contract Services</t>
  </si>
  <si>
    <t xml:space="preserve">   62800 OMC Facilities Rental</t>
  </si>
  <si>
    <t xml:space="preserve">   65000 Operations</t>
  </si>
  <si>
    <t xml:space="preserve">      65020 Postage, Mailing Service</t>
  </si>
  <si>
    <t xml:space="preserve">      65030 Printing and Copying</t>
  </si>
  <si>
    <t xml:space="preserve">      65040 Supplies</t>
  </si>
  <si>
    <t xml:space="preserve">      65050 Telephone, Telecommunications</t>
  </si>
  <si>
    <t xml:space="preserve">      65060 Computer Supplies &amp; Software</t>
  </si>
  <si>
    <t xml:space="preserve">   Total 65000 Operations</t>
  </si>
  <si>
    <t xml:space="preserve">   65100 Other Types of Expenses</t>
  </si>
  <si>
    <t xml:space="preserve">      65110 Advertising Expenses</t>
  </si>
  <si>
    <t xml:space="preserve">      65120 Insurance - Liability, D and O</t>
  </si>
  <si>
    <t xml:space="preserve">      65140 USEF Fees</t>
  </si>
  <si>
    <t xml:space="preserve">      65150 Memberships and Dues</t>
  </si>
  <si>
    <t xml:space="preserve">      65160 Other Costs</t>
  </si>
  <si>
    <t xml:space="preserve">      65180 Emergency Fund</t>
  </si>
  <si>
    <t xml:space="preserve">      Officials Expenses</t>
  </si>
  <si>
    <t xml:space="preserve">   Total 65100 Other Types of Expenses</t>
  </si>
  <si>
    <t xml:space="preserve">   68300 Travel and Meetings</t>
  </si>
  <si>
    <t xml:space="preserve">      68310 Conference, Convention, Meeting</t>
  </si>
  <si>
    <t xml:space="preserve">      68320 Year End Awards Banquet</t>
  </si>
  <si>
    <t xml:space="preserve">   Total 68300 Travel and Meetings</t>
  </si>
  <si>
    <t xml:space="preserve">   QuickBooks Payments Fees</t>
  </si>
  <si>
    <t>Total Expenses</t>
  </si>
  <si>
    <t>Net Operating Income</t>
  </si>
  <si>
    <t>Other Income</t>
  </si>
  <si>
    <t xml:space="preserve">   70000 Temporarily Restricted Activity</t>
  </si>
  <si>
    <t xml:space="preserve">      70200 Restricted Funds Released</t>
  </si>
  <si>
    <t xml:space="preserve">   Total 70000 Temporarily Restricted Activity</t>
  </si>
  <si>
    <t xml:space="preserve">   Income from Stallion Service Auction</t>
  </si>
  <si>
    <t>Total Other Income</t>
  </si>
  <si>
    <t>Other Expenses</t>
  </si>
  <si>
    <t xml:space="preserve">   80500 Depreciation Expense</t>
  </si>
  <si>
    <t xml:space="preserve">      80510 Depreciation Expense - Signage</t>
  </si>
  <si>
    <t xml:space="preserve">   Total 80500 Depreciation Expense</t>
  </si>
  <si>
    <t xml:space="preserve">   Transfer of Stallion Service Auction Money</t>
  </si>
  <si>
    <t>Total Other Expenses</t>
  </si>
  <si>
    <t>Net Other Income</t>
  </si>
  <si>
    <t>Net Income</t>
  </si>
  <si>
    <t>Monday, Nov 02, 2020 02:50:11 PM GMT-8 - Cash Basis</t>
  </si>
  <si>
    <t>Morgan Horse Association of Oregon</t>
  </si>
  <si>
    <t>Profit and Loss by Class</t>
  </si>
  <si>
    <t>November 2019 -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</si>
</sst>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4"/>
  <sheetViews>
    <sheetView tabSelected="1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32.7109375" bestFit="1" customWidth="1"/>
    <col min="2" max="2" width="12.5703125" customWidth="1"/>
    <col min="3" max="3" width="12.85546875" customWidth="1"/>
    <col min="4" max="4" width="15.7109375" customWidth="1"/>
    <col min="5" max="5" width="12.42578125" customWidth="1"/>
    <col min="6" max="6" width="11.28515625" customWidth="1"/>
    <col min="7" max="7" width="14.28515625" customWidth="1"/>
    <col min="8" max="8" width="12.42578125" customWidth="1"/>
    <col min="9" max="9" width="14.5703125" customWidth="1"/>
    <col min="10" max="10" width="14.28515625" customWidth="1"/>
    <col min="11" max="11" width="11.7109375" customWidth="1"/>
    <col min="12" max="12" width="11" customWidth="1"/>
    <col min="13" max="13" width="11.5703125" customWidth="1"/>
    <col min="14" max="14" width="11.85546875" customWidth="1"/>
    <col min="15" max="15" width="12.7109375" customWidth="1"/>
    <col min="16" max="16" width="13.28515625" customWidth="1"/>
    <col min="17" max="17" width="13.42578125" customWidth="1"/>
    <col min="18" max="18" width="14.7109375" customWidth="1"/>
  </cols>
  <sheetData>
    <row r="1" spans="1:18" ht="18" x14ac:dyDescent="0.25">
      <c r="A1" s="10" t="s">
        <v>103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8" x14ac:dyDescent="0.25">
      <c r="A2" s="10" t="s">
        <v>104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A3" s="11" t="s">
        <v>105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5" spans="1:18" ht="48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</row>
    <row r="6" spans="1:18" x14ac:dyDescent="0.25">
      <c r="A6" s="3" t="s">
        <v>17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3" t="s">
        <v>18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>
        <f t="shared" ref="P7:P34" si="0">((((((((((((C7)+(D7))+(E7))+(F7))+(G7))+(H7))+(I7))+(J7))+(K7))+(L7))+(M7))+(N7))+(O7)</f>
        <v>0</v>
      </c>
      <c r="Q7" s="4"/>
      <c r="R7" s="5">
        <f t="shared" ref="R7:R34" si="1">((B7)+(P7))+(Q7)</f>
        <v>0</v>
      </c>
    </row>
    <row r="8" spans="1:18" x14ac:dyDescent="0.25">
      <c r="A8" s="3" t="s">
        <v>19</v>
      </c>
      <c r="B8" s="4"/>
      <c r="C8" s="5">
        <f>400</f>
        <v>400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>
        <f t="shared" si="0"/>
        <v>400</v>
      </c>
      <c r="Q8" s="4"/>
      <c r="R8" s="5">
        <f t="shared" si="1"/>
        <v>400</v>
      </c>
    </row>
    <row r="9" spans="1:18" x14ac:dyDescent="0.25">
      <c r="A9" s="3" t="s">
        <v>20</v>
      </c>
      <c r="B9" s="6">
        <f t="shared" ref="B9:O9" si="2">(B7)+(B8)</f>
        <v>0</v>
      </c>
      <c r="C9" s="6">
        <f t="shared" si="2"/>
        <v>400</v>
      </c>
      <c r="D9" s="6">
        <f t="shared" si="2"/>
        <v>0</v>
      </c>
      <c r="E9" s="6">
        <f t="shared" si="2"/>
        <v>0</v>
      </c>
      <c r="F9" s="6">
        <f t="shared" si="2"/>
        <v>0</v>
      </c>
      <c r="G9" s="6">
        <f t="shared" si="2"/>
        <v>0</v>
      </c>
      <c r="H9" s="6">
        <f t="shared" si="2"/>
        <v>0</v>
      </c>
      <c r="I9" s="6">
        <f t="shared" si="2"/>
        <v>0</v>
      </c>
      <c r="J9" s="6">
        <f t="shared" si="2"/>
        <v>0</v>
      </c>
      <c r="K9" s="6">
        <f t="shared" si="2"/>
        <v>0</v>
      </c>
      <c r="L9" s="6">
        <f t="shared" si="2"/>
        <v>0</v>
      </c>
      <c r="M9" s="6">
        <f t="shared" si="2"/>
        <v>0</v>
      </c>
      <c r="N9" s="6">
        <f t="shared" si="2"/>
        <v>0</v>
      </c>
      <c r="O9" s="6">
        <f t="shared" si="2"/>
        <v>0</v>
      </c>
      <c r="P9" s="6">
        <f t="shared" si="0"/>
        <v>400</v>
      </c>
      <c r="Q9" s="6">
        <f>(Q7)+(Q8)</f>
        <v>0</v>
      </c>
      <c r="R9" s="6">
        <f t="shared" si="1"/>
        <v>400</v>
      </c>
    </row>
    <row r="10" spans="1:18" x14ac:dyDescent="0.25">
      <c r="A10" s="3" t="s">
        <v>21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>
        <f t="shared" si="0"/>
        <v>0</v>
      </c>
      <c r="Q10" s="4"/>
      <c r="R10" s="5">
        <f t="shared" si="1"/>
        <v>0</v>
      </c>
    </row>
    <row r="11" spans="1:18" ht="23.25" x14ac:dyDescent="0.25">
      <c r="A11" s="3" t="s">
        <v>22</v>
      </c>
      <c r="B11" s="4"/>
      <c r="C11" s="5">
        <f>90</f>
        <v>90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>
        <f t="shared" si="0"/>
        <v>90</v>
      </c>
      <c r="Q11" s="4"/>
      <c r="R11" s="5">
        <f t="shared" si="1"/>
        <v>90</v>
      </c>
    </row>
    <row r="12" spans="1:18" x14ac:dyDescent="0.25">
      <c r="A12" s="3" t="s">
        <v>23</v>
      </c>
      <c r="B12" s="6">
        <f t="shared" ref="B12:O12" si="3">(B10)+(B11)</f>
        <v>0</v>
      </c>
      <c r="C12" s="6">
        <f t="shared" si="3"/>
        <v>90</v>
      </c>
      <c r="D12" s="6">
        <f t="shared" si="3"/>
        <v>0</v>
      </c>
      <c r="E12" s="6">
        <f t="shared" si="3"/>
        <v>0</v>
      </c>
      <c r="F12" s="6">
        <f t="shared" si="3"/>
        <v>0</v>
      </c>
      <c r="G12" s="6">
        <f t="shared" si="3"/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0"/>
        <v>90</v>
      </c>
      <c r="Q12" s="6">
        <f>(Q10)+(Q11)</f>
        <v>0</v>
      </c>
      <c r="R12" s="6">
        <f t="shared" si="1"/>
        <v>90</v>
      </c>
    </row>
    <row r="13" spans="1:18" x14ac:dyDescent="0.25">
      <c r="A13" s="3" t="s">
        <v>24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>
        <f t="shared" si="0"/>
        <v>0</v>
      </c>
      <c r="Q13" s="5">
        <f>110.93</f>
        <v>110.93</v>
      </c>
      <c r="R13" s="5">
        <f t="shared" si="1"/>
        <v>110.93</v>
      </c>
    </row>
    <row r="14" spans="1:18" x14ac:dyDescent="0.25">
      <c r="A14" s="3" t="s">
        <v>25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>
        <f t="shared" si="0"/>
        <v>0</v>
      </c>
      <c r="Q14" s="4"/>
      <c r="R14" s="5">
        <f t="shared" si="1"/>
        <v>0</v>
      </c>
    </row>
    <row r="15" spans="1:18" ht="23.25" x14ac:dyDescent="0.25">
      <c r="A15" s="3" t="s">
        <v>26</v>
      </c>
      <c r="B15" s="4"/>
      <c r="C15" s="5">
        <f>4.24</f>
        <v>4.24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>
        <f t="shared" si="0"/>
        <v>4.24</v>
      </c>
      <c r="Q15" s="4"/>
      <c r="R15" s="5">
        <f t="shared" si="1"/>
        <v>4.24</v>
      </c>
    </row>
    <row r="16" spans="1:18" x14ac:dyDescent="0.25">
      <c r="A16" s="3" t="s">
        <v>27</v>
      </c>
      <c r="B16" s="6">
        <f t="shared" ref="B16:O16" si="4">(B14)+(B15)</f>
        <v>0</v>
      </c>
      <c r="C16" s="6">
        <f t="shared" si="4"/>
        <v>4.24</v>
      </c>
      <c r="D16" s="6">
        <f t="shared" si="4"/>
        <v>0</v>
      </c>
      <c r="E16" s="6">
        <f t="shared" si="4"/>
        <v>0</v>
      </c>
      <c r="F16" s="6">
        <f t="shared" si="4"/>
        <v>0</v>
      </c>
      <c r="G16" s="6">
        <f t="shared" si="4"/>
        <v>0</v>
      </c>
      <c r="H16" s="6">
        <f t="shared" si="4"/>
        <v>0</v>
      </c>
      <c r="I16" s="6">
        <f t="shared" si="4"/>
        <v>0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0</v>
      </c>
      <c r="N16" s="6">
        <f t="shared" si="4"/>
        <v>0</v>
      </c>
      <c r="O16" s="6">
        <f t="shared" si="4"/>
        <v>0</v>
      </c>
      <c r="P16" s="6">
        <f t="shared" si="0"/>
        <v>4.24</v>
      </c>
      <c r="Q16" s="6">
        <f>(Q14)+(Q15)</f>
        <v>0</v>
      </c>
      <c r="R16" s="6">
        <f t="shared" si="1"/>
        <v>4.24</v>
      </c>
    </row>
    <row r="17" spans="1:18" x14ac:dyDescent="0.25">
      <c r="A17" s="3" t="s">
        <v>28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>
        <f t="shared" si="0"/>
        <v>0</v>
      </c>
      <c r="Q17" s="4"/>
      <c r="R17" s="5">
        <f t="shared" si="1"/>
        <v>0</v>
      </c>
    </row>
    <row r="18" spans="1:18" x14ac:dyDescent="0.25">
      <c r="A18" s="3" t="s">
        <v>29</v>
      </c>
      <c r="B18" s="5">
        <f>944.02</f>
        <v>944.02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>
        <f t="shared" si="0"/>
        <v>0</v>
      </c>
      <c r="Q18" s="4"/>
      <c r="R18" s="5">
        <f t="shared" si="1"/>
        <v>944.02</v>
      </c>
    </row>
    <row r="19" spans="1:18" ht="23.25" x14ac:dyDescent="0.25">
      <c r="A19" s="3" t="s">
        <v>30</v>
      </c>
      <c r="B19" s="5">
        <f>100</f>
        <v>100</v>
      </c>
      <c r="C19" s="5">
        <f>0</f>
        <v>0</v>
      </c>
      <c r="D19" s="5">
        <f>290</f>
        <v>290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>
        <f t="shared" si="0"/>
        <v>290</v>
      </c>
      <c r="Q19" s="4"/>
      <c r="R19" s="5">
        <f t="shared" si="1"/>
        <v>390</v>
      </c>
    </row>
    <row r="20" spans="1:18" x14ac:dyDescent="0.25">
      <c r="A20" s="3" t="s">
        <v>31</v>
      </c>
      <c r="B20" s="4"/>
      <c r="C20" s="5">
        <f>570.83</f>
        <v>570.83000000000004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>
        <f t="shared" si="0"/>
        <v>570.83000000000004</v>
      </c>
      <c r="Q20" s="4"/>
      <c r="R20" s="5">
        <f t="shared" si="1"/>
        <v>570.83000000000004</v>
      </c>
    </row>
    <row r="21" spans="1:18" x14ac:dyDescent="0.25">
      <c r="A21" s="3" t="s">
        <v>32</v>
      </c>
      <c r="B21" s="5">
        <f>-58.5</f>
        <v>-58.5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>
        <f t="shared" si="0"/>
        <v>0</v>
      </c>
      <c r="Q21" s="4"/>
      <c r="R21" s="5">
        <f t="shared" si="1"/>
        <v>-58.5</v>
      </c>
    </row>
    <row r="22" spans="1:18" x14ac:dyDescent="0.25">
      <c r="A22" s="3" t="s">
        <v>33</v>
      </c>
      <c r="B22" s="6">
        <f t="shared" ref="B22:O22" si="5">((((B17)+(B18))+(B19))+(B20))+(B21)</f>
        <v>985.52</v>
      </c>
      <c r="C22" s="6">
        <f t="shared" si="5"/>
        <v>570.83000000000004</v>
      </c>
      <c r="D22" s="6">
        <f t="shared" si="5"/>
        <v>290</v>
      </c>
      <c r="E22" s="6">
        <f t="shared" si="5"/>
        <v>0</v>
      </c>
      <c r="F22" s="6">
        <f t="shared" si="5"/>
        <v>0</v>
      </c>
      <c r="G22" s="6">
        <f t="shared" si="5"/>
        <v>0</v>
      </c>
      <c r="H22" s="6">
        <f t="shared" si="5"/>
        <v>0</v>
      </c>
      <c r="I22" s="6">
        <f t="shared" si="5"/>
        <v>0</v>
      </c>
      <c r="J22" s="6">
        <f t="shared" si="5"/>
        <v>0</v>
      </c>
      <c r="K22" s="6">
        <f t="shared" si="5"/>
        <v>0</v>
      </c>
      <c r="L22" s="6">
        <f t="shared" si="5"/>
        <v>0</v>
      </c>
      <c r="M22" s="6">
        <f t="shared" si="5"/>
        <v>0</v>
      </c>
      <c r="N22" s="6">
        <f t="shared" si="5"/>
        <v>0</v>
      </c>
      <c r="O22" s="6">
        <f t="shared" si="5"/>
        <v>0</v>
      </c>
      <c r="P22" s="6">
        <f t="shared" si="0"/>
        <v>860.83</v>
      </c>
      <c r="Q22" s="6">
        <f>((((Q17)+(Q18))+(Q19))+(Q20))+(Q21)</f>
        <v>0</v>
      </c>
      <c r="R22" s="6">
        <f t="shared" si="1"/>
        <v>1846.35</v>
      </c>
    </row>
    <row r="23" spans="1:18" x14ac:dyDescent="0.25">
      <c r="A23" s="3" t="s">
        <v>34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5">
        <f>845</f>
        <v>845</v>
      </c>
      <c r="M23" s="4"/>
      <c r="N23" s="4"/>
      <c r="O23" s="4"/>
      <c r="P23" s="5">
        <f t="shared" si="0"/>
        <v>845</v>
      </c>
      <c r="Q23" s="4"/>
      <c r="R23" s="5">
        <f t="shared" si="1"/>
        <v>845</v>
      </c>
    </row>
    <row r="24" spans="1:18" x14ac:dyDescent="0.25">
      <c r="A24" s="3" t="s">
        <v>35</v>
      </c>
      <c r="B24" s="4"/>
      <c r="C24" s="4"/>
      <c r="D24" s="4"/>
      <c r="E24" s="4"/>
      <c r="F24" s="4"/>
      <c r="G24" s="5">
        <f>2385</f>
        <v>2385</v>
      </c>
      <c r="H24" s="4"/>
      <c r="I24" s="4"/>
      <c r="J24" s="4"/>
      <c r="K24" s="4"/>
      <c r="L24" s="4"/>
      <c r="M24" s="4"/>
      <c r="N24" s="4"/>
      <c r="O24" s="4"/>
      <c r="P24" s="5">
        <f t="shared" si="0"/>
        <v>2385</v>
      </c>
      <c r="Q24" s="4"/>
      <c r="R24" s="5">
        <f t="shared" si="1"/>
        <v>2385</v>
      </c>
    </row>
    <row r="25" spans="1:18" ht="23.25" x14ac:dyDescent="0.25">
      <c r="A25" s="3" t="s">
        <v>36</v>
      </c>
      <c r="B25" s="4"/>
      <c r="C25" s="4"/>
      <c r="D25" s="4"/>
      <c r="E25" s="4"/>
      <c r="F25" s="4"/>
      <c r="G25" s="4"/>
      <c r="H25" s="4"/>
      <c r="I25" s="4"/>
      <c r="J25" s="4"/>
      <c r="K25" s="5">
        <f>15</f>
        <v>15</v>
      </c>
      <c r="L25" s="4"/>
      <c r="M25" s="4"/>
      <c r="N25" s="4"/>
      <c r="O25" s="4"/>
      <c r="P25" s="5">
        <f t="shared" si="0"/>
        <v>15</v>
      </c>
      <c r="Q25" s="4"/>
      <c r="R25" s="5">
        <f t="shared" si="1"/>
        <v>15</v>
      </c>
    </row>
    <row r="26" spans="1:18" x14ac:dyDescent="0.25">
      <c r="A26" s="3" t="s">
        <v>37</v>
      </c>
      <c r="B26" s="5">
        <f>960</f>
        <v>960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>
        <f t="shared" si="0"/>
        <v>0</v>
      </c>
      <c r="Q26" s="4"/>
      <c r="R26" s="5">
        <f t="shared" si="1"/>
        <v>960</v>
      </c>
    </row>
    <row r="27" spans="1:18" x14ac:dyDescent="0.25">
      <c r="A27" s="3" t="s">
        <v>38</v>
      </c>
      <c r="B27" s="5">
        <f>335</f>
        <v>335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5">
        <f>171</f>
        <v>171</v>
      </c>
      <c r="P27" s="5">
        <f t="shared" si="0"/>
        <v>171</v>
      </c>
      <c r="Q27" s="4"/>
      <c r="R27" s="5">
        <f t="shared" si="1"/>
        <v>506</v>
      </c>
    </row>
    <row r="28" spans="1:18" ht="23.25" x14ac:dyDescent="0.25">
      <c r="A28" s="3" t="s">
        <v>39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>
        <f>18050</f>
        <v>18050</v>
      </c>
      <c r="O28" s="4"/>
      <c r="P28" s="5">
        <f t="shared" si="0"/>
        <v>18050</v>
      </c>
      <c r="Q28" s="4"/>
      <c r="R28" s="5">
        <f t="shared" si="1"/>
        <v>18050</v>
      </c>
    </row>
    <row r="29" spans="1:18" x14ac:dyDescent="0.25">
      <c r="A29" s="3" t="s">
        <v>40</v>
      </c>
      <c r="B29" s="6">
        <f t="shared" ref="B29:O29" si="6">(((((B23)+(B24))+(B25))+(B26))+(B27))+(B28)</f>
        <v>1295</v>
      </c>
      <c r="C29" s="6">
        <f t="shared" si="6"/>
        <v>0</v>
      </c>
      <c r="D29" s="6">
        <f t="shared" si="6"/>
        <v>0</v>
      </c>
      <c r="E29" s="6">
        <f t="shared" si="6"/>
        <v>0</v>
      </c>
      <c r="F29" s="6">
        <f t="shared" si="6"/>
        <v>0</v>
      </c>
      <c r="G29" s="6">
        <f t="shared" si="6"/>
        <v>2385</v>
      </c>
      <c r="H29" s="6">
        <f t="shared" si="6"/>
        <v>0</v>
      </c>
      <c r="I29" s="6">
        <f t="shared" si="6"/>
        <v>0</v>
      </c>
      <c r="J29" s="6">
        <f t="shared" si="6"/>
        <v>0</v>
      </c>
      <c r="K29" s="6">
        <f t="shared" si="6"/>
        <v>15</v>
      </c>
      <c r="L29" s="6">
        <f t="shared" si="6"/>
        <v>845</v>
      </c>
      <c r="M29" s="6">
        <f t="shared" si="6"/>
        <v>0</v>
      </c>
      <c r="N29" s="6">
        <f t="shared" si="6"/>
        <v>18050</v>
      </c>
      <c r="O29" s="6">
        <f t="shared" si="6"/>
        <v>171</v>
      </c>
      <c r="P29" s="6">
        <f t="shared" si="0"/>
        <v>21466</v>
      </c>
      <c r="Q29" s="6">
        <f>(((((Q23)+(Q24))+(Q25))+(Q26))+(Q27))+(Q28)</f>
        <v>0</v>
      </c>
      <c r="R29" s="6">
        <f t="shared" si="1"/>
        <v>22761</v>
      </c>
    </row>
    <row r="30" spans="1:18" x14ac:dyDescent="0.25">
      <c r="A30" s="3" t="s">
        <v>41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>
        <f t="shared" si="0"/>
        <v>0</v>
      </c>
      <c r="Q30" s="4"/>
      <c r="R30" s="5">
        <f t="shared" si="1"/>
        <v>0</v>
      </c>
    </row>
    <row r="31" spans="1:18" x14ac:dyDescent="0.25">
      <c r="A31" s="3" t="s">
        <v>42</v>
      </c>
      <c r="B31" s="4"/>
      <c r="C31" s="4"/>
      <c r="D31" s="4"/>
      <c r="E31" s="4"/>
      <c r="F31" s="4"/>
      <c r="G31" s="4"/>
      <c r="H31" s="5">
        <f>50</f>
        <v>50</v>
      </c>
      <c r="I31" s="4"/>
      <c r="J31" s="4"/>
      <c r="K31" s="4"/>
      <c r="L31" s="4"/>
      <c r="M31" s="4"/>
      <c r="N31" s="4"/>
      <c r="O31" s="4"/>
      <c r="P31" s="5">
        <f t="shared" si="0"/>
        <v>50</v>
      </c>
      <c r="Q31" s="4"/>
      <c r="R31" s="5">
        <f t="shared" si="1"/>
        <v>50</v>
      </c>
    </row>
    <row r="32" spans="1:18" x14ac:dyDescent="0.25">
      <c r="A32" s="3" t="s">
        <v>43</v>
      </c>
      <c r="B32" s="6">
        <f t="shared" ref="B32:O32" si="7">(B30)+(B31)</f>
        <v>0</v>
      </c>
      <c r="C32" s="6">
        <f t="shared" si="7"/>
        <v>0</v>
      </c>
      <c r="D32" s="6">
        <f t="shared" si="7"/>
        <v>0</v>
      </c>
      <c r="E32" s="6">
        <f t="shared" si="7"/>
        <v>0</v>
      </c>
      <c r="F32" s="6">
        <f t="shared" si="7"/>
        <v>0</v>
      </c>
      <c r="G32" s="6">
        <f t="shared" si="7"/>
        <v>0</v>
      </c>
      <c r="H32" s="6">
        <f t="shared" si="7"/>
        <v>50</v>
      </c>
      <c r="I32" s="6">
        <f t="shared" si="7"/>
        <v>0</v>
      </c>
      <c r="J32" s="6">
        <f t="shared" si="7"/>
        <v>0</v>
      </c>
      <c r="K32" s="6">
        <f t="shared" si="7"/>
        <v>0</v>
      </c>
      <c r="L32" s="6">
        <f t="shared" si="7"/>
        <v>0</v>
      </c>
      <c r="M32" s="6">
        <f t="shared" si="7"/>
        <v>0</v>
      </c>
      <c r="N32" s="6">
        <f t="shared" si="7"/>
        <v>0</v>
      </c>
      <c r="O32" s="6">
        <f t="shared" si="7"/>
        <v>0</v>
      </c>
      <c r="P32" s="6">
        <f t="shared" si="0"/>
        <v>50</v>
      </c>
      <c r="Q32" s="6">
        <f>(Q30)+(Q31)</f>
        <v>0</v>
      </c>
      <c r="R32" s="6">
        <f t="shared" si="1"/>
        <v>50</v>
      </c>
    </row>
    <row r="33" spans="1:18" x14ac:dyDescent="0.25">
      <c r="A33" s="3" t="s">
        <v>44</v>
      </c>
      <c r="B33" s="6">
        <f t="shared" ref="B33:O33" si="8">((((((B9)+(B12))+(B13))+(B16))+(B22))+(B29))+(B32)</f>
        <v>2280.52</v>
      </c>
      <c r="C33" s="6">
        <f t="shared" si="8"/>
        <v>1065.0700000000002</v>
      </c>
      <c r="D33" s="6">
        <f t="shared" si="8"/>
        <v>290</v>
      </c>
      <c r="E33" s="6">
        <f t="shared" si="8"/>
        <v>0</v>
      </c>
      <c r="F33" s="6">
        <f t="shared" si="8"/>
        <v>0</v>
      </c>
      <c r="G33" s="6">
        <f t="shared" si="8"/>
        <v>2385</v>
      </c>
      <c r="H33" s="6">
        <f t="shared" si="8"/>
        <v>50</v>
      </c>
      <c r="I33" s="6">
        <f t="shared" si="8"/>
        <v>0</v>
      </c>
      <c r="J33" s="6">
        <f t="shared" si="8"/>
        <v>0</v>
      </c>
      <c r="K33" s="6">
        <f t="shared" si="8"/>
        <v>15</v>
      </c>
      <c r="L33" s="6">
        <f t="shared" si="8"/>
        <v>845</v>
      </c>
      <c r="M33" s="6">
        <f t="shared" si="8"/>
        <v>0</v>
      </c>
      <c r="N33" s="6">
        <f t="shared" si="8"/>
        <v>18050</v>
      </c>
      <c r="O33" s="6">
        <f t="shared" si="8"/>
        <v>171</v>
      </c>
      <c r="P33" s="6">
        <f t="shared" si="0"/>
        <v>22871.07</v>
      </c>
      <c r="Q33" s="6">
        <f>((((((Q9)+(Q12))+(Q13))+(Q16))+(Q22))+(Q29))+(Q32)</f>
        <v>110.93</v>
      </c>
      <c r="R33" s="6">
        <f t="shared" si="1"/>
        <v>25262.52</v>
      </c>
    </row>
    <row r="34" spans="1:18" x14ac:dyDescent="0.25">
      <c r="A34" s="3" t="s">
        <v>45</v>
      </c>
      <c r="B34" s="6">
        <f t="shared" ref="B34:O34" si="9">(B33)-(0)</f>
        <v>2280.52</v>
      </c>
      <c r="C34" s="6">
        <f t="shared" si="9"/>
        <v>1065.0700000000002</v>
      </c>
      <c r="D34" s="6">
        <f t="shared" si="9"/>
        <v>290</v>
      </c>
      <c r="E34" s="6">
        <f t="shared" si="9"/>
        <v>0</v>
      </c>
      <c r="F34" s="6">
        <f t="shared" si="9"/>
        <v>0</v>
      </c>
      <c r="G34" s="6">
        <f t="shared" si="9"/>
        <v>2385</v>
      </c>
      <c r="H34" s="6">
        <f t="shared" si="9"/>
        <v>50</v>
      </c>
      <c r="I34" s="6">
        <f t="shared" si="9"/>
        <v>0</v>
      </c>
      <c r="J34" s="6">
        <f t="shared" si="9"/>
        <v>0</v>
      </c>
      <c r="K34" s="6">
        <f t="shared" si="9"/>
        <v>15</v>
      </c>
      <c r="L34" s="6">
        <f t="shared" si="9"/>
        <v>845</v>
      </c>
      <c r="M34" s="6">
        <f t="shared" si="9"/>
        <v>0</v>
      </c>
      <c r="N34" s="6">
        <f t="shared" si="9"/>
        <v>18050</v>
      </c>
      <c r="O34" s="6">
        <f t="shared" si="9"/>
        <v>171</v>
      </c>
      <c r="P34" s="6">
        <f t="shared" si="0"/>
        <v>22871.07</v>
      </c>
      <c r="Q34" s="6">
        <f>(Q33)-(0)</f>
        <v>110.93</v>
      </c>
      <c r="R34" s="6">
        <f t="shared" si="1"/>
        <v>25262.52</v>
      </c>
    </row>
    <row r="35" spans="1:18" x14ac:dyDescent="0.25">
      <c r="A35" s="3" t="s">
        <v>46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25">
      <c r="A36" s="3" t="s">
        <v>47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>
        <f t="shared" ref="P36:P76" si="10">((((((((((((C36)+(D36))+(E36))+(F36))+(G36))+(H36))+(I36))+(J36))+(K36))+(L36))+(M36))+(N36))+(O36)</f>
        <v>0</v>
      </c>
      <c r="Q36" s="4"/>
      <c r="R36" s="5">
        <f t="shared" ref="R36:R76" si="11">((B36)+(P36))+(Q36)</f>
        <v>0</v>
      </c>
    </row>
    <row r="37" spans="1:18" ht="23.25" x14ac:dyDescent="0.25">
      <c r="A37" s="3" t="s">
        <v>48</v>
      </c>
      <c r="B37" s="5">
        <f>225</f>
        <v>225</v>
      </c>
      <c r="C37" s="5">
        <f>75</f>
        <v>75</v>
      </c>
      <c r="D37" s="4"/>
      <c r="E37" s="4"/>
      <c r="F37" s="4"/>
      <c r="G37" s="4"/>
      <c r="H37" s="4"/>
      <c r="I37" s="5">
        <f>225</f>
        <v>225</v>
      </c>
      <c r="J37" s="4"/>
      <c r="K37" s="4"/>
      <c r="L37" s="4"/>
      <c r="M37" s="4"/>
      <c r="N37" s="4"/>
      <c r="O37" s="4"/>
      <c r="P37" s="5">
        <f t="shared" si="10"/>
        <v>300</v>
      </c>
      <c r="Q37" s="4"/>
      <c r="R37" s="5">
        <f t="shared" si="11"/>
        <v>525</v>
      </c>
    </row>
    <row r="38" spans="1:18" x14ac:dyDescent="0.25">
      <c r="A38" s="3" t="s">
        <v>49</v>
      </c>
      <c r="B38" s="4"/>
      <c r="C38" s="4"/>
      <c r="D38" s="4"/>
      <c r="E38" s="4"/>
      <c r="F38" s="4"/>
      <c r="G38" s="4"/>
      <c r="H38" s="5">
        <f>5149.91</f>
        <v>5149.91</v>
      </c>
      <c r="I38" s="4"/>
      <c r="J38" s="4"/>
      <c r="K38" s="4"/>
      <c r="L38" s="4"/>
      <c r="M38" s="4"/>
      <c r="N38" s="4"/>
      <c r="O38" s="4"/>
      <c r="P38" s="5">
        <f t="shared" si="10"/>
        <v>5149.91</v>
      </c>
      <c r="Q38" s="4"/>
      <c r="R38" s="5">
        <f t="shared" si="11"/>
        <v>5149.91</v>
      </c>
    </row>
    <row r="39" spans="1:18" x14ac:dyDescent="0.25">
      <c r="A39" s="3" t="s">
        <v>50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>
        <f t="shared" si="10"/>
        <v>0</v>
      </c>
      <c r="Q39" s="5">
        <f>110.93</f>
        <v>110.93</v>
      </c>
      <c r="R39" s="5">
        <f t="shared" si="11"/>
        <v>110.93</v>
      </c>
    </row>
    <row r="40" spans="1:18" x14ac:dyDescent="0.25">
      <c r="A40" s="3" t="s">
        <v>51</v>
      </c>
      <c r="B40" s="4"/>
      <c r="C40" s="4"/>
      <c r="D40" s="4"/>
      <c r="E40" s="4"/>
      <c r="F40" s="5">
        <f>460.2</f>
        <v>460.2</v>
      </c>
      <c r="G40" s="4"/>
      <c r="H40" s="4"/>
      <c r="I40" s="4"/>
      <c r="J40" s="4"/>
      <c r="K40" s="4"/>
      <c r="L40" s="4"/>
      <c r="M40" s="4"/>
      <c r="N40" s="4"/>
      <c r="O40" s="4"/>
      <c r="P40" s="5">
        <f t="shared" si="10"/>
        <v>460.2</v>
      </c>
      <c r="Q40" s="4"/>
      <c r="R40" s="5">
        <f t="shared" si="11"/>
        <v>460.2</v>
      </c>
    </row>
    <row r="41" spans="1:18" x14ac:dyDescent="0.25">
      <c r="A41" s="3" t="s">
        <v>52</v>
      </c>
      <c r="B41" s="6">
        <f t="shared" ref="B41:O41" si="12">((((B36)+(B37))+(B38))+(B39))+(B40)</f>
        <v>225</v>
      </c>
      <c r="C41" s="6">
        <f t="shared" si="12"/>
        <v>75</v>
      </c>
      <c r="D41" s="6">
        <f t="shared" si="12"/>
        <v>0</v>
      </c>
      <c r="E41" s="6">
        <f t="shared" si="12"/>
        <v>0</v>
      </c>
      <c r="F41" s="6">
        <f t="shared" si="12"/>
        <v>460.2</v>
      </c>
      <c r="G41" s="6">
        <f t="shared" si="12"/>
        <v>0</v>
      </c>
      <c r="H41" s="6">
        <f t="shared" si="12"/>
        <v>5149.91</v>
      </c>
      <c r="I41" s="6">
        <f t="shared" si="12"/>
        <v>225</v>
      </c>
      <c r="J41" s="6">
        <f t="shared" si="12"/>
        <v>0</v>
      </c>
      <c r="K41" s="6">
        <f t="shared" si="12"/>
        <v>0</v>
      </c>
      <c r="L41" s="6">
        <f t="shared" si="12"/>
        <v>0</v>
      </c>
      <c r="M41" s="6">
        <f t="shared" si="12"/>
        <v>0</v>
      </c>
      <c r="N41" s="6">
        <f t="shared" si="12"/>
        <v>0</v>
      </c>
      <c r="O41" s="6">
        <f t="shared" si="12"/>
        <v>0</v>
      </c>
      <c r="P41" s="6">
        <f t="shared" si="10"/>
        <v>5910.11</v>
      </c>
      <c r="Q41" s="6">
        <f>((((Q36)+(Q37))+(Q38))+(Q39))+(Q40)</f>
        <v>110.93</v>
      </c>
      <c r="R41" s="6">
        <f t="shared" si="11"/>
        <v>6246.04</v>
      </c>
    </row>
    <row r="42" spans="1:18" x14ac:dyDescent="0.25">
      <c r="A42" s="3" t="s">
        <v>53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>
        <f t="shared" si="10"/>
        <v>0</v>
      </c>
      <c r="Q42" s="4"/>
      <c r="R42" s="5">
        <f t="shared" si="11"/>
        <v>0</v>
      </c>
    </row>
    <row r="43" spans="1:18" x14ac:dyDescent="0.25">
      <c r="A43" s="3" t="s">
        <v>54</v>
      </c>
      <c r="B43" s="4"/>
      <c r="C43" s="5">
        <f>50</f>
        <v>50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5">
        <f t="shared" si="10"/>
        <v>50</v>
      </c>
      <c r="Q43" s="4"/>
      <c r="R43" s="5">
        <f t="shared" si="11"/>
        <v>50</v>
      </c>
    </row>
    <row r="44" spans="1:18" x14ac:dyDescent="0.25">
      <c r="A44" s="3" t="s">
        <v>55</v>
      </c>
      <c r="B44" s="4"/>
      <c r="C44" s="4"/>
      <c r="D44" s="4"/>
      <c r="E44" s="4"/>
      <c r="F44" s="4"/>
      <c r="G44" s="5">
        <f>1.32</f>
        <v>1.32</v>
      </c>
      <c r="H44" s="4"/>
      <c r="I44" s="4"/>
      <c r="J44" s="4"/>
      <c r="K44" s="4"/>
      <c r="L44" s="4"/>
      <c r="M44" s="4"/>
      <c r="N44" s="4"/>
      <c r="O44" s="4"/>
      <c r="P44" s="5">
        <f t="shared" si="10"/>
        <v>1.32</v>
      </c>
      <c r="Q44" s="4"/>
      <c r="R44" s="5">
        <f t="shared" si="11"/>
        <v>1.32</v>
      </c>
    </row>
    <row r="45" spans="1:18" x14ac:dyDescent="0.25">
      <c r="A45" s="3" t="s">
        <v>56</v>
      </c>
      <c r="B45" s="5">
        <f>33.47</f>
        <v>33.47</v>
      </c>
      <c r="C45" s="5">
        <f>12.05</f>
        <v>12.05</v>
      </c>
      <c r="D45" s="5">
        <f>9.71</f>
        <v>9.7100000000000009</v>
      </c>
      <c r="E45" s="4"/>
      <c r="F45" s="4"/>
      <c r="G45" s="5">
        <f>17.69</f>
        <v>17.690000000000001</v>
      </c>
      <c r="H45" s="4"/>
      <c r="I45" s="4"/>
      <c r="J45" s="4"/>
      <c r="K45" s="4"/>
      <c r="L45" s="4"/>
      <c r="M45" s="4"/>
      <c r="N45" s="5">
        <f>509.98</f>
        <v>509.98</v>
      </c>
      <c r="O45" s="4"/>
      <c r="P45" s="5">
        <f t="shared" si="10"/>
        <v>549.43000000000006</v>
      </c>
      <c r="Q45" s="4"/>
      <c r="R45" s="5">
        <f t="shared" si="11"/>
        <v>582.90000000000009</v>
      </c>
    </row>
    <row r="46" spans="1:18" x14ac:dyDescent="0.25">
      <c r="A46" s="3" t="s">
        <v>57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>
        <f>-12</f>
        <v>-12</v>
      </c>
      <c r="O46" s="4"/>
      <c r="P46" s="5">
        <f t="shared" si="10"/>
        <v>-12</v>
      </c>
      <c r="Q46" s="4"/>
      <c r="R46" s="5">
        <f t="shared" si="11"/>
        <v>-12</v>
      </c>
    </row>
    <row r="47" spans="1:18" x14ac:dyDescent="0.25">
      <c r="A47" s="3" t="s">
        <v>58</v>
      </c>
      <c r="B47" s="6">
        <f t="shared" ref="B47:O47" si="13">((((B42)+(B43))+(B44))+(B45))+(B46)</f>
        <v>33.47</v>
      </c>
      <c r="C47" s="6">
        <f t="shared" si="13"/>
        <v>62.05</v>
      </c>
      <c r="D47" s="6">
        <f t="shared" si="13"/>
        <v>9.7100000000000009</v>
      </c>
      <c r="E47" s="6">
        <f t="shared" si="13"/>
        <v>0</v>
      </c>
      <c r="F47" s="6">
        <f t="shared" si="13"/>
        <v>0</v>
      </c>
      <c r="G47" s="6">
        <f t="shared" si="13"/>
        <v>19.010000000000002</v>
      </c>
      <c r="H47" s="6">
        <f t="shared" si="13"/>
        <v>0</v>
      </c>
      <c r="I47" s="6">
        <f t="shared" si="13"/>
        <v>0</v>
      </c>
      <c r="J47" s="6">
        <f t="shared" si="13"/>
        <v>0</v>
      </c>
      <c r="K47" s="6">
        <f t="shared" si="13"/>
        <v>0</v>
      </c>
      <c r="L47" s="6">
        <f t="shared" si="13"/>
        <v>0</v>
      </c>
      <c r="M47" s="6">
        <f t="shared" si="13"/>
        <v>0</v>
      </c>
      <c r="N47" s="6">
        <f t="shared" si="13"/>
        <v>497.98</v>
      </c>
      <c r="O47" s="6">
        <f t="shared" si="13"/>
        <v>0</v>
      </c>
      <c r="P47" s="6">
        <f t="shared" si="10"/>
        <v>588.75</v>
      </c>
      <c r="Q47" s="6">
        <f>((((Q42)+(Q43))+(Q44))+(Q45))+(Q46)</f>
        <v>0</v>
      </c>
      <c r="R47" s="6">
        <f t="shared" si="11"/>
        <v>622.22</v>
      </c>
    </row>
    <row r="48" spans="1:18" x14ac:dyDescent="0.25">
      <c r="A48" s="3" t="s">
        <v>59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5">
        <f t="shared" si="10"/>
        <v>0</v>
      </c>
      <c r="Q48" s="4"/>
      <c r="R48" s="5">
        <f t="shared" si="11"/>
        <v>0</v>
      </c>
    </row>
    <row r="49" spans="1:18" x14ac:dyDescent="0.25">
      <c r="A49" s="3" t="s">
        <v>60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>
        <f>220</f>
        <v>220</v>
      </c>
      <c r="O49" s="4"/>
      <c r="P49" s="5">
        <f t="shared" si="10"/>
        <v>220</v>
      </c>
      <c r="Q49" s="4"/>
      <c r="R49" s="5">
        <f t="shared" si="11"/>
        <v>220</v>
      </c>
    </row>
    <row r="50" spans="1:18" x14ac:dyDescent="0.25">
      <c r="A50" s="3" t="s">
        <v>61</v>
      </c>
      <c r="B50" s="4"/>
      <c r="C50" s="4"/>
      <c r="D50" s="4"/>
      <c r="E50" s="4"/>
      <c r="F50" s="4"/>
      <c r="G50" s="4"/>
      <c r="H50" s="5">
        <f>200</f>
        <v>200</v>
      </c>
      <c r="I50" s="4"/>
      <c r="J50" s="4"/>
      <c r="K50" s="4"/>
      <c r="L50" s="4"/>
      <c r="M50" s="4"/>
      <c r="N50" s="4"/>
      <c r="O50" s="4"/>
      <c r="P50" s="5">
        <f t="shared" si="10"/>
        <v>200</v>
      </c>
      <c r="Q50" s="4"/>
      <c r="R50" s="5">
        <f t="shared" si="11"/>
        <v>200</v>
      </c>
    </row>
    <row r="51" spans="1:18" x14ac:dyDescent="0.25">
      <c r="A51" s="3" t="s">
        <v>62</v>
      </c>
      <c r="B51" s="4"/>
      <c r="C51" s="4"/>
      <c r="D51" s="4"/>
      <c r="E51" s="4"/>
      <c r="F51" s="4"/>
      <c r="G51" s="4"/>
      <c r="H51" s="5">
        <f>1000</f>
        <v>1000</v>
      </c>
      <c r="I51" s="4"/>
      <c r="J51" s="4"/>
      <c r="K51" s="4"/>
      <c r="L51" s="4"/>
      <c r="M51" s="4"/>
      <c r="N51" s="4"/>
      <c r="O51" s="4"/>
      <c r="P51" s="5">
        <f t="shared" si="10"/>
        <v>1000</v>
      </c>
      <c r="Q51" s="4"/>
      <c r="R51" s="5">
        <f t="shared" si="11"/>
        <v>1000</v>
      </c>
    </row>
    <row r="52" spans="1:18" x14ac:dyDescent="0.25">
      <c r="A52" s="3" t="s">
        <v>63</v>
      </c>
      <c r="B52" s="6">
        <f t="shared" ref="B52:O52" si="14">(((B48)+(B49))+(B50))+(B51)</f>
        <v>0</v>
      </c>
      <c r="C52" s="6">
        <f t="shared" si="14"/>
        <v>0</v>
      </c>
      <c r="D52" s="6">
        <f t="shared" si="14"/>
        <v>0</v>
      </c>
      <c r="E52" s="6">
        <f t="shared" si="14"/>
        <v>0</v>
      </c>
      <c r="F52" s="6">
        <f t="shared" si="14"/>
        <v>0</v>
      </c>
      <c r="G52" s="6">
        <f t="shared" si="14"/>
        <v>0</v>
      </c>
      <c r="H52" s="6">
        <f t="shared" si="14"/>
        <v>1200</v>
      </c>
      <c r="I52" s="6">
        <f t="shared" si="14"/>
        <v>0</v>
      </c>
      <c r="J52" s="6">
        <f t="shared" si="14"/>
        <v>0</v>
      </c>
      <c r="K52" s="6">
        <f t="shared" si="14"/>
        <v>0</v>
      </c>
      <c r="L52" s="6">
        <f t="shared" si="14"/>
        <v>0</v>
      </c>
      <c r="M52" s="6">
        <f t="shared" si="14"/>
        <v>0</v>
      </c>
      <c r="N52" s="6">
        <f t="shared" si="14"/>
        <v>220</v>
      </c>
      <c r="O52" s="6">
        <f t="shared" si="14"/>
        <v>0</v>
      </c>
      <c r="P52" s="6">
        <f t="shared" si="10"/>
        <v>1420</v>
      </c>
      <c r="Q52" s="6">
        <f>(((Q48)+(Q49))+(Q50))+(Q51)</f>
        <v>0</v>
      </c>
      <c r="R52" s="6">
        <f t="shared" si="11"/>
        <v>1420</v>
      </c>
    </row>
    <row r="53" spans="1:18" x14ac:dyDescent="0.25">
      <c r="A53" s="3" t="s">
        <v>64</v>
      </c>
      <c r="B53" s="4"/>
      <c r="C53" s="4"/>
      <c r="D53" s="4"/>
      <c r="E53" s="4"/>
      <c r="F53" s="4"/>
      <c r="G53" s="4"/>
      <c r="H53" s="5">
        <f>1000</f>
        <v>1000</v>
      </c>
      <c r="I53" s="4"/>
      <c r="J53" s="4"/>
      <c r="K53" s="4"/>
      <c r="L53" s="4"/>
      <c r="M53" s="4"/>
      <c r="N53" s="4"/>
      <c r="O53" s="4"/>
      <c r="P53" s="5">
        <f t="shared" si="10"/>
        <v>1000</v>
      </c>
      <c r="Q53" s="4"/>
      <c r="R53" s="5">
        <f t="shared" si="11"/>
        <v>1000</v>
      </c>
    </row>
    <row r="54" spans="1:18" x14ac:dyDescent="0.25">
      <c r="A54" s="3" t="s">
        <v>65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>
        <f t="shared" si="10"/>
        <v>0</v>
      </c>
      <c r="Q54" s="4"/>
      <c r="R54" s="5">
        <f t="shared" si="11"/>
        <v>0</v>
      </c>
    </row>
    <row r="55" spans="1:18" x14ac:dyDescent="0.25">
      <c r="A55" s="3" t="s">
        <v>66</v>
      </c>
      <c r="B55" s="4"/>
      <c r="C55" s="5">
        <f>66</f>
        <v>66</v>
      </c>
      <c r="D55" s="5">
        <f>361</f>
        <v>361</v>
      </c>
      <c r="E55" s="4"/>
      <c r="F55" s="5">
        <f>20.95</f>
        <v>20.95</v>
      </c>
      <c r="G55" s="4"/>
      <c r="H55" s="5">
        <f>144.1</f>
        <v>144.1</v>
      </c>
      <c r="I55" s="4"/>
      <c r="J55" s="4"/>
      <c r="K55" s="4"/>
      <c r="L55" s="4"/>
      <c r="M55" s="4"/>
      <c r="N55" s="4"/>
      <c r="O55" s="4"/>
      <c r="P55" s="5">
        <f t="shared" si="10"/>
        <v>592.04999999999995</v>
      </c>
      <c r="Q55" s="4"/>
      <c r="R55" s="5">
        <f t="shared" si="11"/>
        <v>592.04999999999995</v>
      </c>
    </row>
    <row r="56" spans="1:18" x14ac:dyDescent="0.25">
      <c r="A56" s="3" t="s">
        <v>67</v>
      </c>
      <c r="B56" s="4"/>
      <c r="C56" s="4"/>
      <c r="D56" s="5">
        <f>520.61</f>
        <v>520.61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>
        <f t="shared" si="10"/>
        <v>520.61</v>
      </c>
      <c r="Q56" s="4"/>
      <c r="R56" s="5">
        <f t="shared" si="11"/>
        <v>520.61</v>
      </c>
    </row>
    <row r="57" spans="1:18" x14ac:dyDescent="0.25">
      <c r="A57" s="3" t="s">
        <v>68</v>
      </c>
      <c r="B57" s="4"/>
      <c r="C57" s="4"/>
      <c r="D57" s="5">
        <f>59.98</f>
        <v>59.98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>
        <f t="shared" si="10"/>
        <v>59.98</v>
      </c>
      <c r="Q57" s="4"/>
      <c r="R57" s="5">
        <f t="shared" si="11"/>
        <v>59.98</v>
      </c>
    </row>
    <row r="58" spans="1:18" ht="23.25" x14ac:dyDescent="0.25">
      <c r="A58" s="3" t="s">
        <v>69</v>
      </c>
      <c r="B58" s="4"/>
      <c r="C58" s="5">
        <f>163.95</f>
        <v>163.95</v>
      </c>
      <c r="D58" s="4"/>
      <c r="E58" s="4"/>
      <c r="F58" s="4"/>
      <c r="G58" s="4"/>
      <c r="H58" s="5">
        <f>283.51</f>
        <v>283.51</v>
      </c>
      <c r="I58" s="4"/>
      <c r="J58" s="4"/>
      <c r="K58" s="4"/>
      <c r="L58" s="4"/>
      <c r="M58" s="5">
        <f>346.5</f>
        <v>346.5</v>
      </c>
      <c r="N58" s="4"/>
      <c r="O58" s="4"/>
      <c r="P58" s="5">
        <f t="shared" si="10"/>
        <v>793.96</v>
      </c>
      <c r="Q58" s="4"/>
      <c r="R58" s="5">
        <f t="shared" si="11"/>
        <v>793.96</v>
      </c>
    </row>
    <row r="59" spans="1:18" ht="23.25" x14ac:dyDescent="0.25">
      <c r="A59" s="3" t="s">
        <v>70</v>
      </c>
      <c r="B59" s="4"/>
      <c r="C59" s="4"/>
      <c r="D59" s="4"/>
      <c r="E59" s="4"/>
      <c r="F59" s="4"/>
      <c r="G59" s="5">
        <f>69.99</f>
        <v>69.989999999999995</v>
      </c>
      <c r="H59" s="4"/>
      <c r="I59" s="4"/>
      <c r="J59" s="4"/>
      <c r="K59" s="4"/>
      <c r="L59" s="4"/>
      <c r="M59" s="4"/>
      <c r="N59" s="5">
        <f>69.99</f>
        <v>69.989999999999995</v>
      </c>
      <c r="O59" s="4"/>
      <c r="P59" s="5">
        <f t="shared" si="10"/>
        <v>139.97999999999999</v>
      </c>
      <c r="Q59" s="4"/>
      <c r="R59" s="5">
        <f t="shared" si="11"/>
        <v>139.97999999999999</v>
      </c>
    </row>
    <row r="60" spans="1:18" x14ac:dyDescent="0.25">
      <c r="A60" s="3" t="s">
        <v>71</v>
      </c>
      <c r="B60" s="6">
        <f t="shared" ref="B60:O60" si="15">(((((B54)+(B55))+(B56))+(B57))+(B58))+(B59)</f>
        <v>0</v>
      </c>
      <c r="C60" s="6">
        <f t="shared" si="15"/>
        <v>229.95</v>
      </c>
      <c r="D60" s="6">
        <f t="shared" si="15"/>
        <v>941.59</v>
      </c>
      <c r="E60" s="6">
        <f t="shared" si="15"/>
        <v>0</v>
      </c>
      <c r="F60" s="6">
        <f t="shared" si="15"/>
        <v>20.95</v>
      </c>
      <c r="G60" s="6">
        <f t="shared" si="15"/>
        <v>69.989999999999995</v>
      </c>
      <c r="H60" s="6">
        <f t="shared" si="15"/>
        <v>427.61</v>
      </c>
      <c r="I60" s="6">
        <f t="shared" si="15"/>
        <v>0</v>
      </c>
      <c r="J60" s="6">
        <f t="shared" si="15"/>
        <v>0</v>
      </c>
      <c r="K60" s="6">
        <f t="shared" si="15"/>
        <v>0</v>
      </c>
      <c r="L60" s="6">
        <f t="shared" si="15"/>
        <v>0</v>
      </c>
      <c r="M60" s="6">
        <f t="shared" si="15"/>
        <v>346.5</v>
      </c>
      <c r="N60" s="6">
        <f t="shared" si="15"/>
        <v>69.989999999999995</v>
      </c>
      <c r="O60" s="6">
        <f t="shared" si="15"/>
        <v>0</v>
      </c>
      <c r="P60" s="6">
        <f t="shared" si="10"/>
        <v>2106.58</v>
      </c>
      <c r="Q60" s="6">
        <f>(((((Q54)+(Q55))+(Q56))+(Q57))+(Q58))+(Q59)</f>
        <v>0</v>
      </c>
      <c r="R60" s="6">
        <f t="shared" si="11"/>
        <v>2106.58</v>
      </c>
    </row>
    <row r="61" spans="1:18" x14ac:dyDescent="0.25">
      <c r="A61" s="3" t="s">
        <v>72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5">
        <f t="shared" si="10"/>
        <v>0</v>
      </c>
      <c r="Q61" s="4"/>
      <c r="R61" s="5">
        <f t="shared" si="11"/>
        <v>0</v>
      </c>
    </row>
    <row r="62" spans="1:18" x14ac:dyDescent="0.25">
      <c r="A62" s="3" t="s">
        <v>73</v>
      </c>
      <c r="B62" s="4"/>
      <c r="C62" s="5">
        <f>571.5</f>
        <v>571.5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5">
        <f>1256</f>
        <v>1256</v>
      </c>
      <c r="O62" s="4"/>
      <c r="P62" s="5">
        <f t="shared" si="10"/>
        <v>1827.5</v>
      </c>
      <c r="Q62" s="4"/>
      <c r="R62" s="5">
        <f t="shared" si="11"/>
        <v>1827.5</v>
      </c>
    </row>
    <row r="63" spans="1:18" x14ac:dyDescent="0.25">
      <c r="A63" s="3" t="s">
        <v>74</v>
      </c>
      <c r="B63" s="4"/>
      <c r="C63" s="5">
        <f>507</f>
        <v>507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5">
        <f t="shared" si="10"/>
        <v>507</v>
      </c>
      <c r="Q63" s="4"/>
      <c r="R63" s="5">
        <f t="shared" si="11"/>
        <v>507</v>
      </c>
    </row>
    <row r="64" spans="1:18" x14ac:dyDescent="0.25">
      <c r="A64" s="3" t="s">
        <v>75</v>
      </c>
      <c r="B64" s="4"/>
      <c r="C64" s="4"/>
      <c r="D64" s="4"/>
      <c r="E64" s="4"/>
      <c r="F64" s="4"/>
      <c r="G64" s="4"/>
      <c r="H64" s="5">
        <f>5</f>
        <v>5</v>
      </c>
      <c r="I64" s="4"/>
      <c r="J64" s="4"/>
      <c r="K64" s="4"/>
      <c r="L64" s="4"/>
      <c r="M64" s="4"/>
      <c r="N64" s="4"/>
      <c r="O64" s="4"/>
      <c r="P64" s="5">
        <f t="shared" si="10"/>
        <v>5</v>
      </c>
      <c r="Q64" s="4"/>
      <c r="R64" s="5">
        <f t="shared" si="11"/>
        <v>5</v>
      </c>
    </row>
    <row r="65" spans="1:18" x14ac:dyDescent="0.25">
      <c r="A65" s="3" t="s">
        <v>76</v>
      </c>
      <c r="B65" s="4"/>
      <c r="C65" s="5">
        <f>320</f>
        <v>320</v>
      </c>
      <c r="D65" s="4"/>
      <c r="E65" s="4"/>
      <c r="F65" s="4"/>
      <c r="G65" s="4"/>
      <c r="H65" s="5">
        <f>70</f>
        <v>70</v>
      </c>
      <c r="I65" s="4"/>
      <c r="J65" s="4"/>
      <c r="K65" s="4"/>
      <c r="L65" s="4"/>
      <c r="M65" s="4"/>
      <c r="N65" s="4"/>
      <c r="O65" s="4"/>
      <c r="P65" s="5">
        <f t="shared" si="10"/>
        <v>390</v>
      </c>
      <c r="Q65" s="4"/>
      <c r="R65" s="5">
        <f t="shared" si="11"/>
        <v>390</v>
      </c>
    </row>
    <row r="66" spans="1:18" x14ac:dyDescent="0.25">
      <c r="A66" s="3" t="s">
        <v>77</v>
      </c>
      <c r="B66" s="4"/>
      <c r="C66" s="4"/>
      <c r="D66" s="4"/>
      <c r="E66" s="4"/>
      <c r="F66" s="4"/>
      <c r="G66" s="4"/>
      <c r="H66" s="4"/>
      <c r="I66" s="4"/>
      <c r="J66" s="5">
        <f>90</f>
        <v>90</v>
      </c>
      <c r="K66" s="4"/>
      <c r="L66" s="5">
        <f>861.64</f>
        <v>861.64</v>
      </c>
      <c r="M66" s="4"/>
      <c r="N66" s="5">
        <f>459.99</f>
        <v>459.99</v>
      </c>
      <c r="O66" s="5">
        <f>98.58</f>
        <v>98.58</v>
      </c>
      <c r="P66" s="5">
        <f t="shared" si="10"/>
        <v>1510.21</v>
      </c>
      <c r="Q66" s="4"/>
      <c r="R66" s="5">
        <f t="shared" si="11"/>
        <v>1510.21</v>
      </c>
    </row>
    <row r="67" spans="1:18" x14ac:dyDescent="0.25">
      <c r="A67" s="3" t="s">
        <v>78</v>
      </c>
      <c r="B67" s="4"/>
      <c r="C67" s="4"/>
      <c r="D67" s="4"/>
      <c r="E67" s="5">
        <f>250</f>
        <v>250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5">
        <f t="shared" si="10"/>
        <v>250</v>
      </c>
      <c r="Q67" s="4"/>
      <c r="R67" s="5">
        <f t="shared" si="11"/>
        <v>250</v>
      </c>
    </row>
    <row r="68" spans="1:18" x14ac:dyDescent="0.25">
      <c r="A68" s="3" t="s">
        <v>79</v>
      </c>
      <c r="B68" s="4"/>
      <c r="C68" s="4"/>
      <c r="D68" s="4"/>
      <c r="E68" s="4"/>
      <c r="F68" s="4"/>
      <c r="G68" s="4"/>
      <c r="H68" s="5">
        <f>110</f>
        <v>110</v>
      </c>
      <c r="I68" s="4"/>
      <c r="J68" s="4"/>
      <c r="K68" s="4"/>
      <c r="L68" s="4"/>
      <c r="M68" s="4"/>
      <c r="N68" s="4"/>
      <c r="O68" s="4"/>
      <c r="P68" s="5">
        <f t="shared" si="10"/>
        <v>110</v>
      </c>
      <c r="Q68" s="4"/>
      <c r="R68" s="5">
        <f t="shared" si="11"/>
        <v>110</v>
      </c>
    </row>
    <row r="69" spans="1:18" x14ac:dyDescent="0.25">
      <c r="A69" s="3" t="s">
        <v>80</v>
      </c>
      <c r="B69" s="6">
        <f t="shared" ref="B69:O69" si="16">(((((((B61)+(B62))+(B63))+(B64))+(B65))+(B66))+(B67))+(B68)</f>
        <v>0</v>
      </c>
      <c r="C69" s="6">
        <f t="shared" si="16"/>
        <v>1398.5</v>
      </c>
      <c r="D69" s="6">
        <f t="shared" si="16"/>
        <v>0</v>
      </c>
      <c r="E69" s="6">
        <f t="shared" si="16"/>
        <v>250</v>
      </c>
      <c r="F69" s="6">
        <f t="shared" si="16"/>
        <v>0</v>
      </c>
      <c r="G69" s="6">
        <f t="shared" si="16"/>
        <v>0</v>
      </c>
      <c r="H69" s="6">
        <f t="shared" si="16"/>
        <v>185</v>
      </c>
      <c r="I69" s="6">
        <f t="shared" si="16"/>
        <v>0</v>
      </c>
      <c r="J69" s="6">
        <f t="shared" si="16"/>
        <v>90</v>
      </c>
      <c r="K69" s="6">
        <f t="shared" si="16"/>
        <v>0</v>
      </c>
      <c r="L69" s="6">
        <f t="shared" si="16"/>
        <v>861.64</v>
      </c>
      <c r="M69" s="6">
        <f t="shared" si="16"/>
        <v>0</v>
      </c>
      <c r="N69" s="6">
        <f t="shared" si="16"/>
        <v>1715.99</v>
      </c>
      <c r="O69" s="6">
        <f t="shared" si="16"/>
        <v>98.58</v>
      </c>
      <c r="P69" s="6">
        <f t="shared" si="10"/>
        <v>4599.71</v>
      </c>
      <c r="Q69" s="6">
        <f>(((((((Q61)+(Q62))+(Q63))+(Q64))+(Q65))+(Q66))+(Q67))+(Q68)</f>
        <v>0</v>
      </c>
      <c r="R69" s="6">
        <f t="shared" si="11"/>
        <v>4599.71</v>
      </c>
    </row>
    <row r="70" spans="1:18" x14ac:dyDescent="0.25">
      <c r="A70" s="3" t="s">
        <v>81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5">
        <f t="shared" si="10"/>
        <v>0</v>
      </c>
      <c r="Q70" s="4"/>
      <c r="R70" s="5">
        <f t="shared" si="11"/>
        <v>0</v>
      </c>
    </row>
    <row r="71" spans="1:18" ht="23.25" x14ac:dyDescent="0.25">
      <c r="A71" s="3" t="s">
        <v>82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5">
        <f>108.28</f>
        <v>108.28</v>
      </c>
      <c r="M71" s="4"/>
      <c r="N71" s="4"/>
      <c r="O71" s="4"/>
      <c r="P71" s="5">
        <f t="shared" si="10"/>
        <v>108.28</v>
      </c>
      <c r="Q71" s="4"/>
      <c r="R71" s="5">
        <f t="shared" si="11"/>
        <v>108.28</v>
      </c>
    </row>
    <row r="72" spans="1:18" x14ac:dyDescent="0.25">
      <c r="A72" s="3" t="s">
        <v>83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5">
        <f>-135</f>
        <v>-135</v>
      </c>
      <c r="P72" s="5">
        <f t="shared" si="10"/>
        <v>-135</v>
      </c>
      <c r="Q72" s="4"/>
      <c r="R72" s="5">
        <f t="shared" si="11"/>
        <v>-135</v>
      </c>
    </row>
    <row r="73" spans="1:18" x14ac:dyDescent="0.25">
      <c r="A73" s="3" t="s">
        <v>84</v>
      </c>
      <c r="B73" s="6">
        <f t="shared" ref="B73:O73" si="17">((B70)+(B71))+(B72)</f>
        <v>0</v>
      </c>
      <c r="C73" s="6">
        <f t="shared" si="17"/>
        <v>0</v>
      </c>
      <c r="D73" s="6">
        <f t="shared" si="17"/>
        <v>0</v>
      </c>
      <c r="E73" s="6">
        <f t="shared" si="17"/>
        <v>0</v>
      </c>
      <c r="F73" s="6">
        <f t="shared" si="17"/>
        <v>0</v>
      </c>
      <c r="G73" s="6">
        <f t="shared" si="17"/>
        <v>0</v>
      </c>
      <c r="H73" s="6">
        <f t="shared" si="17"/>
        <v>0</v>
      </c>
      <c r="I73" s="6">
        <f t="shared" si="17"/>
        <v>0</v>
      </c>
      <c r="J73" s="6">
        <f t="shared" si="17"/>
        <v>0</v>
      </c>
      <c r="K73" s="6">
        <f t="shared" si="17"/>
        <v>0</v>
      </c>
      <c r="L73" s="6">
        <f t="shared" si="17"/>
        <v>108.28</v>
      </c>
      <c r="M73" s="6">
        <f t="shared" si="17"/>
        <v>0</v>
      </c>
      <c r="N73" s="6">
        <f t="shared" si="17"/>
        <v>0</v>
      </c>
      <c r="O73" s="6">
        <f t="shared" si="17"/>
        <v>-135</v>
      </c>
      <c r="P73" s="6">
        <f t="shared" si="10"/>
        <v>-26.72</v>
      </c>
      <c r="Q73" s="6">
        <f>((Q70)+(Q71))+(Q72)</f>
        <v>0</v>
      </c>
      <c r="R73" s="6">
        <f t="shared" si="11"/>
        <v>-26.72</v>
      </c>
    </row>
    <row r="74" spans="1:18" x14ac:dyDescent="0.25">
      <c r="A74" s="3" t="s">
        <v>85</v>
      </c>
      <c r="B74" s="4"/>
      <c r="C74" s="5">
        <f>840</f>
        <v>840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5">
        <f t="shared" si="10"/>
        <v>840</v>
      </c>
      <c r="Q74" s="4"/>
      <c r="R74" s="5">
        <f t="shared" si="11"/>
        <v>840</v>
      </c>
    </row>
    <row r="75" spans="1:18" x14ac:dyDescent="0.25">
      <c r="A75" s="3" t="s">
        <v>86</v>
      </c>
      <c r="B75" s="6">
        <f t="shared" ref="B75:O75" si="18">(((((((B41)+(B47))+(B52))+(B53))+(B60))+(B69))+(B73))+(B74)</f>
        <v>258.47000000000003</v>
      </c>
      <c r="C75" s="6">
        <f t="shared" si="18"/>
        <v>2605.5</v>
      </c>
      <c r="D75" s="6">
        <f t="shared" si="18"/>
        <v>951.30000000000007</v>
      </c>
      <c r="E75" s="6">
        <f t="shared" si="18"/>
        <v>250</v>
      </c>
      <c r="F75" s="6">
        <f t="shared" si="18"/>
        <v>481.15</v>
      </c>
      <c r="G75" s="6">
        <f t="shared" si="18"/>
        <v>89</v>
      </c>
      <c r="H75" s="6">
        <f t="shared" si="18"/>
        <v>7962.5199999999995</v>
      </c>
      <c r="I75" s="6">
        <f t="shared" si="18"/>
        <v>225</v>
      </c>
      <c r="J75" s="6">
        <f t="shared" si="18"/>
        <v>90</v>
      </c>
      <c r="K75" s="6">
        <f t="shared" si="18"/>
        <v>0</v>
      </c>
      <c r="L75" s="6">
        <f t="shared" si="18"/>
        <v>969.92</v>
      </c>
      <c r="M75" s="6">
        <f t="shared" si="18"/>
        <v>346.5</v>
      </c>
      <c r="N75" s="6">
        <f t="shared" si="18"/>
        <v>2503.96</v>
      </c>
      <c r="O75" s="6">
        <f t="shared" si="18"/>
        <v>-36.42</v>
      </c>
      <c r="P75" s="6">
        <f t="shared" si="10"/>
        <v>16438.43</v>
      </c>
      <c r="Q75" s="6">
        <f>(((((((Q41)+(Q47))+(Q52))+(Q53))+(Q60))+(Q69))+(Q73))+(Q74)</f>
        <v>110.93</v>
      </c>
      <c r="R75" s="6">
        <f t="shared" si="11"/>
        <v>16807.830000000002</v>
      </c>
    </row>
    <row r="76" spans="1:18" x14ac:dyDescent="0.25">
      <c r="A76" s="3" t="s">
        <v>87</v>
      </c>
      <c r="B76" s="6">
        <f t="shared" ref="B76:O76" si="19">(B34)-(B75)</f>
        <v>2022.05</v>
      </c>
      <c r="C76" s="6">
        <f t="shared" si="19"/>
        <v>-1540.4299999999998</v>
      </c>
      <c r="D76" s="6">
        <f t="shared" si="19"/>
        <v>-661.30000000000007</v>
      </c>
      <c r="E76" s="6">
        <f t="shared" si="19"/>
        <v>-250</v>
      </c>
      <c r="F76" s="6">
        <f t="shared" si="19"/>
        <v>-481.15</v>
      </c>
      <c r="G76" s="6">
        <f t="shared" si="19"/>
        <v>2296</v>
      </c>
      <c r="H76" s="6">
        <f t="shared" si="19"/>
        <v>-7912.5199999999995</v>
      </c>
      <c r="I76" s="6">
        <f t="shared" si="19"/>
        <v>-225</v>
      </c>
      <c r="J76" s="6">
        <f t="shared" si="19"/>
        <v>-90</v>
      </c>
      <c r="K76" s="6">
        <f t="shared" si="19"/>
        <v>15</v>
      </c>
      <c r="L76" s="6">
        <f t="shared" si="19"/>
        <v>-124.91999999999996</v>
      </c>
      <c r="M76" s="6">
        <f t="shared" si="19"/>
        <v>-346.5</v>
      </c>
      <c r="N76" s="6">
        <f t="shared" si="19"/>
        <v>15546.04</v>
      </c>
      <c r="O76" s="6">
        <f t="shared" si="19"/>
        <v>207.42000000000002</v>
      </c>
      <c r="P76" s="6">
        <f t="shared" si="10"/>
        <v>6432.6400000000012</v>
      </c>
      <c r="Q76" s="6">
        <f>(Q34)-(Q75)</f>
        <v>0</v>
      </c>
      <c r="R76" s="6">
        <f t="shared" si="11"/>
        <v>8454.69</v>
      </c>
    </row>
    <row r="77" spans="1:18" x14ac:dyDescent="0.25">
      <c r="A77" s="3" t="s">
        <v>88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25">
      <c r="A78" s="3" t="s">
        <v>89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5">
        <f>((((((((((((C78)+(D78))+(E78))+(F78))+(G78))+(H78))+(I78))+(J78))+(K78))+(L78))+(M78))+(N78))+(O78)</f>
        <v>0</v>
      </c>
      <c r="Q78" s="4"/>
      <c r="R78" s="5">
        <f>((B78)+(P78))+(Q78)</f>
        <v>0</v>
      </c>
    </row>
    <row r="79" spans="1:18" x14ac:dyDescent="0.25">
      <c r="A79" s="3" t="s">
        <v>90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5">
        <f>((((((((((((C79)+(D79))+(E79))+(F79))+(G79))+(H79))+(I79))+(J79))+(K79))+(L79))+(M79))+(N79))+(O79)</f>
        <v>0</v>
      </c>
      <c r="Q79" s="5">
        <f>-110.93</f>
        <v>-110.93</v>
      </c>
      <c r="R79" s="5">
        <f>((B79)+(P79))+(Q79)</f>
        <v>-110.93</v>
      </c>
    </row>
    <row r="80" spans="1:18" ht="23.25" x14ac:dyDescent="0.25">
      <c r="A80" s="3" t="s">
        <v>91</v>
      </c>
      <c r="B80" s="6">
        <f t="shared" ref="B80:O80" si="20">(B78)+(B79)</f>
        <v>0</v>
      </c>
      <c r="C80" s="6">
        <f t="shared" si="20"/>
        <v>0</v>
      </c>
      <c r="D80" s="6">
        <f t="shared" si="20"/>
        <v>0</v>
      </c>
      <c r="E80" s="6">
        <f t="shared" si="20"/>
        <v>0</v>
      </c>
      <c r="F80" s="6">
        <f t="shared" si="20"/>
        <v>0</v>
      </c>
      <c r="G80" s="6">
        <f t="shared" si="20"/>
        <v>0</v>
      </c>
      <c r="H80" s="6">
        <f t="shared" si="20"/>
        <v>0</v>
      </c>
      <c r="I80" s="6">
        <f t="shared" si="20"/>
        <v>0</v>
      </c>
      <c r="J80" s="6">
        <f t="shared" si="20"/>
        <v>0</v>
      </c>
      <c r="K80" s="6">
        <f t="shared" si="20"/>
        <v>0</v>
      </c>
      <c r="L80" s="6">
        <f t="shared" si="20"/>
        <v>0</v>
      </c>
      <c r="M80" s="6">
        <f t="shared" si="20"/>
        <v>0</v>
      </c>
      <c r="N80" s="6">
        <f t="shared" si="20"/>
        <v>0</v>
      </c>
      <c r="O80" s="6">
        <f t="shared" si="20"/>
        <v>0</v>
      </c>
      <c r="P80" s="6">
        <f>((((((((((((C80)+(D80))+(E80))+(F80))+(G80))+(H80))+(I80))+(J80))+(K80))+(L80))+(M80))+(N80))+(O80)</f>
        <v>0</v>
      </c>
      <c r="Q80" s="6">
        <f>(Q78)+(Q79)</f>
        <v>-110.93</v>
      </c>
      <c r="R80" s="6">
        <f>((B80)+(P80))+(Q80)</f>
        <v>-110.93</v>
      </c>
    </row>
    <row r="81" spans="1:18" x14ac:dyDescent="0.25">
      <c r="A81" s="3" t="s">
        <v>92</v>
      </c>
      <c r="B81" s="5">
        <f>6687.28</f>
        <v>6687.28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5">
        <f>((((((((((((C81)+(D81))+(E81))+(F81))+(G81))+(H81))+(I81))+(J81))+(K81))+(L81))+(M81))+(N81))+(O81)</f>
        <v>0</v>
      </c>
      <c r="Q81" s="4"/>
      <c r="R81" s="5">
        <f>((B81)+(P81))+(Q81)</f>
        <v>6687.28</v>
      </c>
    </row>
    <row r="82" spans="1:18" x14ac:dyDescent="0.25">
      <c r="A82" s="3" t="s">
        <v>93</v>
      </c>
      <c r="B82" s="6">
        <f t="shared" ref="B82:O82" si="21">(B80)+(B81)</f>
        <v>6687.28</v>
      </c>
      <c r="C82" s="6">
        <f t="shared" si="21"/>
        <v>0</v>
      </c>
      <c r="D82" s="6">
        <f t="shared" si="21"/>
        <v>0</v>
      </c>
      <c r="E82" s="6">
        <f t="shared" si="21"/>
        <v>0</v>
      </c>
      <c r="F82" s="6">
        <f t="shared" si="21"/>
        <v>0</v>
      </c>
      <c r="G82" s="6">
        <f t="shared" si="21"/>
        <v>0</v>
      </c>
      <c r="H82" s="6">
        <f t="shared" si="21"/>
        <v>0</v>
      </c>
      <c r="I82" s="6">
        <f t="shared" si="21"/>
        <v>0</v>
      </c>
      <c r="J82" s="6">
        <f t="shared" si="21"/>
        <v>0</v>
      </c>
      <c r="K82" s="6">
        <f t="shared" si="21"/>
        <v>0</v>
      </c>
      <c r="L82" s="6">
        <f t="shared" si="21"/>
        <v>0</v>
      </c>
      <c r="M82" s="6">
        <f t="shared" si="21"/>
        <v>0</v>
      </c>
      <c r="N82" s="6">
        <f t="shared" si="21"/>
        <v>0</v>
      </c>
      <c r="O82" s="6">
        <f t="shared" si="21"/>
        <v>0</v>
      </c>
      <c r="P82" s="6">
        <f>((((((((((((C82)+(D82))+(E82))+(F82))+(G82))+(H82))+(I82))+(J82))+(K82))+(L82))+(M82))+(N82))+(O82)</f>
        <v>0</v>
      </c>
      <c r="Q82" s="6">
        <f>(Q80)+(Q81)</f>
        <v>-110.93</v>
      </c>
      <c r="R82" s="6">
        <f>((B82)+(P82))+(Q82)</f>
        <v>6576.3499999999995</v>
      </c>
    </row>
    <row r="83" spans="1:18" x14ac:dyDescent="0.25">
      <c r="A83" s="3" t="s">
        <v>94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25">
      <c r="A84" s="3" t="s">
        <v>95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5">
        <f t="shared" ref="P84:P90" si="22">((((((((((((C84)+(D84))+(E84))+(F84))+(G84))+(H84))+(I84))+(J84))+(K84))+(L84))+(M84))+(N84))+(O84)</f>
        <v>0</v>
      </c>
      <c r="Q84" s="4"/>
      <c r="R84" s="5">
        <f t="shared" ref="R84:R90" si="23">((B84)+(P84))+(Q84)</f>
        <v>0</v>
      </c>
    </row>
    <row r="85" spans="1:18" ht="23.25" x14ac:dyDescent="0.25">
      <c r="A85" s="3" t="s">
        <v>96</v>
      </c>
      <c r="B85" s="4"/>
      <c r="C85" s="4"/>
      <c r="D85" s="4"/>
      <c r="E85" s="4"/>
      <c r="F85" s="4"/>
      <c r="G85" s="4"/>
      <c r="H85" s="5">
        <f>830.62</f>
        <v>830.62</v>
      </c>
      <c r="I85" s="4"/>
      <c r="J85" s="4"/>
      <c r="K85" s="4"/>
      <c r="L85" s="4"/>
      <c r="M85" s="4"/>
      <c r="N85" s="4"/>
      <c r="O85" s="4"/>
      <c r="P85" s="5">
        <f t="shared" si="22"/>
        <v>830.62</v>
      </c>
      <c r="Q85" s="4"/>
      <c r="R85" s="5">
        <f t="shared" si="23"/>
        <v>830.62</v>
      </c>
    </row>
    <row r="86" spans="1:18" x14ac:dyDescent="0.25">
      <c r="A86" s="3" t="s">
        <v>97</v>
      </c>
      <c r="B86" s="6">
        <f t="shared" ref="B86:O86" si="24">(B84)+(B85)</f>
        <v>0</v>
      </c>
      <c r="C86" s="6">
        <f t="shared" si="24"/>
        <v>0</v>
      </c>
      <c r="D86" s="6">
        <f t="shared" si="24"/>
        <v>0</v>
      </c>
      <c r="E86" s="6">
        <f t="shared" si="24"/>
        <v>0</v>
      </c>
      <c r="F86" s="6">
        <f t="shared" si="24"/>
        <v>0</v>
      </c>
      <c r="G86" s="6">
        <f t="shared" si="24"/>
        <v>0</v>
      </c>
      <c r="H86" s="6">
        <f t="shared" si="24"/>
        <v>830.62</v>
      </c>
      <c r="I86" s="6">
        <f t="shared" si="24"/>
        <v>0</v>
      </c>
      <c r="J86" s="6">
        <f t="shared" si="24"/>
        <v>0</v>
      </c>
      <c r="K86" s="6">
        <f t="shared" si="24"/>
        <v>0</v>
      </c>
      <c r="L86" s="6">
        <f t="shared" si="24"/>
        <v>0</v>
      </c>
      <c r="M86" s="6">
        <f t="shared" si="24"/>
        <v>0</v>
      </c>
      <c r="N86" s="6">
        <f t="shared" si="24"/>
        <v>0</v>
      </c>
      <c r="O86" s="6">
        <f t="shared" si="24"/>
        <v>0</v>
      </c>
      <c r="P86" s="6">
        <f t="shared" si="22"/>
        <v>830.62</v>
      </c>
      <c r="Q86" s="6">
        <f>(Q84)+(Q85)</f>
        <v>0</v>
      </c>
      <c r="R86" s="6">
        <f t="shared" si="23"/>
        <v>830.62</v>
      </c>
    </row>
    <row r="87" spans="1:18" ht="23.25" x14ac:dyDescent="0.25">
      <c r="A87" s="3" t="s">
        <v>98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5">
        <f>6687.28</f>
        <v>6687.28</v>
      </c>
      <c r="O87" s="4"/>
      <c r="P87" s="5">
        <f t="shared" si="22"/>
        <v>6687.28</v>
      </c>
      <c r="Q87" s="4"/>
      <c r="R87" s="5">
        <f t="shared" si="23"/>
        <v>6687.28</v>
      </c>
    </row>
    <row r="88" spans="1:18" x14ac:dyDescent="0.25">
      <c r="A88" s="3" t="s">
        <v>99</v>
      </c>
      <c r="B88" s="6">
        <f t="shared" ref="B88:O88" si="25">(B86)+(B87)</f>
        <v>0</v>
      </c>
      <c r="C88" s="6">
        <f t="shared" si="25"/>
        <v>0</v>
      </c>
      <c r="D88" s="6">
        <f t="shared" si="25"/>
        <v>0</v>
      </c>
      <c r="E88" s="6">
        <f t="shared" si="25"/>
        <v>0</v>
      </c>
      <c r="F88" s="6">
        <f t="shared" si="25"/>
        <v>0</v>
      </c>
      <c r="G88" s="6">
        <f t="shared" si="25"/>
        <v>0</v>
      </c>
      <c r="H88" s="6">
        <f t="shared" si="25"/>
        <v>830.62</v>
      </c>
      <c r="I88" s="6">
        <f t="shared" si="25"/>
        <v>0</v>
      </c>
      <c r="J88" s="6">
        <f t="shared" si="25"/>
        <v>0</v>
      </c>
      <c r="K88" s="6">
        <f t="shared" si="25"/>
        <v>0</v>
      </c>
      <c r="L88" s="6">
        <f t="shared" si="25"/>
        <v>0</v>
      </c>
      <c r="M88" s="6">
        <f t="shared" si="25"/>
        <v>0</v>
      </c>
      <c r="N88" s="6">
        <f t="shared" si="25"/>
        <v>6687.28</v>
      </c>
      <c r="O88" s="6">
        <f t="shared" si="25"/>
        <v>0</v>
      </c>
      <c r="P88" s="6">
        <f t="shared" si="22"/>
        <v>7517.9</v>
      </c>
      <c r="Q88" s="6">
        <f>(Q86)+(Q87)</f>
        <v>0</v>
      </c>
      <c r="R88" s="6">
        <f t="shared" si="23"/>
        <v>7517.9</v>
      </c>
    </row>
    <row r="89" spans="1:18" x14ac:dyDescent="0.25">
      <c r="A89" s="3" t="s">
        <v>100</v>
      </c>
      <c r="B89" s="6">
        <f t="shared" ref="B89:O89" si="26">(B82)-(B88)</f>
        <v>6687.28</v>
      </c>
      <c r="C89" s="6">
        <f t="shared" si="26"/>
        <v>0</v>
      </c>
      <c r="D89" s="6">
        <f t="shared" si="26"/>
        <v>0</v>
      </c>
      <c r="E89" s="6">
        <f t="shared" si="26"/>
        <v>0</v>
      </c>
      <c r="F89" s="6">
        <f t="shared" si="26"/>
        <v>0</v>
      </c>
      <c r="G89" s="6">
        <f t="shared" si="26"/>
        <v>0</v>
      </c>
      <c r="H89" s="6">
        <f t="shared" si="26"/>
        <v>-830.62</v>
      </c>
      <c r="I89" s="6">
        <f t="shared" si="26"/>
        <v>0</v>
      </c>
      <c r="J89" s="6">
        <f t="shared" si="26"/>
        <v>0</v>
      </c>
      <c r="K89" s="6">
        <f t="shared" si="26"/>
        <v>0</v>
      </c>
      <c r="L89" s="6">
        <f t="shared" si="26"/>
        <v>0</v>
      </c>
      <c r="M89" s="6">
        <f t="shared" si="26"/>
        <v>0</v>
      </c>
      <c r="N89" s="6">
        <f t="shared" si="26"/>
        <v>-6687.28</v>
      </c>
      <c r="O89" s="6">
        <f t="shared" si="26"/>
        <v>0</v>
      </c>
      <c r="P89" s="6">
        <f t="shared" si="22"/>
        <v>-7517.9</v>
      </c>
      <c r="Q89" s="6">
        <f>(Q82)-(Q88)</f>
        <v>-110.93</v>
      </c>
      <c r="R89" s="6">
        <f t="shared" si="23"/>
        <v>-941.55</v>
      </c>
    </row>
    <row r="90" spans="1:18" x14ac:dyDescent="0.25">
      <c r="A90" s="3" t="s">
        <v>101</v>
      </c>
      <c r="B90" s="7">
        <f t="shared" ref="B90:O90" si="27">(B76)+(B89)</f>
        <v>8709.33</v>
      </c>
      <c r="C90" s="7">
        <f t="shared" si="27"/>
        <v>-1540.4299999999998</v>
      </c>
      <c r="D90" s="7">
        <f t="shared" si="27"/>
        <v>-661.30000000000007</v>
      </c>
      <c r="E90" s="7">
        <f t="shared" si="27"/>
        <v>-250</v>
      </c>
      <c r="F90" s="7">
        <f t="shared" si="27"/>
        <v>-481.15</v>
      </c>
      <c r="G90" s="7">
        <f t="shared" si="27"/>
        <v>2296</v>
      </c>
      <c r="H90" s="7">
        <f t="shared" si="27"/>
        <v>-8743.14</v>
      </c>
      <c r="I90" s="7">
        <f t="shared" si="27"/>
        <v>-225</v>
      </c>
      <c r="J90" s="7">
        <f t="shared" si="27"/>
        <v>-90</v>
      </c>
      <c r="K90" s="7">
        <f t="shared" si="27"/>
        <v>15</v>
      </c>
      <c r="L90" s="7">
        <f t="shared" si="27"/>
        <v>-124.91999999999996</v>
      </c>
      <c r="M90" s="7">
        <f t="shared" si="27"/>
        <v>-346.5</v>
      </c>
      <c r="N90" s="7">
        <f t="shared" si="27"/>
        <v>8858.760000000002</v>
      </c>
      <c r="O90" s="7">
        <f t="shared" si="27"/>
        <v>207.42000000000002</v>
      </c>
      <c r="P90" s="7">
        <f t="shared" si="22"/>
        <v>-1085.2599999999984</v>
      </c>
      <c r="Q90" s="7">
        <f>(Q76)+(Q89)</f>
        <v>-110.93</v>
      </c>
      <c r="R90" s="7">
        <f t="shared" si="23"/>
        <v>7513.1400000000012</v>
      </c>
    </row>
    <row r="91" spans="1:18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4" spans="1:18" x14ac:dyDescent="0.25">
      <c r="A94" s="8" t="s">
        <v>102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</sheetData>
  <mergeCells count="4">
    <mergeCell ref="A94:R94"/>
    <mergeCell ref="A1:R1"/>
    <mergeCell ref="A2:R2"/>
    <mergeCell ref="A3:R3"/>
  </mergeCells>
  <printOptions gridLines="1"/>
  <pageMargins left="0.5" right="0" top="0" bottom="0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Profit and Loss by Class</vt:lpstr>
      <vt:lpstr>'Profit and Loss by Class'!Print_Titles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Gay Adams</cp:lastModifiedBy>
  <cp:lastPrinted>2020-11-02T22:53:03Z</cp:lastPrinted>
  <dcterms:created xsi:type="dcterms:W3CDTF">2020-11-02T22:50:11Z</dcterms:created>
  <dcterms:modified xsi:type="dcterms:W3CDTF">2020-11-03T01:12:34Z</dcterms:modified>
</cp:coreProperties>
</file>