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owner pc\Desktop\FCA 2\DCA Information\DCA 2019-2020 Lists\"/>
    </mc:Choice>
  </mc:AlternateContent>
  <xr:revisionPtr revIDLastSave="0" documentId="8_{34DE0AF9-65EA-4750-B366-953E87B785AA}" xr6:coauthVersionLast="41" xr6:coauthVersionMax="41" xr10:uidLastSave="{00000000-0000-0000-0000-000000000000}"/>
  <bookViews>
    <workbookView xWindow="-120" yWindow="-120" windowWidth="24240" windowHeight="13140" xr2:uid="{00000000-000D-0000-FFFF-FFFF00000000}"/>
  </bookViews>
  <sheets>
    <sheet name="CM Grants at $7,376,221" sheetId="4" r:id="rId1"/>
    <sheet name="Front Page" sheetId="1" r:id="rId2"/>
    <sheet name="Sheet2" sheetId="2" r:id="rId3"/>
    <sheet name="First Calculations" sheetId="3" r:id="rId4"/>
  </sheets>
  <definedNames>
    <definedName name="_xlnm.Print_Titles" localSheetId="1">'Front Page'!$1:$1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H490" i="4" l="1"/>
  <c r="L490" i="4" s="1"/>
  <c r="H489" i="4"/>
  <c r="J489" i="4" s="1"/>
  <c r="L488" i="4"/>
  <c r="H488" i="4"/>
  <c r="J488" i="4" s="1"/>
  <c r="L487" i="4"/>
  <c r="J487" i="4"/>
  <c r="H487" i="4"/>
  <c r="H486" i="4"/>
  <c r="L486" i="4" s="1"/>
  <c r="H485" i="4"/>
  <c r="J485" i="4" s="1"/>
  <c r="L484" i="4"/>
  <c r="H484" i="4"/>
  <c r="J484" i="4" s="1"/>
  <c r="L483" i="4"/>
  <c r="J483" i="4"/>
  <c r="H483" i="4"/>
  <c r="H482" i="4"/>
  <c r="L482" i="4" s="1"/>
  <c r="H481" i="4"/>
  <c r="J481" i="4" s="1"/>
  <c r="R480" i="4"/>
  <c r="H480" i="4"/>
  <c r="J480" i="4" s="1"/>
  <c r="L479" i="4"/>
  <c r="H479" i="4"/>
  <c r="J479" i="4" s="1"/>
  <c r="L478" i="4"/>
  <c r="J478" i="4"/>
  <c r="H478" i="4"/>
  <c r="H477" i="4"/>
  <c r="H476" i="4"/>
  <c r="J476" i="4" s="1"/>
  <c r="L475" i="4"/>
  <c r="H475" i="4"/>
  <c r="J475" i="4" s="1"/>
  <c r="L474" i="4"/>
  <c r="J474" i="4"/>
  <c r="H474" i="4"/>
  <c r="H473" i="4"/>
  <c r="H472" i="4"/>
  <c r="J472" i="4" s="1"/>
  <c r="L471" i="4"/>
  <c r="H471" i="4"/>
  <c r="J471" i="4" s="1"/>
  <c r="L470" i="4"/>
  <c r="J470" i="4"/>
  <c r="H470" i="4"/>
  <c r="H469" i="4"/>
  <c r="H468" i="4"/>
  <c r="J468" i="4" s="1"/>
  <c r="L467" i="4"/>
  <c r="H467" i="4"/>
  <c r="J467" i="4" s="1"/>
  <c r="L466" i="4"/>
  <c r="J466" i="4"/>
  <c r="H466" i="4"/>
  <c r="H465" i="4"/>
  <c r="H464" i="4"/>
  <c r="J464" i="4" s="1"/>
  <c r="L463" i="4"/>
  <c r="H463" i="4"/>
  <c r="J463" i="4" s="1"/>
  <c r="L462" i="4"/>
  <c r="J462" i="4"/>
  <c r="H462" i="4"/>
  <c r="H461" i="4"/>
  <c r="H460" i="4"/>
  <c r="J460" i="4" s="1"/>
  <c r="L459" i="4"/>
  <c r="H459" i="4"/>
  <c r="J459" i="4" s="1"/>
  <c r="L458" i="4"/>
  <c r="J458" i="4"/>
  <c r="H458" i="4"/>
  <c r="H457" i="4"/>
  <c r="H456" i="4"/>
  <c r="J456" i="4" s="1"/>
  <c r="L455" i="4"/>
  <c r="H455" i="4"/>
  <c r="J455" i="4" s="1"/>
  <c r="L454" i="4"/>
  <c r="J454" i="4"/>
  <c r="H454" i="4"/>
  <c r="H453" i="4"/>
  <c r="H452" i="4"/>
  <c r="J452" i="4" s="1"/>
  <c r="L451" i="4"/>
  <c r="H451" i="4"/>
  <c r="J451" i="4" s="1"/>
  <c r="L450" i="4"/>
  <c r="J450" i="4"/>
  <c r="H450" i="4"/>
  <c r="H449" i="4"/>
  <c r="H448" i="4"/>
  <c r="J448" i="4" s="1"/>
  <c r="L447" i="4"/>
  <c r="H447" i="4"/>
  <c r="J447" i="4" s="1"/>
  <c r="L446" i="4"/>
  <c r="J446" i="4"/>
  <c r="H446" i="4"/>
  <c r="H445" i="4"/>
  <c r="H444" i="4"/>
  <c r="J444" i="4" s="1"/>
  <c r="L443" i="4"/>
  <c r="H443" i="4"/>
  <c r="J443" i="4" s="1"/>
  <c r="L442" i="4"/>
  <c r="J442" i="4"/>
  <c r="H442" i="4"/>
  <c r="H441" i="4"/>
  <c r="H440" i="4"/>
  <c r="J440" i="4" s="1"/>
  <c r="L439" i="4"/>
  <c r="H439" i="4"/>
  <c r="J439" i="4" s="1"/>
  <c r="L438" i="4"/>
  <c r="J438" i="4"/>
  <c r="H438" i="4"/>
  <c r="H437" i="4"/>
  <c r="H436" i="4"/>
  <c r="J436" i="4" s="1"/>
  <c r="L435" i="4"/>
  <c r="H435" i="4"/>
  <c r="J435" i="4" s="1"/>
  <c r="L434" i="4"/>
  <c r="J434" i="4"/>
  <c r="H434" i="4"/>
  <c r="H433" i="4"/>
  <c r="L433" i="4" s="1"/>
  <c r="H432" i="4"/>
  <c r="L431" i="4"/>
  <c r="H431" i="4"/>
  <c r="J431" i="4" s="1"/>
  <c r="L430" i="4"/>
  <c r="J430" i="4"/>
  <c r="H430" i="4"/>
  <c r="H429" i="4"/>
  <c r="L429" i="4" s="1"/>
  <c r="H428" i="4"/>
  <c r="L427" i="4"/>
  <c r="H427" i="4"/>
  <c r="J427" i="4" s="1"/>
  <c r="L426" i="4"/>
  <c r="J426" i="4"/>
  <c r="H426" i="4"/>
  <c r="H425" i="4"/>
  <c r="L425" i="4" s="1"/>
  <c r="H424" i="4"/>
  <c r="L423" i="4"/>
  <c r="H423" i="4"/>
  <c r="J423" i="4" s="1"/>
  <c r="L422" i="4"/>
  <c r="J422" i="4"/>
  <c r="H422" i="4"/>
  <c r="H421" i="4"/>
  <c r="L421" i="4" s="1"/>
  <c r="H420" i="4"/>
  <c r="L419" i="4"/>
  <c r="H419" i="4"/>
  <c r="J419" i="4" s="1"/>
  <c r="L418" i="4"/>
  <c r="J418" i="4"/>
  <c r="H418" i="4"/>
  <c r="H417" i="4"/>
  <c r="L417" i="4" s="1"/>
  <c r="H416" i="4"/>
  <c r="L415" i="4"/>
  <c r="H415" i="4"/>
  <c r="J415" i="4" s="1"/>
  <c r="L414" i="4"/>
  <c r="J414" i="4"/>
  <c r="H414" i="4"/>
  <c r="H413" i="4"/>
  <c r="L413" i="4" s="1"/>
  <c r="H412" i="4"/>
  <c r="L411" i="4"/>
  <c r="H411" i="4"/>
  <c r="J411" i="4" s="1"/>
  <c r="L410" i="4"/>
  <c r="J410" i="4"/>
  <c r="H410" i="4"/>
  <c r="H409" i="4"/>
  <c r="L409" i="4" s="1"/>
  <c r="H408" i="4"/>
  <c r="L407" i="4"/>
  <c r="H407" i="4"/>
  <c r="J407" i="4" s="1"/>
  <c r="L406" i="4"/>
  <c r="J406" i="4"/>
  <c r="H406" i="4"/>
  <c r="H405" i="4"/>
  <c r="L405" i="4" s="1"/>
  <c r="H404" i="4"/>
  <c r="L403" i="4"/>
  <c r="H403" i="4"/>
  <c r="J403" i="4" s="1"/>
  <c r="L402" i="4"/>
  <c r="J402" i="4"/>
  <c r="H402" i="4"/>
  <c r="H401" i="4"/>
  <c r="L401" i="4" s="1"/>
  <c r="H400" i="4"/>
  <c r="L399" i="4"/>
  <c r="H399" i="4"/>
  <c r="J399" i="4" s="1"/>
  <c r="L398" i="4"/>
  <c r="J398" i="4"/>
  <c r="H398" i="4"/>
  <c r="H397" i="4"/>
  <c r="L397" i="4" s="1"/>
  <c r="H396" i="4"/>
  <c r="L395" i="4"/>
  <c r="H395" i="4"/>
  <c r="J395" i="4" s="1"/>
  <c r="L394" i="4"/>
  <c r="J394" i="4"/>
  <c r="H394" i="4"/>
  <c r="H393" i="4"/>
  <c r="L393" i="4" s="1"/>
  <c r="H392" i="4"/>
  <c r="L391" i="4"/>
  <c r="H391" i="4"/>
  <c r="J391" i="4" s="1"/>
  <c r="L390" i="4"/>
  <c r="J390" i="4"/>
  <c r="H390" i="4"/>
  <c r="H389" i="4"/>
  <c r="L389" i="4" s="1"/>
  <c r="H388" i="4"/>
  <c r="L387" i="4"/>
  <c r="H387" i="4"/>
  <c r="J387" i="4" s="1"/>
  <c r="L386" i="4"/>
  <c r="J386" i="4"/>
  <c r="H386" i="4"/>
  <c r="H385" i="4"/>
  <c r="L385" i="4" s="1"/>
  <c r="H384" i="4"/>
  <c r="L383" i="4"/>
  <c r="H383" i="4"/>
  <c r="J383" i="4" s="1"/>
  <c r="L382" i="4"/>
  <c r="J382" i="4"/>
  <c r="H382" i="4"/>
  <c r="H381" i="4"/>
  <c r="L381" i="4" s="1"/>
  <c r="H380" i="4"/>
  <c r="L379" i="4"/>
  <c r="H379" i="4"/>
  <c r="J379" i="4" s="1"/>
  <c r="L378" i="4"/>
  <c r="J378" i="4"/>
  <c r="H378" i="4"/>
  <c r="H377" i="4"/>
  <c r="L377" i="4" s="1"/>
  <c r="H376" i="4"/>
  <c r="L375" i="4"/>
  <c r="H375" i="4"/>
  <c r="J375" i="4" s="1"/>
  <c r="L374" i="4"/>
  <c r="J374" i="4"/>
  <c r="H374" i="4"/>
  <c r="H373" i="4"/>
  <c r="L373" i="4" s="1"/>
  <c r="H372" i="4"/>
  <c r="L371" i="4"/>
  <c r="H371" i="4"/>
  <c r="J371" i="4" s="1"/>
  <c r="L370" i="4"/>
  <c r="J370" i="4"/>
  <c r="H370" i="4"/>
  <c r="H369" i="4"/>
  <c r="L369" i="4" s="1"/>
  <c r="H368" i="4"/>
  <c r="L367" i="4"/>
  <c r="H367" i="4"/>
  <c r="J367" i="4" s="1"/>
  <c r="L366" i="4"/>
  <c r="J366" i="4"/>
  <c r="H366" i="4"/>
  <c r="H365" i="4"/>
  <c r="L365" i="4" s="1"/>
  <c r="H364" i="4"/>
  <c r="L363" i="4"/>
  <c r="H363" i="4"/>
  <c r="J363" i="4" s="1"/>
  <c r="L362" i="4"/>
  <c r="J362" i="4"/>
  <c r="H362" i="4"/>
  <c r="H361" i="4"/>
  <c r="L361" i="4" s="1"/>
  <c r="H360" i="4"/>
  <c r="L359" i="4"/>
  <c r="H359" i="4"/>
  <c r="J359" i="4" s="1"/>
  <c r="L358" i="4"/>
  <c r="J358" i="4"/>
  <c r="H358" i="4"/>
  <c r="H357" i="4"/>
  <c r="L357" i="4" s="1"/>
  <c r="H356" i="4"/>
  <c r="L355" i="4"/>
  <c r="H355" i="4"/>
  <c r="J355" i="4" s="1"/>
  <c r="L354" i="4"/>
  <c r="J354" i="4"/>
  <c r="H354" i="4"/>
  <c r="H353" i="4"/>
  <c r="L353" i="4" s="1"/>
  <c r="H352" i="4"/>
  <c r="L351" i="4"/>
  <c r="H351" i="4"/>
  <c r="J351" i="4" s="1"/>
  <c r="L350" i="4"/>
  <c r="J350" i="4"/>
  <c r="H350" i="4"/>
  <c r="H349" i="4"/>
  <c r="L349" i="4" s="1"/>
  <c r="H348" i="4"/>
  <c r="L347" i="4"/>
  <c r="H347" i="4"/>
  <c r="J347" i="4" s="1"/>
  <c r="L346" i="4"/>
  <c r="J346" i="4"/>
  <c r="H346" i="4"/>
  <c r="H345" i="4"/>
  <c r="L345" i="4" s="1"/>
  <c r="H344" i="4"/>
  <c r="L343" i="4"/>
  <c r="H343" i="4"/>
  <c r="J343" i="4" s="1"/>
  <c r="L342" i="4"/>
  <c r="J342" i="4"/>
  <c r="H342" i="4"/>
  <c r="H341" i="4"/>
  <c r="L341" i="4" s="1"/>
  <c r="H340" i="4"/>
  <c r="L339" i="4"/>
  <c r="H339" i="4"/>
  <c r="J339" i="4" s="1"/>
  <c r="L338" i="4"/>
  <c r="J338" i="4"/>
  <c r="H338" i="4"/>
  <c r="H337" i="4"/>
  <c r="L337" i="4" s="1"/>
  <c r="H336" i="4"/>
  <c r="L335" i="4"/>
  <c r="H335" i="4"/>
  <c r="J335" i="4" s="1"/>
  <c r="L334" i="4"/>
  <c r="J334" i="4"/>
  <c r="H334" i="4"/>
  <c r="H333" i="4"/>
  <c r="L333" i="4" s="1"/>
  <c r="H332" i="4"/>
  <c r="L331" i="4"/>
  <c r="H331" i="4"/>
  <c r="J331" i="4" s="1"/>
  <c r="L330" i="4"/>
  <c r="J330" i="4"/>
  <c r="H330" i="4"/>
  <c r="H329" i="4"/>
  <c r="H328" i="4"/>
  <c r="L327" i="4"/>
  <c r="H327" i="4"/>
  <c r="J327" i="4" s="1"/>
  <c r="L326" i="4"/>
  <c r="J326" i="4"/>
  <c r="H326" i="4"/>
  <c r="H325" i="4"/>
  <c r="H324" i="4"/>
  <c r="L323" i="4"/>
  <c r="H323" i="4"/>
  <c r="J323" i="4" s="1"/>
  <c r="L322" i="4"/>
  <c r="J322" i="4"/>
  <c r="H322" i="4"/>
  <c r="H321" i="4"/>
  <c r="J321" i="4" s="1"/>
  <c r="J320" i="4"/>
  <c r="H320" i="4"/>
  <c r="L320" i="4" s="1"/>
  <c r="H319" i="4"/>
  <c r="J319" i="4" s="1"/>
  <c r="L318" i="4"/>
  <c r="J318" i="4"/>
  <c r="H318" i="4"/>
  <c r="H317" i="4"/>
  <c r="J317" i="4" s="1"/>
  <c r="J316" i="4"/>
  <c r="H316" i="4"/>
  <c r="L316" i="4" s="1"/>
  <c r="H315" i="4"/>
  <c r="J315" i="4" s="1"/>
  <c r="L314" i="4"/>
  <c r="J314" i="4"/>
  <c r="H314" i="4"/>
  <c r="H313" i="4"/>
  <c r="J313" i="4" s="1"/>
  <c r="J312" i="4"/>
  <c r="H312" i="4"/>
  <c r="L312" i="4" s="1"/>
  <c r="H311" i="4"/>
  <c r="J311" i="4" s="1"/>
  <c r="L310" i="4"/>
  <c r="J310" i="4"/>
  <c r="H310" i="4"/>
  <c r="L309" i="4"/>
  <c r="H309" i="4"/>
  <c r="J309" i="4" s="1"/>
  <c r="J308" i="4"/>
  <c r="H308" i="4"/>
  <c r="L308" i="4" s="1"/>
  <c r="L307" i="4"/>
  <c r="H307" i="4"/>
  <c r="J307" i="4" s="1"/>
  <c r="L306" i="4"/>
  <c r="J306" i="4"/>
  <c r="H306" i="4"/>
  <c r="L305" i="4"/>
  <c r="H305" i="4"/>
  <c r="J305" i="4" s="1"/>
  <c r="J304" i="4"/>
  <c r="H304" i="4"/>
  <c r="L304" i="4" s="1"/>
  <c r="L303" i="4"/>
  <c r="H303" i="4"/>
  <c r="J303" i="4" s="1"/>
  <c r="L302" i="4"/>
  <c r="J302" i="4"/>
  <c r="H302" i="4"/>
  <c r="H301" i="4"/>
  <c r="J301" i="4" s="1"/>
  <c r="J300" i="4"/>
  <c r="H300" i="4"/>
  <c r="L300" i="4" s="1"/>
  <c r="H299" i="4"/>
  <c r="J299" i="4" s="1"/>
  <c r="L298" i="4"/>
  <c r="J298" i="4"/>
  <c r="H298" i="4"/>
  <c r="H297" i="4"/>
  <c r="J297" i="4" s="1"/>
  <c r="J296" i="4"/>
  <c r="H296" i="4"/>
  <c r="L296" i="4" s="1"/>
  <c r="H295" i="4"/>
  <c r="J295" i="4" s="1"/>
  <c r="L294" i="4"/>
  <c r="J294" i="4"/>
  <c r="H294" i="4"/>
  <c r="L293" i="4"/>
  <c r="H293" i="4"/>
  <c r="J293" i="4" s="1"/>
  <c r="J292" i="4"/>
  <c r="H292" i="4"/>
  <c r="L292" i="4" s="1"/>
  <c r="L291" i="4"/>
  <c r="H291" i="4"/>
  <c r="J291" i="4" s="1"/>
  <c r="L290" i="4"/>
  <c r="J290" i="4"/>
  <c r="H290" i="4"/>
  <c r="L289" i="4"/>
  <c r="H289" i="4"/>
  <c r="J289" i="4" s="1"/>
  <c r="J288" i="4"/>
  <c r="H288" i="4"/>
  <c r="L288" i="4" s="1"/>
  <c r="L287" i="4"/>
  <c r="H287" i="4"/>
  <c r="J287" i="4" s="1"/>
  <c r="L286" i="4"/>
  <c r="J286" i="4"/>
  <c r="H286" i="4"/>
  <c r="L285" i="4"/>
  <c r="H285" i="4"/>
  <c r="J285" i="4" s="1"/>
  <c r="J284" i="4"/>
  <c r="H284" i="4"/>
  <c r="L284" i="4" s="1"/>
  <c r="L283" i="4"/>
  <c r="H283" i="4"/>
  <c r="J283" i="4" s="1"/>
  <c r="L282" i="4"/>
  <c r="J282" i="4"/>
  <c r="H282" i="4"/>
  <c r="H281" i="4"/>
  <c r="J281" i="4" s="1"/>
  <c r="J280" i="4"/>
  <c r="H280" i="4"/>
  <c r="L280" i="4" s="1"/>
  <c r="H279" i="4"/>
  <c r="J279" i="4" s="1"/>
  <c r="L278" i="4"/>
  <c r="J278" i="4"/>
  <c r="H278" i="4"/>
  <c r="L277" i="4"/>
  <c r="H277" i="4"/>
  <c r="J277" i="4" s="1"/>
  <c r="J276" i="4"/>
  <c r="H276" i="4"/>
  <c r="L276" i="4" s="1"/>
  <c r="L275" i="4"/>
  <c r="H275" i="4"/>
  <c r="J275" i="4" s="1"/>
  <c r="L274" i="4"/>
  <c r="J274" i="4"/>
  <c r="H274" i="4"/>
  <c r="L273" i="4"/>
  <c r="H273" i="4"/>
  <c r="J273" i="4" s="1"/>
  <c r="J272" i="4"/>
  <c r="H272" i="4"/>
  <c r="L272" i="4" s="1"/>
  <c r="L271" i="4"/>
  <c r="H271" i="4"/>
  <c r="J271" i="4" s="1"/>
  <c r="L270" i="4"/>
  <c r="J270" i="4"/>
  <c r="H270" i="4"/>
  <c r="L269" i="4"/>
  <c r="H269" i="4"/>
  <c r="J269" i="4" s="1"/>
  <c r="J268" i="4"/>
  <c r="H268" i="4"/>
  <c r="L268" i="4" s="1"/>
  <c r="L267" i="4"/>
  <c r="H267" i="4"/>
  <c r="J267" i="4" s="1"/>
  <c r="L266" i="4"/>
  <c r="J266" i="4"/>
  <c r="H266" i="4"/>
  <c r="H265" i="4"/>
  <c r="J265" i="4" s="1"/>
  <c r="J264" i="4"/>
  <c r="H264" i="4"/>
  <c r="L264" i="4" s="1"/>
  <c r="H263" i="4"/>
  <c r="J263" i="4" s="1"/>
  <c r="L262" i="4"/>
  <c r="J262" i="4"/>
  <c r="H262" i="4"/>
  <c r="L261" i="4"/>
  <c r="H261" i="4"/>
  <c r="J261" i="4" s="1"/>
  <c r="J260" i="4"/>
  <c r="H260" i="4"/>
  <c r="L260" i="4" s="1"/>
  <c r="L259" i="4"/>
  <c r="H259" i="4"/>
  <c r="J259" i="4" s="1"/>
  <c r="L258" i="4"/>
  <c r="J258" i="4"/>
  <c r="H258" i="4"/>
  <c r="L257" i="4"/>
  <c r="H257" i="4"/>
  <c r="J257" i="4" s="1"/>
  <c r="J256" i="4"/>
  <c r="H256" i="4"/>
  <c r="L256" i="4" s="1"/>
  <c r="L255" i="4"/>
  <c r="H255" i="4"/>
  <c r="J255" i="4" s="1"/>
  <c r="L254" i="4"/>
  <c r="J254" i="4"/>
  <c r="H254" i="4"/>
  <c r="L253" i="4"/>
  <c r="H253" i="4"/>
  <c r="J253" i="4" s="1"/>
  <c r="J252" i="4"/>
  <c r="H252" i="4"/>
  <c r="L252" i="4" s="1"/>
  <c r="L251" i="4"/>
  <c r="H251" i="4"/>
  <c r="J251" i="4" s="1"/>
  <c r="L250" i="4"/>
  <c r="J250" i="4"/>
  <c r="H250" i="4"/>
  <c r="H249" i="4"/>
  <c r="J249" i="4" s="1"/>
  <c r="J248" i="4"/>
  <c r="H248" i="4"/>
  <c r="L248" i="4" s="1"/>
  <c r="H247" i="4"/>
  <c r="J247" i="4" s="1"/>
  <c r="L246" i="4"/>
  <c r="J246" i="4"/>
  <c r="H246" i="4"/>
  <c r="L245" i="4"/>
  <c r="H245" i="4"/>
  <c r="J245" i="4" s="1"/>
  <c r="J244" i="4"/>
  <c r="H244" i="4"/>
  <c r="L244" i="4" s="1"/>
  <c r="L243" i="4"/>
  <c r="H243" i="4"/>
  <c r="J243" i="4" s="1"/>
  <c r="L242" i="4"/>
  <c r="J242" i="4"/>
  <c r="H242" i="4"/>
  <c r="L241" i="4"/>
  <c r="H241" i="4"/>
  <c r="J241" i="4" s="1"/>
  <c r="J240" i="4"/>
  <c r="H240" i="4"/>
  <c r="L240" i="4" s="1"/>
  <c r="L239" i="4"/>
  <c r="H239" i="4"/>
  <c r="J239" i="4" s="1"/>
  <c r="L238" i="4"/>
  <c r="J238" i="4"/>
  <c r="H238" i="4"/>
  <c r="L237" i="4"/>
  <c r="H237" i="4"/>
  <c r="J237" i="4" s="1"/>
  <c r="J236" i="4"/>
  <c r="H236" i="4"/>
  <c r="L236" i="4" s="1"/>
  <c r="L235" i="4"/>
  <c r="H235" i="4"/>
  <c r="J235" i="4" s="1"/>
  <c r="L234" i="4"/>
  <c r="J234" i="4"/>
  <c r="H234" i="4"/>
  <c r="H233" i="4"/>
  <c r="J233" i="4" s="1"/>
  <c r="J232" i="4"/>
  <c r="H232" i="4"/>
  <c r="L232" i="4" s="1"/>
  <c r="H231" i="4"/>
  <c r="J231" i="4" s="1"/>
  <c r="L230" i="4"/>
  <c r="J230" i="4"/>
  <c r="H230" i="4"/>
  <c r="H229" i="4"/>
  <c r="J229" i="4" s="1"/>
  <c r="J228" i="4"/>
  <c r="H228" i="4"/>
  <c r="L228" i="4" s="1"/>
  <c r="H227" i="4"/>
  <c r="J227" i="4" s="1"/>
  <c r="L226" i="4"/>
  <c r="J226" i="4"/>
  <c r="H226" i="4"/>
  <c r="L225" i="4"/>
  <c r="H225" i="4"/>
  <c r="J225" i="4" s="1"/>
  <c r="J224" i="4"/>
  <c r="H224" i="4"/>
  <c r="L224" i="4" s="1"/>
  <c r="L223" i="4"/>
  <c r="H223" i="4"/>
  <c r="J223" i="4" s="1"/>
  <c r="L222" i="4"/>
  <c r="J222" i="4"/>
  <c r="H222" i="4"/>
  <c r="L221" i="4"/>
  <c r="H221" i="4"/>
  <c r="J221" i="4" s="1"/>
  <c r="J220" i="4"/>
  <c r="H220" i="4"/>
  <c r="L220" i="4" s="1"/>
  <c r="L219" i="4"/>
  <c r="H219" i="4"/>
  <c r="J219" i="4" s="1"/>
  <c r="L218" i="4"/>
  <c r="J218" i="4"/>
  <c r="H218" i="4"/>
  <c r="H217" i="4"/>
  <c r="J217" i="4" s="1"/>
  <c r="J216" i="4"/>
  <c r="H216" i="4"/>
  <c r="L216" i="4" s="1"/>
  <c r="H215" i="4"/>
  <c r="J215" i="4" s="1"/>
  <c r="L214" i="4"/>
  <c r="J214" i="4"/>
  <c r="H214" i="4"/>
  <c r="J213" i="4"/>
  <c r="H213" i="4"/>
  <c r="L213" i="4" s="1"/>
  <c r="H212" i="4"/>
  <c r="L212" i="4" s="1"/>
  <c r="L211" i="4"/>
  <c r="H211" i="4"/>
  <c r="J211" i="4" s="1"/>
  <c r="L210" i="4"/>
  <c r="J210" i="4"/>
  <c r="H210" i="4"/>
  <c r="L209" i="4"/>
  <c r="H209" i="4"/>
  <c r="J209" i="4" s="1"/>
  <c r="H208" i="4"/>
  <c r="L208" i="4" s="1"/>
  <c r="H207" i="4"/>
  <c r="J207" i="4" s="1"/>
  <c r="L206" i="4"/>
  <c r="J206" i="4"/>
  <c r="H206" i="4"/>
  <c r="H205" i="4"/>
  <c r="J205" i="4" s="1"/>
  <c r="H204" i="4"/>
  <c r="L204" i="4" s="1"/>
  <c r="H203" i="4"/>
  <c r="J203" i="4" s="1"/>
  <c r="L202" i="4"/>
  <c r="J202" i="4"/>
  <c r="H202" i="4"/>
  <c r="L201" i="4"/>
  <c r="H201" i="4"/>
  <c r="J201" i="4" s="1"/>
  <c r="H200" i="4"/>
  <c r="L200" i="4" s="1"/>
  <c r="H199" i="4"/>
  <c r="J199" i="4" s="1"/>
  <c r="L198" i="4"/>
  <c r="J198" i="4"/>
  <c r="H198" i="4"/>
  <c r="H197" i="4"/>
  <c r="J197" i="4" s="1"/>
  <c r="H196" i="4"/>
  <c r="L196" i="4" s="1"/>
  <c r="H195" i="4"/>
  <c r="J195" i="4" s="1"/>
  <c r="L194" i="4"/>
  <c r="J194" i="4"/>
  <c r="H194" i="4"/>
  <c r="L193" i="4"/>
  <c r="H193" i="4"/>
  <c r="J193" i="4" s="1"/>
  <c r="H192" i="4"/>
  <c r="L192" i="4" s="1"/>
  <c r="H191" i="4"/>
  <c r="J191" i="4" s="1"/>
  <c r="L190" i="4"/>
  <c r="J190" i="4"/>
  <c r="H190" i="4"/>
  <c r="H189" i="4"/>
  <c r="J189" i="4" s="1"/>
  <c r="H188" i="4"/>
  <c r="L188" i="4" s="1"/>
  <c r="H187" i="4"/>
  <c r="J187" i="4" s="1"/>
  <c r="L186" i="4"/>
  <c r="J186" i="4"/>
  <c r="H186" i="4"/>
  <c r="L185" i="4"/>
  <c r="H185" i="4"/>
  <c r="J185" i="4" s="1"/>
  <c r="H184" i="4"/>
  <c r="L184" i="4" s="1"/>
  <c r="H183" i="4"/>
  <c r="J183" i="4" s="1"/>
  <c r="L182" i="4"/>
  <c r="J182" i="4"/>
  <c r="H182" i="4"/>
  <c r="H181" i="4"/>
  <c r="J181" i="4" s="1"/>
  <c r="H180" i="4"/>
  <c r="L180" i="4" s="1"/>
  <c r="H179" i="4"/>
  <c r="J179" i="4" s="1"/>
  <c r="L178" i="4"/>
  <c r="J178" i="4"/>
  <c r="H178" i="4"/>
  <c r="L177" i="4"/>
  <c r="H177" i="4"/>
  <c r="J177" i="4" s="1"/>
  <c r="H176" i="4"/>
  <c r="L176" i="4" s="1"/>
  <c r="H175" i="4"/>
  <c r="J175" i="4" s="1"/>
  <c r="L174" i="4"/>
  <c r="J174" i="4"/>
  <c r="H174" i="4"/>
  <c r="H173" i="4"/>
  <c r="J173" i="4" s="1"/>
  <c r="H172" i="4"/>
  <c r="L172" i="4" s="1"/>
  <c r="H171" i="4"/>
  <c r="J171" i="4" s="1"/>
  <c r="L170" i="4"/>
  <c r="J170" i="4"/>
  <c r="H170" i="4"/>
  <c r="L169" i="4"/>
  <c r="H169" i="4"/>
  <c r="J169" i="4" s="1"/>
  <c r="H168" i="4"/>
  <c r="L168" i="4" s="1"/>
  <c r="H167" i="4"/>
  <c r="J167" i="4" s="1"/>
  <c r="L166" i="4"/>
  <c r="J166" i="4"/>
  <c r="H166" i="4"/>
  <c r="H165" i="4"/>
  <c r="J165" i="4" s="1"/>
  <c r="H164" i="4"/>
  <c r="L164" i="4" s="1"/>
  <c r="H163" i="4"/>
  <c r="J163" i="4" s="1"/>
  <c r="L162" i="4"/>
  <c r="J162" i="4"/>
  <c r="H162" i="4"/>
  <c r="L161" i="4"/>
  <c r="H161" i="4"/>
  <c r="J161" i="4" s="1"/>
  <c r="H160" i="4"/>
  <c r="L160" i="4" s="1"/>
  <c r="H159" i="4"/>
  <c r="J159" i="4" s="1"/>
  <c r="L158" i="4"/>
  <c r="J158" i="4"/>
  <c r="H158" i="4"/>
  <c r="H157" i="4"/>
  <c r="J157" i="4" s="1"/>
  <c r="H156" i="4"/>
  <c r="L156" i="4" s="1"/>
  <c r="H155" i="4"/>
  <c r="J155" i="4" s="1"/>
  <c r="L154" i="4"/>
  <c r="J154" i="4"/>
  <c r="H154" i="4"/>
  <c r="L153" i="4"/>
  <c r="H153" i="4"/>
  <c r="J153" i="4" s="1"/>
  <c r="H152" i="4"/>
  <c r="L152" i="4" s="1"/>
  <c r="H151" i="4"/>
  <c r="J151" i="4" s="1"/>
  <c r="L150" i="4"/>
  <c r="J150" i="4"/>
  <c r="H150" i="4"/>
  <c r="H149" i="4"/>
  <c r="J149" i="4" s="1"/>
  <c r="H148" i="4"/>
  <c r="L148" i="4" s="1"/>
  <c r="H147" i="4"/>
  <c r="J147" i="4" s="1"/>
  <c r="L146" i="4"/>
  <c r="J146" i="4"/>
  <c r="H146" i="4"/>
  <c r="L145" i="4"/>
  <c r="H145" i="4"/>
  <c r="J145" i="4" s="1"/>
  <c r="H144" i="4"/>
  <c r="L144" i="4" s="1"/>
  <c r="H143" i="4"/>
  <c r="J143" i="4" s="1"/>
  <c r="L142" i="4"/>
  <c r="J142" i="4"/>
  <c r="H142" i="4"/>
  <c r="H141" i="4"/>
  <c r="J141" i="4" s="1"/>
  <c r="H140" i="4"/>
  <c r="L140" i="4" s="1"/>
  <c r="H139" i="4"/>
  <c r="J139" i="4" s="1"/>
  <c r="L138" i="4"/>
  <c r="J138" i="4"/>
  <c r="H138" i="4"/>
  <c r="L137" i="4"/>
  <c r="H137" i="4"/>
  <c r="J137" i="4" s="1"/>
  <c r="H136" i="4"/>
  <c r="L136" i="4" s="1"/>
  <c r="H135" i="4"/>
  <c r="J135" i="4" s="1"/>
  <c r="L134" i="4"/>
  <c r="J134" i="4"/>
  <c r="H134" i="4"/>
  <c r="H133" i="4"/>
  <c r="H132" i="4"/>
  <c r="L132" i="4" s="1"/>
  <c r="H131" i="4"/>
  <c r="L130" i="4"/>
  <c r="J130" i="4"/>
  <c r="H130" i="4"/>
  <c r="L129" i="4"/>
  <c r="H129" i="4"/>
  <c r="J129" i="4" s="1"/>
  <c r="H128" i="4"/>
  <c r="H127" i="4"/>
  <c r="J127" i="4" s="1"/>
  <c r="L126" i="4"/>
  <c r="J126" i="4"/>
  <c r="H126" i="4"/>
  <c r="H125" i="4"/>
  <c r="H124" i="4"/>
  <c r="L124" i="4" s="1"/>
  <c r="H123" i="4"/>
  <c r="L122" i="4"/>
  <c r="J122" i="4"/>
  <c r="H122" i="4"/>
  <c r="L121" i="4"/>
  <c r="H121" i="4"/>
  <c r="J121" i="4" s="1"/>
  <c r="H120" i="4"/>
  <c r="H119" i="4"/>
  <c r="J119" i="4" s="1"/>
  <c r="L118" i="4"/>
  <c r="J118" i="4"/>
  <c r="H118" i="4"/>
  <c r="H117" i="4"/>
  <c r="H116" i="4"/>
  <c r="L116" i="4" s="1"/>
  <c r="H115" i="4"/>
  <c r="L114" i="4"/>
  <c r="J114" i="4"/>
  <c r="H114" i="4"/>
  <c r="L113" i="4"/>
  <c r="H113" i="4"/>
  <c r="J113" i="4" s="1"/>
  <c r="H112" i="4"/>
  <c r="H111" i="4"/>
  <c r="J111" i="4" s="1"/>
  <c r="L110" i="4"/>
  <c r="J110" i="4"/>
  <c r="H110" i="4"/>
  <c r="H109" i="4"/>
  <c r="H108" i="4"/>
  <c r="L108" i="4" s="1"/>
  <c r="H107" i="4"/>
  <c r="L106" i="4"/>
  <c r="J106" i="4"/>
  <c r="H106" i="4"/>
  <c r="L105" i="4"/>
  <c r="H105" i="4"/>
  <c r="J105" i="4" s="1"/>
  <c r="H104" i="4"/>
  <c r="H103" i="4"/>
  <c r="L102" i="4"/>
  <c r="J102" i="4"/>
  <c r="H102" i="4"/>
  <c r="H101" i="4"/>
  <c r="J101" i="4" s="1"/>
  <c r="H100" i="4"/>
  <c r="H99" i="4"/>
  <c r="L98" i="4"/>
  <c r="J98" i="4"/>
  <c r="H98" i="4"/>
  <c r="L97" i="4"/>
  <c r="H97" i="4"/>
  <c r="J97" i="4" s="1"/>
  <c r="H96" i="4"/>
  <c r="H95" i="4"/>
  <c r="L94" i="4"/>
  <c r="J94" i="4"/>
  <c r="H94" i="4"/>
  <c r="H93" i="4"/>
  <c r="J93" i="4" s="1"/>
  <c r="H92" i="4"/>
  <c r="H91" i="4"/>
  <c r="L90" i="4"/>
  <c r="J90" i="4"/>
  <c r="H90" i="4"/>
  <c r="L89" i="4"/>
  <c r="H89" i="4"/>
  <c r="J89" i="4" s="1"/>
  <c r="H88" i="4"/>
  <c r="H87" i="4"/>
  <c r="L86" i="4"/>
  <c r="J86" i="4"/>
  <c r="H86" i="4"/>
  <c r="H85" i="4"/>
  <c r="J85" i="4" s="1"/>
  <c r="H84" i="4"/>
  <c r="H83" i="4"/>
  <c r="L82" i="4"/>
  <c r="J82" i="4"/>
  <c r="H82" i="4"/>
  <c r="L81" i="4"/>
  <c r="H81" i="4"/>
  <c r="J81" i="4" s="1"/>
  <c r="H80" i="4"/>
  <c r="H79" i="4"/>
  <c r="L78" i="4"/>
  <c r="J78" i="4"/>
  <c r="H78" i="4"/>
  <c r="H77" i="4"/>
  <c r="J77" i="4" s="1"/>
  <c r="H76" i="4"/>
  <c r="H75" i="4"/>
  <c r="L74" i="4"/>
  <c r="J74" i="4"/>
  <c r="H74" i="4"/>
  <c r="L73" i="4"/>
  <c r="H73" i="4"/>
  <c r="J73" i="4" s="1"/>
  <c r="H72" i="4"/>
  <c r="H71" i="4"/>
  <c r="L70" i="4"/>
  <c r="J70" i="4"/>
  <c r="H70" i="4"/>
  <c r="H69" i="4"/>
  <c r="J69" i="4" s="1"/>
  <c r="H68" i="4"/>
  <c r="L67" i="4"/>
  <c r="H67" i="4"/>
  <c r="J67" i="4" s="1"/>
  <c r="L66" i="4"/>
  <c r="J66" i="4"/>
  <c r="H66" i="4"/>
  <c r="H65" i="4"/>
  <c r="J65" i="4" s="1"/>
  <c r="H64" i="4"/>
  <c r="L64" i="4" s="1"/>
  <c r="H63" i="4"/>
  <c r="L62" i="4"/>
  <c r="J62" i="4"/>
  <c r="H62" i="4"/>
  <c r="L61" i="4"/>
  <c r="J61" i="4"/>
  <c r="H61" i="4"/>
  <c r="H60" i="4"/>
  <c r="H59" i="4"/>
  <c r="J59" i="4" s="1"/>
  <c r="L58" i="4"/>
  <c r="J58" i="4"/>
  <c r="H58" i="4"/>
  <c r="L57" i="4"/>
  <c r="H57" i="4"/>
  <c r="J57" i="4" s="1"/>
  <c r="J56" i="4"/>
  <c r="H56" i="4"/>
  <c r="L56" i="4" s="1"/>
  <c r="H55" i="4"/>
  <c r="L54" i="4"/>
  <c r="J54" i="4"/>
  <c r="H54" i="4"/>
  <c r="L53" i="4"/>
  <c r="H53" i="4"/>
  <c r="J53" i="4" s="1"/>
  <c r="H52" i="4"/>
  <c r="L51" i="4"/>
  <c r="H51" i="4"/>
  <c r="J51" i="4" s="1"/>
  <c r="L50" i="4"/>
  <c r="J50" i="4"/>
  <c r="H50" i="4"/>
  <c r="H49" i="4"/>
  <c r="J49" i="4" s="1"/>
  <c r="H48" i="4"/>
  <c r="L48" i="4" s="1"/>
  <c r="H47" i="4"/>
  <c r="L46" i="4"/>
  <c r="J46" i="4"/>
  <c r="H46" i="4"/>
  <c r="J45" i="4"/>
  <c r="H45" i="4"/>
  <c r="L45" i="4" s="1"/>
  <c r="H44" i="4"/>
  <c r="H43" i="4"/>
  <c r="J43" i="4" s="1"/>
  <c r="L42" i="4"/>
  <c r="J42" i="4"/>
  <c r="H42" i="4"/>
  <c r="L41" i="4"/>
  <c r="H41" i="4"/>
  <c r="J41" i="4" s="1"/>
  <c r="J40" i="4"/>
  <c r="H40" i="4"/>
  <c r="L40" i="4" s="1"/>
  <c r="J39" i="4"/>
  <c r="H39" i="4"/>
  <c r="L39" i="4" s="1"/>
  <c r="L38" i="4"/>
  <c r="H38" i="4"/>
  <c r="J38" i="4" s="1"/>
  <c r="L37" i="4"/>
  <c r="J37" i="4"/>
  <c r="H37" i="4"/>
  <c r="J36" i="4"/>
  <c r="H36" i="4"/>
  <c r="L36" i="4" s="1"/>
  <c r="J35" i="4"/>
  <c r="H35" i="4"/>
  <c r="L35" i="4" s="1"/>
  <c r="L34" i="4"/>
  <c r="H34" i="4"/>
  <c r="J34" i="4" s="1"/>
  <c r="L33" i="4"/>
  <c r="J33" i="4"/>
  <c r="H33" i="4"/>
  <c r="J32" i="4"/>
  <c r="H32" i="4"/>
  <c r="L32" i="4" s="1"/>
  <c r="J31" i="4"/>
  <c r="H31" i="4"/>
  <c r="L31" i="4" s="1"/>
  <c r="L30" i="4"/>
  <c r="H30" i="4"/>
  <c r="J30" i="4" s="1"/>
  <c r="H29" i="4"/>
  <c r="L29" i="4" s="1"/>
  <c r="J28" i="4"/>
  <c r="H28" i="4"/>
  <c r="L28" i="4" s="1"/>
  <c r="L27" i="4"/>
  <c r="H27" i="4"/>
  <c r="J27" i="4" s="1"/>
  <c r="L26" i="4"/>
  <c r="J26" i="4"/>
  <c r="H26" i="4"/>
  <c r="H25" i="4"/>
  <c r="L25" i="4" s="1"/>
  <c r="J24" i="4"/>
  <c r="H24" i="4"/>
  <c r="L24" i="4" s="1"/>
  <c r="L23" i="4"/>
  <c r="H23" i="4"/>
  <c r="J23" i="4" s="1"/>
  <c r="L22" i="4"/>
  <c r="J22" i="4"/>
  <c r="H22" i="4"/>
  <c r="H21" i="4"/>
  <c r="J21" i="4" s="1"/>
  <c r="J20" i="4"/>
  <c r="H20" i="4"/>
  <c r="L20" i="4" s="1"/>
  <c r="L19" i="4"/>
  <c r="H19" i="4"/>
  <c r="J19" i="4" s="1"/>
  <c r="L18" i="4"/>
  <c r="J18" i="4"/>
  <c r="H18" i="4"/>
  <c r="H17" i="4"/>
  <c r="L17" i="4" s="1"/>
  <c r="J16" i="4"/>
  <c r="H16" i="4"/>
  <c r="L16" i="4" s="1"/>
  <c r="L15" i="4"/>
  <c r="H15" i="4"/>
  <c r="J15" i="4" s="1"/>
  <c r="L14" i="4"/>
  <c r="J14" i="4"/>
  <c r="H14" i="4"/>
  <c r="H13" i="4"/>
  <c r="L13" i="4" s="1"/>
  <c r="H12" i="4"/>
  <c r="L12" i="4" s="1"/>
  <c r="L11" i="4"/>
  <c r="H11" i="4"/>
  <c r="J11" i="4" s="1"/>
  <c r="L10" i="4"/>
  <c r="J10" i="4"/>
  <c r="H10" i="4"/>
  <c r="H9" i="4"/>
  <c r="L9" i="4" s="1"/>
  <c r="H8" i="4"/>
  <c r="L8" i="4" s="1"/>
  <c r="L7" i="4"/>
  <c r="H7" i="4"/>
  <c r="J7" i="4" s="1"/>
  <c r="L6" i="4"/>
  <c r="J6" i="4"/>
  <c r="H6" i="4"/>
  <c r="H5" i="4"/>
  <c r="J5" i="4" s="1"/>
  <c r="H4" i="4"/>
  <c r="L4" i="4" s="1"/>
  <c r="L3" i="4"/>
  <c r="H3" i="4"/>
  <c r="J3" i="4" s="1"/>
  <c r="J1" i="4"/>
  <c r="I1" i="4"/>
  <c r="J9" i="4" l="1"/>
  <c r="J4" i="4"/>
  <c r="L5" i="4"/>
  <c r="J8" i="4"/>
  <c r="J12" i="4"/>
  <c r="L21" i="4"/>
  <c r="L43" i="4"/>
  <c r="J47" i="4"/>
  <c r="L47" i="4"/>
  <c r="L49" i="4"/>
  <c r="J64" i="4"/>
  <c r="L68" i="4"/>
  <c r="J68" i="4"/>
  <c r="L77" i="4"/>
  <c r="J79" i="4"/>
  <c r="L79" i="4"/>
  <c r="L84" i="4"/>
  <c r="J84" i="4"/>
  <c r="L93" i="4"/>
  <c r="J95" i="4"/>
  <c r="L95" i="4"/>
  <c r="L100" i="4"/>
  <c r="J100" i="4"/>
  <c r="L112" i="4"/>
  <c r="J112" i="4"/>
  <c r="J117" i="4"/>
  <c r="L117" i="4"/>
  <c r="J131" i="4"/>
  <c r="L131" i="4"/>
  <c r="L44" i="4"/>
  <c r="J44" i="4"/>
  <c r="J55" i="4"/>
  <c r="L55" i="4"/>
  <c r="J75" i="4"/>
  <c r="L75" i="4"/>
  <c r="L80" i="4"/>
  <c r="J80" i="4"/>
  <c r="J91" i="4"/>
  <c r="L91" i="4"/>
  <c r="L96" i="4"/>
  <c r="J96" i="4"/>
  <c r="J107" i="4"/>
  <c r="L107" i="4"/>
  <c r="L120" i="4"/>
  <c r="J120" i="4"/>
  <c r="J125" i="4"/>
  <c r="L125" i="4"/>
  <c r="J13" i="4"/>
  <c r="J17" i="4"/>
  <c r="J25" i="4"/>
  <c r="J29" i="4"/>
  <c r="J48" i="4"/>
  <c r="L52" i="4"/>
  <c r="J52" i="4"/>
  <c r="L59" i="4"/>
  <c r="J63" i="4"/>
  <c r="L63" i="4"/>
  <c r="L65" i="4"/>
  <c r="L69" i="4"/>
  <c r="J71" i="4"/>
  <c r="L71" i="4"/>
  <c r="L76" i="4"/>
  <c r="J76" i="4"/>
  <c r="L85" i="4"/>
  <c r="J87" i="4"/>
  <c r="L87" i="4"/>
  <c r="L92" i="4"/>
  <c r="J92" i="4"/>
  <c r="L101" i="4"/>
  <c r="J103" i="4"/>
  <c r="L103" i="4"/>
  <c r="J115" i="4"/>
  <c r="L115" i="4"/>
  <c r="L128" i="4"/>
  <c r="J128" i="4"/>
  <c r="J133" i="4"/>
  <c r="L133" i="4"/>
  <c r="L60" i="4"/>
  <c r="J60" i="4"/>
  <c r="L72" i="4"/>
  <c r="J72" i="4"/>
  <c r="J83" i="4"/>
  <c r="L83" i="4"/>
  <c r="L88" i="4"/>
  <c r="J88" i="4"/>
  <c r="J99" i="4"/>
  <c r="L99" i="4"/>
  <c r="L104" i="4"/>
  <c r="J104" i="4"/>
  <c r="J109" i="4"/>
  <c r="L109" i="4"/>
  <c r="J123" i="4"/>
  <c r="L123" i="4"/>
  <c r="L141" i="4"/>
  <c r="L149" i="4"/>
  <c r="L157" i="4"/>
  <c r="L165" i="4"/>
  <c r="L173" i="4"/>
  <c r="L181" i="4"/>
  <c r="L189" i="4"/>
  <c r="L197" i="4"/>
  <c r="L205" i="4"/>
  <c r="L227" i="4"/>
  <c r="L229" i="4"/>
  <c r="J108" i="4"/>
  <c r="L111" i="4"/>
  <c r="J116" i="4"/>
  <c r="L119" i="4"/>
  <c r="J124" i="4"/>
  <c r="L127" i="4"/>
  <c r="J132" i="4"/>
  <c r="L135" i="4"/>
  <c r="J140" i="4"/>
  <c r="L143" i="4"/>
  <c r="J148" i="4"/>
  <c r="L151" i="4"/>
  <c r="J156" i="4"/>
  <c r="L159" i="4"/>
  <c r="J164" i="4"/>
  <c r="L167" i="4"/>
  <c r="J172" i="4"/>
  <c r="L175" i="4"/>
  <c r="J180" i="4"/>
  <c r="L183" i="4"/>
  <c r="J188" i="4"/>
  <c r="L191" i="4"/>
  <c r="J196" i="4"/>
  <c r="L199" i="4"/>
  <c r="J204" i="4"/>
  <c r="L207" i="4"/>
  <c r="J212" i="4"/>
  <c r="L215" i="4"/>
  <c r="L217" i="4"/>
  <c r="L231" i="4"/>
  <c r="L233" i="4"/>
  <c r="L247" i="4"/>
  <c r="L249" i="4"/>
  <c r="L263" i="4"/>
  <c r="L265" i="4"/>
  <c r="L279" i="4"/>
  <c r="L281" i="4"/>
  <c r="L295" i="4"/>
  <c r="L297" i="4"/>
  <c r="L311" i="4"/>
  <c r="L313" i="4"/>
  <c r="L329" i="4"/>
  <c r="J329" i="4"/>
  <c r="L299" i="4"/>
  <c r="L301" i="4"/>
  <c r="L315" i="4"/>
  <c r="L317" i="4"/>
  <c r="L325" i="4"/>
  <c r="J325" i="4"/>
  <c r="J136" i="4"/>
  <c r="L139" i="4"/>
  <c r="J144" i="4"/>
  <c r="L147" i="4"/>
  <c r="J152" i="4"/>
  <c r="L155" i="4"/>
  <c r="J160" i="4"/>
  <c r="L163" i="4"/>
  <c r="J168" i="4"/>
  <c r="L171" i="4"/>
  <c r="J176" i="4"/>
  <c r="L179" i="4"/>
  <c r="J184" i="4"/>
  <c r="L187" i="4"/>
  <c r="J192" i="4"/>
  <c r="L195" i="4"/>
  <c r="J200" i="4"/>
  <c r="L203" i="4"/>
  <c r="J208" i="4"/>
  <c r="L319" i="4"/>
  <c r="L321" i="4"/>
  <c r="L445" i="4"/>
  <c r="J445" i="4"/>
  <c r="L461" i="4"/>
  <c r="J461" i="4"/>
  <c r="L477" i="4"/>
  <c r="J477" i="4"/>
  <c r="J324" i="4"/>
  <c r="L324" i="4"/>
  <c r="J328" i="4"/>
  <c r="L328" i="4"/>
  <c r="J332" i="4"/>
  <c r="L332" i="4"/>
  <c r="J336" i="4"/>
  <c r="L336" i="4"/>
  <c r="J340" i="4"/>
  <c r="L340" i="4"/>
  <c r="J344" i="4"/>
  <c r="L344" i="4"/>
  <c r="J348" i="4"/>
  <c r="L348" i="4"/>
  <c r="J352" i="4"/>
  <c r="L352" i="4"/>
  <c r="J356" i="4"/>
  <c r="L356" i="4"/>
  <c r="J360" i="4"/>
  <c r="L360" i="4"/>
  <c r="J364" i="4"/>
  <c r="L364" i="4"/>
  <c r="J368" i="4"/>
  <c r="L368" i="4"/>
  <c r="J372" i="4"/>
  <c r="L372" i="4"/>
  <c r="J376" i="4"/>
  <c r="L376" i="4"/>
  <c r="J380" i="4"/>
  <c r="L380" i="4"/>
  <c r="J384" i="4"/>
  <c r="L384" i="4"/>
  <c r="J388" i="4"/>
  <c r="L388" i="4"/>
  <c r="J392" i="4"/>
  <c r="L392" i="4"/>
  <c r="J396" i="4"/>
  <c r="L396" i="4"/>
  <c r="J400" i="4"/>
  <c r="L400" i="4"/>
  <c r="J404" i="4"/>
  <c r="L404" i="4"/>
  <c r="J408" i="4"/>
  <c r="L408" i="4"/>
  <c r="J412" i="4"/>
  <c r="L412" i="4"/>
  <c r="J416" i="4"/>
  <c r="L416" i="4"/>
  <c r="J420" i="4"/>
  <c r="L420" i="4"/>
  <c r="J424" i="4"/>
  <c r="L424" i="4"/>
  <c r="J428" i="4"/>
  <c r="L428" i="4"/>
  <c r="J432" i="4"/>
  <c r="L432" i="4"/>
  <c r="L441" i="4"/>
  <c r="J441" i="4"/>
  <c r="L457" i="4"/>
  <c r="J457" i="4"/>
  <c r="L473" i="4"/>
  <c r="J473" i="4"/>
  <c r="L437" i="4"/>
  <c r="J437" i="4"/>
  <c r="L453" i="4"/>
  <c r="J453" i="4"/>
  <c r="L469" i="4"/>
  <c r="J469" i="4"/>
  <c r="J333" i="4"/>
  <c r="J337" i="4"/>
  <c r="J341" i="4"/>
  <c r="J345" i="4"/>
  <c r="J349" i="4"/>
  <c r="J353" i="4"/>
  <c r="J357" i="4"/>
  <c r="J361" i="4"/>
  <c r="J365" i="4"/>
  <c r="J369" i="4"/>
  <c r="J373" i="4"/>
  <c r="J377" i="4"/>
  <c r="J381" i="4"/>
  <c r="J385" i="4"/>
  <c r="J389" i="4"/>
  <c r="J393" i="4"/>
  <c r="J397" i="4"/>
  <c r="J401" i="4"/>
  <c r="J405" i="4"/>
  <c r="J409" i="4"/>
  <c r="J413" i="4"/>
  <c r="J417" i="4"/>
  <c r="J421" i="4"/>
  <c r="J425" i="4"/>
  <c r="J429" i="4"/>
  <c r="J433" i="4"/>
  <c r="L449" i="4"/>
  <c r="J449" i="4"/>
  <c r="L465" i="4"/>
  <c r="J465" i="4"/>
  <c r="L436" i="4"/>
  <c r="L440" i="4"/>
  <c r="L444" i="4"/>
  <c r="L448" i="4"/>
  <c r="L452" i="4"/>
  <c r="L456" i="4"/>
  <c r="L460" i="4"/>
  <c r="L464" i="4"/>
  <c r="L468" i="4"/>
  <c r="L472" i="4"/>
  <c r="L476" i="4"/>
  <c r="L480" i="4"/>
  <c r="L481" i="4"/>
  <c r="L485" i="4"/>
  <c r="L489" i="4"/>
  <c r="J482" i="4"/>
  <c r="J486" i="4"/>
  <c r="J490" i="4"/>
  <c r="B2" i="2"/>
  <c r="R480" i="1" l="1"/>
  <c r="A3" i="3"/>
  <c r="A4" i="3"/>
  <c r="A5" i="3"/>
  <c r="A6" i="3"/>
  <c r="A7" i="3"/>
  <c r="A8" i="3"/>
  <c r="A9" i="3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5" i="3"/>
  <c r="A36" i="3"/>
  <c r="A37" i="3"/>
  <c r="A38" i="3"/>
  <c r="A39" i="3"/>
  <c r="A40" i="3"/>
  <c r="A41" i="3"/>
  <c r="A42" i="3"/>
  <c r="A43" i="3"/>
  <c r="A44" i="3"/>
  <c r="A45" i="3"/>
  <c r="A46" i="3"/>
  <c r="A47" i="3"/>
  <c r="A48" i="3"/>
  <c r="A49" i="3"/>
  <c r="A50" i="3"/>
  <c r="A51" i="3"/>
  <c r="A52" i="3"/>
  <c r="A53" i="3"/>
  <c r="A54" i="3"/>
  <c r="A55" i="3"/>
  <c r="A56" i="3"/>
  <c r="A57" i="3"/>
  <c r="A58" i="3"/>
  <c r="A59" i="3"/>
  <c r="A60" i="3"/>
  <c r="A61" i="3"/>
  <c r="A62" i="3"/>
  <c r="A63" i="3"/>
  <c r="A64" i="3"/>
  <c r="A65" i="3"/>
  <c r="A66" i="3"/>
  <c r="A67" i="3"/>
  <c r="A68" i="3"/>
  <c r="A69" i="3"/>
  <c r="A70" i="3"/>
  <c r="A71" i="3"/>
  <c r="A72" i="3"/>
  <c r="A73" i="3"/>
  <c r="A74" i="3"/>
  <c r="A75" i="3"/>
  <c r="A76" i="3"/>
  <c r="A77" i="3"/>
  <c r="A78" i="3"/>
  <c r="A79" i="3"/>
  <c r="A80" i="3"/>
  <c r="A81" i="3"/>
  <c r="A82" i="3"/>
  <c r="A83" i="3"/>
  <c r="A84" i="3"/>
  <c r="A85" i="3"/>
  <c r="A86" i="3"/>
  <c r="A87" i="3"/>
  <c r="A88" i="3"/>
  <c r="A89" i="3"/>
  <c r="A90" i="3"/>
  <c r="A91" i="3"/>
  <c r="A92" i="3"/>
  <c r="A93" i="3"/>
  <c r="A94" i="3"/>
  <c r="A95" i="3"/>
  <c r="A96" i="3"/>
  <c r="A97" i="3"/>
  <c r="A98" i="3"/>
  <c r="A99" i="3"/>
  <c r="A100" i="3"/>
  <c r="A101" i="3"/>
  <c r="A102" i="3"/>
  <c r="A103" i="3"/>
  <c r="A104" i="3"/>
  <c r="A105" i="3"/>
  <c r="A106" i="3"/>
  <c r="A107" i="3"/>
  <c r="A108" i="3"/>
  <c r="A109" i="3"/>
  <c r="A110" i="3"/>
  <c r="A111" i="3"/>
  <c r="A112" i="3"/>
  <c r="A113" i="3"/>
  <c r="A114" i="3"/>
  <c r="A115" i="3"/>
  <c r="A116" i="3"/>
  <c r="A117" i="3"/>
  <c r="A118" i="3"/>
  <c r="A119" i="3"/>
  <c r="A120" i="3"/>
  <c r="A121" i="3"/>
  <c r="A122" i="3"/>
  <c r="A123" i="3"/>
  <c r="A124" i="3"/>
  <c r="A125" i="3"/>
  <c r="A126" i="3"/>
  <c r="A127" i="3"/>
  <c r="A128" i="3"/>
  <c r="A129" i="3"/>
  <c r="A130" i="3"/>
  <c r="A131" i="3"/>
  <c r="A132" i="3"/>
  <c r="A133" i="3"/>
  <c r="A134" i="3"/>
  <c r="A135" i="3"/>
  <c r="A136" i="3"/>
  <c r="A137" i="3"/>
  <c r="A138" i="3"/>
  <c r="A139" i="3"/>
  <c r="A140" i="3"/>
  <c r="A141" i="3"/>
  <c r="A142" i="3"/>
  <c r="A143" i="3"/>
  <c r="A144" i="3"/>
  <c r="A145" i="3"/>
  <c r="A146" i="3"/>
  <c r="A147" i="3"/>
  <c r="A148" i="3"/>
  <c r="A149" i="3"/>
  <c r="A150" i="3"/>
  <c r="A151" i="3"/>
  <c r="A152" i="3"/>
  <c r="A153" i="3"/>
  <c r="A154" i="3"/>
  <c r="A155" i="3"/>
  <c r="A156" i="3"/>
  <c r="A157" i="3"/>
  <c r="A158" i="3"/>
  <c r="A159" i="3"/>
  <c r="A160" i="3"/>
  <c r="A161" i="3"/>
  <c r="A162" i="3"/>
  <c r="A163" i="3"/>
  <c r="A164" i="3"/>
  <c r="A165" i="3"/>
  <c r="A166" i="3"/>
  <c r="A167" i="3"/>
  <c r="A168" i="3"/>
  <c r="A169" i="3"/>
  <c r="A170" i="3"/>
  <c r="A171" i="3"/>
  <c r="A172" i="3"/>
  <c r="A173" i="3"/>
  <c r="A174" i="3"/>
  <c r="A175" i="3"/>
  <c r="A176" i="3"/>
  <c r="A177" i="3"/>
  <c r="A178" i="3"/>
  <c r="A179" i="3"/>
  <c r="A180" i="3"/>
  <c r="A181" i="3"/>
  <c r="A182" i="3"/>
  <c r="A183" i="3"/>
  <c r="A184" i="3"/>
  <c r="A185" i="3"/>
  <c r="A186" i="3"/>
  <c r="A187" i="3"/>
  <c r="A188" i="3"/>
  <c r="A189" i="3"/>
  <c r="A190" i="3"/>
  <c r="A191" i="3"/>
  <c r="A192" i="3"/>
  <c r="A193" i="3"/>
  <c r="A194" i="3"/>
  <c r="A195" i="3"/>
  <c r="A196" i="3"/>
  <c r="A197" i="3"/>
  <c r="A198" i="3"/>
  <c r="A199" i="3"/>
  <c r="A200" i="3"/>
  <c r="A201" i="3"/>
  <c r="A202" i="3"/>
  <c r="A203" i="3"/>
  <c r="A204" i="3"/>
  <c r="A205" i="3"/>
  <c r="A206" i="3"/>
  <c r="A207" i="3"/>
  <c r="A208" i="3"/>
  <c r="A209" i="3"/>
  <c r="A210" i="3"/>
  <c r="A211" i="3"/>
  <c r="A212" i="3"/>
  <c r="A213" i="3"/>
  <c r="A214" i="3"/>
  <c r="A215" i="3"/>
  <c r="A216" i="3"/>
  <c r="A217" i="3"/>
  <c r="A218" i="3"/>
  <c r="A219" i="3"/>
  <c r="A220" i="3"/>
  <c r="A221" i="3"/>
  <c r="A222" i="3"/>
  <c r="A223" i="3"/>
  <c r="A224" i="3"/>
  <c r="A225" i="3"/>
  <c r="A226" i="3"/>
  <c r="A227" i="3"/>
  <c r="A228" i="3"/>
  <c r="A229" i="3"/>
  <c r="A230" i="3"/>
  <c r="A231" i="3"/>
  <c r="A232" i="3"/>
  <c r="A233" i="3"/>
  <c r="A234" i="3"/>
  <c r="A235" i="3"/>
  <c r="A236" i="3"/>
  <c r="A237" i="3"/>
  <c r="A238" i="3"/>
  <c r="A239" i="3"/>
  <c r="A240" i="3"/>
  <c r="A241" i="3"/>
  <c r="A242" i="3"/>
  <c r="A243" i="3"/>
  <c r="A244" i="3"/>
  <c r="A245" i="3"/>
  <c r="A246" i="3"/>
  <c r="A247" i="3"/>
  <c r="A248" i="3"/>
  <c r="A249" i="3"/>
  <c r="A250" i="3"/>
  <c r="A251" i="3"/>
  <c r="A252" i="3"/>
  <c r="A253" i="3"/>
  <c r="A254" i="3"/>
  <c r="A255" i="3"/>
  <c r="A256" i="3"/>
  <c r="A257" i="3"/>
  <c r="A258" i="3"/>
  <c r="A259" i="3"/>
  <c r="A260" i="3"/>
  <c r="A261" i="3"/>
  <c r="A262" i="3"/>
  <c r="A263" i="3"/>
  <c r="A264" i="3"/>
  <c r="A265" i="3"/>
  <c r="A266" i="3"/>
  <c r="A267" i="3"/>
  <c r="A268" i="3"/>
  <c r="A269" i="3"/>
  <c r="A270" i="3"/>
  <c r="A271" i="3"/>
  <c r="A272" i="3"/>
  <c r="A273" i="3"/>
  <c r="A274" i="3"/>
  <c r="A275" i="3"/>
  <c r="A276" i="3"/>
  <c r="A277" i="3"/>
  <c r="A278" i="3"/>
  <c r="A279" i="3"/>
  <c r="A280" i="3"/>
  <c r="A281" i="3"/>
  <c r="A282" i="3"/>
  <c r="A283" i="3"/>
  <c r="A284" i="3"/>
  <c r="A285" i="3"/>
  <c r="A286" i="3"/>
  <c r="A287" i="3"/>
  <c r="A288" i="3"/>
  <c r="A289" i="3"/>
  <c r="A290" i="3"/>
  <c r="A291" i="3"/>
  <c r="A292" i="3"/>
  <c r="A293" i="3"/>
  <c r="A294" i="3"/>
  <c r="A295" i="3"/>
  <c r="A296" i="3"/>
  <c r="A297" i="3"/>
  <c r="A298" i="3"/>
  <c r="A299" i="3"/>
  <c r="A300" i="3"/>
  <c r="A301" i="3"/>
  <c r="A302" i="3"/>
  <c r="A303" i="3"/>
  <c r="A304" i="3"/>
  <c r="A305" i="3"/>
  <c r="A306" i="3"/>
  <c r="A307" i="3"/>
  <c r="A308" i="3"/>
  <c r="A309" i="3"/>
  <c r="A310" i="3"/>
  <c r="A311" i="3"/>
  <c r="A312" i="3"/>
  <c r="A313" i="3"/>
  <c r="A314" i="3"/>
  <c r="A315" i="3"/>
  <c r="A316" i="3"/>
  <c r="A317" i="3"/>
  <c r="A318" i="3"/>
  <c r="A319" i="3"/>
  <c r="A320" i="3"/>
  <c r="A321" i="3"/>
  <c r="A322" i="3"/>
  <c r="A323" i="3"/>
  <c r="A324" i="3"/>
  <c r="A325" i="3"/>
  <c r="A326" i="3"/>
  <c r="A327" i="3"/>
  <c r="A328" i="3"/>
  <c r="A329" i="3"/>
  <c r="A330" i="3"/>
  <c r="A331" i="3"/>
  <c r="A332" i="3"/>
  <c r="A333" i="3"/>
  <c r="A334" i="3"/>
  <c r="A335" i="3"/>
  <c r="A336" i="3"/>
  <c r="A337" i="3"/>
  <c r="A338" i="3"/>
  <c r="A339" i="3"/>
  <c r="A340" i="3"/>
  <c r="A341" i="3"/>
  <c r="A342" i="3"/>
  <c r="A343" i="3"/>
  <c r="A344" i="3"/>
  <c r="A345" i="3"/>
  <c r="A346" i="3"/>
  <c r="A347" i="3"/>
  <c r="A348" i="3"/>
  <c r="A349" i="3"/>
  <c r="A350" i="3"/>
  <c r="A351" i="3"/>
  <c r="A352" i="3"/>
  <c r="A353" i="3"/>
  <c r="A354" i="3"/>
  <c r="A355" i="3"/>
  <c r="A356" i="3"/>
  <c r="A357" i="3"/>
  <c r="A358" i="3"/>
  <c r="A359" i="3"/>
  <c r="A360" i="3"/>
  <c r="A361" i="3"/>
  <c r="A362" i="3"/>
  <c r="A363" i="3"/>
  <c r="A364" i="3"/>
  <c r="A365" i="3"/>
  <c r="A366" i="3"/>
  <c r="A367" i="3"/>
  <c r="A368" i="3"/>
  <c r="A369" i="3"/>
  <c r="A370" i="3"/>
  <c r="A371" i="3"/>
  <c r="A372" i="3"/>
  <c r="A373" i="3"/>
  <c r="A374" i="3"/>
  <c r="A375" i="3"/>
  <c r="A376" i="3"/>
  <c r="A377" i="3"/>
  <c r="A378" i="3"/>
  <c r="A379" i="3"/>
  <c r="A380" i="3"/>
  <c r="A381" i="3"/>
  <c r="A382" i="3"/>
  <c r="A383" i="3"/>
  <c r="A384" i="3"/>
  <c r="A385" i="3"/>
  <c r="A386" i="3"/>
  <c r="A387" i="3"/>
  <c r="A388" i="3"/>
  <c r="A389" i="3"/>
  <c r="A390" i="3"/>
  <c r="A391" i="3"/>
  <c r="A392" i="3"/>
  <c r="A393" i="3"/>
  <c r="A394" i="3"/>
  <c r="A395" i="3"/>
  <c r="A396" i="3"/>
  <c r="A397" i="3"/>
  <c r="A398" i="3"/>
  <c r="A399" i="3"/>
  <c r="A400" i="3"/>
  <c r="A401" i="3"/>
  <c r="A402" i="3"/>
  <c r="A403" i="3"/>
  <c r="A404" i="3"/>
  <c r="A405" i="3"/>
  <c r="A406" i="3"/>
  <c r="A407" i="3"/>
  <c r="A408" i="3"/>
  <c r="A409" i="3"/>
  <c r="A410" i="3"/>
  <c r="A411" i="3"/>
  <c r="A412" i="3"/>
  <c r="A413" i="3"/>
  <c r="A414" i="3"/>
  <c r="A415" i="3"/>
  <c r="A416" i="3"/>
  <c r="A417" i="3"/>
  <c r="A418" i="3"/>
  <c r="A419" i="3"/>
  <c r="A420" i="3"/>
  <c r="A421" i="3"/>
  <c r="A422" i="3"/>
  <c r="A423" i="3"/>
  <c r="A424" i="3"/>
  <c r="A425" i="3"/>
  <c r="A426" i="3"/>
  <c r="A427" i="3"/>
  <c r="A428" i="3"/>
  <c r="A429" i="3"/>
  <c r="A430" i="3"/>
  <c r="A431" i="3"/>
  <c r="A432" i="3"/>
  <c r="A433" i="3"/>
  <c r="A434" i="3"/>
  <c r="A435" i="3"/>
  <c r="A436" i="3"/>
  <c r="A437" i="3"/>
  <c r="A438" i="3"/>
  <c r="A439" i="3"/>
  <c r="A440" i="3"/>
  <c r="A441" i="3"/>
  <c r="A442" i="3"/>
  <c r="A443" i="3"/>
  <c r="A444" i="3"/>
  <c r="A445" i="3"/>
  <c r="A446" i="3"/>
  <c r="A447" i="3"/>
  <c r="A448" i="3"/>
  <c r="A449" i="3"/>
  <c r="A450" i="3"/>
  <c r="A451" i="3"/>
  <c r="A452" i="3"/>
  <c r="A453" i="3"/>
  <c r="A454" i="3"/>
  <c r="A455" i="3"/>
  <c r="A456" i="3"/>
  <c r="A457" i="3"/>
  <c r="A458" i="3"/>
  <c r="A459" i="3"/>
  <c r="A460" i="3"/>
  <c r="A461" i="3"/>
  <c r="A462" i="3"/>
  <c r="A463" i="3"/>
  <c r="A464" i="3"/>
  <c r="A465" i="3"/>
  <c r="A466" i="3"/>
  <c r="A467" i="3"/>
  <c r="A468" i="3"/>
  <c r="A469" i="3"/>
  <c r="A470" i="3"/>
  <c r="A471" i="3"/>
  <c r="A472" i="3"/>
  <c r="A473" i="3"/>
  <c r="A474" i="3"/>
  <c r="A475" i="3"/>
  <c r="A476" i="3"/>
  <c r="A477" i="3"/>
  <c r="A478" i="3"/>
  <c r="A479" i="3"/>
  <c r="A480" i="3"/>
  <c r="A481" i="3"/>
  <c r="A482" i="3"/>
  <c r="A483" i="3"/>
  <c r="A484" i="3"/>
  <c r="A485" i="3"/>
  <c r="A486" i="3"/>
  <c r="A487" i="3"/>
  <c r="A488" i="3"/>
  <c r="A489" i="3"/>
  <c r="A2" i="3"/>
  <c r="B413" i="3" l="1"/>
  <c r="C413" i="3"/>
  <c r="D413" i="3"/>
  <c r="E413" i="3"/>
  <c r="B414" i="3"/>
  <c r="C414" i="3"/>
  <c r="D414" i="3"/>
  <c r="E414" i="3"/>
  <c r="B415" i="3"/>
  <c r="C415" i="3"/>
  <c r="D415" i="3"/>
  <c r="E415" i="3"/>
  <c r="B416" i="3"/>
  <c r="C416" i="3"/>
  <c r="D416" i="3"/>
  <c r="E416" i="3"/>
  <c r="B417" i="3"/>
  <c r="C417" i="3"/>
  <c r="D417" i="3"/>
  <c r="E417" i="3"/>
  <c r="B418" i="3"/>
  <c r="C418" i="3"/>
  <c r="D418" i="3"/>
  <c r="E418" i="3"/>
  <c r="B419" i="3"/>
  <c r="C419" i="3"/>
  <c r="D419" i="3"/>
  <c r="E419" i="3"/>
  <c r="B420" i="3"/>
  <c r="C420" i="3"/>
  <c r="D420" i="3"/>
  <c r="E420" i="3"/>
  <c r="B421" i="3"/>
  <c r="C421" i="3"/>
  <c r="D421" i="3"/>
  <c r="E421" i="3"/>
  <c r="B422" i="3"/>
  <c r="C422" i="3"/>
  <c r="D422" i="3"/>
  <c r="E422" i="3"/>
  <c r="B423" i="3"/>
  <c r="C423" i="3"/>
  <c r="D423" i="3"/>
  <c r="E423" i="3"/>
  <c r="B424" i="3"/>
  <c r="C424" i="3"/>
  <c r="D424" i="3"/>
  <c r="E424" i="3"/>
  <c r="B425" i="3"/>
  <c r="C425" i="3"/>
  <c r="D425" i="3"/>
  <c r="E425" i="3"/>
  <c r="B426" i="3"/>
  <c r="C426" i="3"/>
  <c r="D426" i="3"/>
  <c r="E426" i="3"/>
  <c r="B427" i="3"/>
  <c r="C427" i="3"/>
  <c r="D427" i="3"/>
  <c r="E427" i="3"/>
  <c r="B428" i="3"/>
  <c r="C428" i="3"/>
  <c r="D428" i="3"/>
  <c r="E428" i="3"/>
  <c r="B429" i="3"/>
  <c r="C429" i="3"/>
  <c r="D429" i="3"/>
  <c r="E429" i="3"/>
  <c r="B430" i="3"/>
  <c r="C430" i="3"/>
  <c r="D430" i="3"/>
  <c r="E430" i="3"/>
  <c r="B431" i="3"/>
  <c r="C431" i="3"/>
  <c r="D431" i="3"/>
  <c r="E431" i="3"/>
  <c r="B432" i="3"/>
  <c r="C432" i="3"/>
  <c r="D432" i="3"/>
  <c r="E432" i="3"/>
  <c r="B433" i="3"/>
  <c r="C433" i="3"/>
  <c r="D433" i="3"/>
  <c r="E433" i="3"/>
  <c r="B434" i="3"/>
  <c r="C434" i="3"/>
  <c r="D434" i="3"/>
  <c r="E434" i="3"/>
  <c r="B435" i="3"/>
  <c r="C435" i="3"/>
  <c r="D435" i="3"/>
  <c r="E435" i="3"/>
  <c r="B436" i="3"/>
  <c r="C436" i="3"/>
  <c r="D436" i="3"/>
  <c r="E436" i="3"/>
  <c r="B437" i="3"/>
  <c r="C437" i="3"/>
  <c r="D437" i="3"/>
  <c r="E437" i="3"/>
  <c r="B438" i="3"/>
  <c r="C438" i="3"/>
  <c r="D438" i="3"/>
  <c r="E438" i="3"/>
  <c r="B439" i="3"/>
  <c r="C439" i="3"/>
  <c r="D439" i="3"/>
  <c r="E439" i="3"/>
  <c r="B440" i="3"/>
  <c r="C440" i="3"/>
  <c r="D440" i="3"/>
  <c r="E440" i="3"/>
  <c r="B441" i="3"/>
  <c r="C441" i="3"/>
  <c r="D441" i="3"/>
  <c r="E441" i="3"/>
  <c r="B442" i="3"/>
  <c r="C442" i="3"/>
  <c r="D442" i="3"/>
  <c r="E442" i="3"/>
  <c r="B443" i="3"/>
  <c r="C443" i="3"/>
  <c r="D443" i="3"/>
  <c r="E443" i="3"/>
  <c r="B444" i="3"/>
  <c r="C444" i="3"/>
  <c r="D444" i="3"/>
  <c r="E444" i="3"/>
  <c r="B445" i="3"/>
  <c r="C445" i="3"/>
  <c r="D445" i="3"/>
  <c r="E445" i="3"/>
  <c r="B446" i="3"/>
  <c r="C446" i="3"/>
  <c r="D446" i="3"/>
  <c r="E446" i="3"/>
  <c r="B447" i="3"/>
  <c r="C447" i="3"/>
  <c r="D447" i="3"/>
  <c r="E447" i="3"/>
  <c r="B448" i="3"/>
  <c r="C448" i="3"/>
  <c r="D448" i="3"/>
  <c r="E448" i="3"/>
  <c r="B449" i="3"/>
  <c r="C449" i="3"/>
  <c r="D449" i="3"/>
  <c r="E449" i="3"/>
  <c r="B450" i="3"/>
  <c r="C450" i="3"/>
  <c r="D450" i="3"/>
  <c r="E450" i="3"/>
  <c r="B451" i="3"/>
  <c r="C451" i="3"/>
  <c r="D451" i="3"/>
  <c r="E451" i="3"/>
  <c r="B452" i="3"/>
  <c r="C452" i="3"/>
  <c r="D452" i="3"/>
  <c r="E452" i="3"/>
  <c r="B453" i="3"/>
  <c r="C453" i="3"/>
  <c r="D453" i="3"/>
  <c r="E453" i="3"/>
  <c r="B454" i="3"/>
  <c r="C454" i="3"/>
  <c r="D454" i="3"/>
  <c r="E454" i="3"/>
  <c r="B455" i="3"/>
  <c r="C455" i="3"/>
  <c r="D455" i="3"/>
  <c r="E455" i="3"/>
  <c r="B456" i="3"/>
  <c r="C456" i="3"/>
  <c r="D456" i="3"/>
  <c r="E456" i="3"/>
  <c r="F456" i="3" s="1"/>
  <c r="B457" i="3"/>
  <c r="C457" i="3"/>
  <c r="D457" i="3"/>
  <c r="E457" i="3"/>
  <c r="B458" i="3"/>
  <c r="C458" i="3"/>
  <c r="D458" i="3"/>
  <c r="E458" i="3"/>
  <c r="F458" i="3" s="1"/>
  <c r="B459" i="3"/>
  <c r="C459" i="3"/>
  <c r="D459" i="3"/>
  <c r="E459" i="3"/>
  <c r="B460" i="3"/>
  <c r="C460" i="3"/>
  <c r="D460" i="3"/>
  <c r="E460" i="3"/>
  <c r="F460" i="3" s="1"/>
  <c r="B461" i="3"/>
  <c r="C461" i="3"/>
  <c r="D461" i="3"/>
  <c r="E461" i="3"/>
  <c r="B462" i="3"/>
  <c r="C462" i="3"/>
  <c r="D462" i="3"/>
  <c r="E462" i="3"/>
  <c r="F462" i="3" s="1"/>
  <c r="B463" i="3"/>
  <c r="C463" i="3"/>
  <c r="D463" i="3"/>
  <c r="E463" i="3"/>
  <c r="B464" i="3"/>
  <c r="C464" i="3"/>
  <c r="D464" i="3"/>
  <c r="E464" i="3"/>
  <c r="B465" i="3"/>
  <c r="C465" i="3"/>
  <c r="D465" i="3"/>
  <c r="E465" i="3"/>
  <c r="B466" i="3"/>
  <c r="C466" i="3"/>
  <c r="D466" i="3"/>
  <c r="E466" i="3"/>
  <c r="B467" i="3"/>
  <c r="C467" i="3"/>
  <c r="D467" i="3"/>
  <c r="E467" i="3"/>
  <c r="B468" i="3"/>
  <c r="C468" i="3"/>
  <c r="D468" i="3"/>
  <c r="E468" i="3"/>
  <c r="F468" i="3" s="1"/>
  <c r="B469" i="3"/>
  <c r="C469" i="3"/>
  <c r="D469" i="3"/>
  <c r="E469" i="3"/>
  <c r="B470" i="3"/>
  <c r="C470" i="3"/>
  <c r="D470" i="3"/>
  <c r="E470" i="3"/>
  <c r="B471" i="3"/>
  <c r="C471" i="3"/>
  <c r="D471" i="3"/>
  <c r="E471" i="3"/>
  <c r="B472" i="3"/>
  <c r="C472" i="3"/>
  <c r="D472" i="3"/>
  <c r="E472" i="3"/>
  <c r="B473" i="3"/>
  <c r="C473" i="3"/>
  <c r="D473" i="3"/>
  <c r="E473" i="3"/>
  <c r="B474" i="3"/>
  <c r="C474" i="3"/>
  <c r="D474" i="3"/>
  <c r="E474" i="3"/>
  <c r="B475" i="3"/>
  <c r="C475" i="3"/>
  <c r="D475" i="3"/>
  <c r="E475" i="3"/>
  <c r="B476" i="3"/>
  <c r="C476" i="3"/>
  <c r="D476" i="3"/>
  <c r="E476" i="3"/>
  <c r="B477" i="3"/>
  <c r="C477" i="3"/>
  <c r="D477" i="3"/>
  <c r="E477" i="3"/>
  <c r="B478" i="3"/>
  <c r="C478" i="3"/>
  <c r="D478" i="3"/>
  <c r="E478" i="3"/>
  <c r="F478" i="3" s="1"/>
  <c r="B479" i="3"/>
  <c r="C479" i="3"/>
  <c r="D479" i="3"/>
  <c r="E479" i="3"/>
  <c r="B480" i="3"/>
  <c r="C480" i="3"/>
  <c r="D480" i="3"/>
  <c r="E480" i="3"/>
  <c r="F480" i="3" s="1"/>
  <c r="B481" i="3"/>
  <c r="C481" i="3"/>
  <c r="D481" i="3"/>
  <c r="E481" i="3"/>
  <c r="B482" i="3"/>
  <c r="C482" i="3"/>
  <c r="D482" i="3"/>
  <c r="E482" i="3"/>
  <c r="F482" i="3" s="1"/>
  <c r="B483" i="3"/>
  <c r="C483" i="3"/>
  <c r="D483" i="3"/>
  <c r="E483" i="3"/>
  <c r="B484" i="3"/>
  <c r="C484" i="3"/>
  <c r="D484" i="3"/>
  <c r="E484" i="3"/>
  <c r="F484" i="3" s="1"/>
  <c r="B485" i="3"/>
  <c r="C485" i="3"/>
  <c r="D485" i="3"/>
  <c r="E485" i="3"/>
  <c r="B486" i="3"/>
  <c r="C486" i="3"/>
  <c r="D486" i="3"/>
  <c r="E486" i="3"/>
  <c r="B487" i="3"/>
  <c r="C487" i="3"/>
  <c r="D487" i="3"/>
  <c r="E487" i="3"/>
  <c r="B488" i="3"/>
  <c r="C488" i="3"/>
  <c r="D488" i="3"/>
  <c r="E488" i="3"/>
  <c r="B489" i="3"/>
  <c r="C489" i="3"/>
  <c r="D489" i="3"/>
  <c r="E489" i="3"/>
  <c r="B341" i="3"/>
  <c r="C341" i="3"/>
  <c r="B342" i="3"/>
  <c r="C342" i="3"/>
  <c r="B343" i="3"/>
  <c r="C343" i="3"/>
  <c r="B344" i="3"/>
  <c r="C344" i="3"/>
  <c r="B345" i="3"/>
  <c r="C345" i="3"/>
  <c r="B346" i="3"/>
  <c r="C346" i="3"/>
  <c r="B347" i="3"/>
  <c r="C347" i="3"/>
  <c r="B348" i="3"/>
  <c r="C348" i="3"/>
  <c r="B349" i="3"/>
  <c r="C349" i="3"/>
  <c r="B350" i="3"/>
  <c r="C350" i="3"/>
  <c r="B351" i="3"/>
  <c r="C351" i="3"/>
  <c r="B352" i="3"/>
  <c r="C352" i="3"/>
  <c r="B353" i="3"/>
  <c r="C353" i="3"/>
  <c r="B354" i="3"/>
  <c r="C354" i="3"/>
  <c r="B355" i="3"/>
  <c r="C355" i="3"/>
  <c r="B356" i="3"/>
  <c r="C356" i="3"/>
  <c r="B357" i="3"/>
  <c r="C357" i="3"/>
  <c r="B358" i="3"/>
  <c r="C358" i="3"/>
  <c r="B359" i="3"/>
  <c r="C359" i="3"/>
  <c r="B360" i="3"/>
  <c r="C360" i="3"/>
  <c r="B361" i="3"/>
  <c r="C361" i="3"/>
  <c r="B362" i="3"/>
  <c r="C362" i="3"/>
  <c r="B363" i="3"/>
  <c r="C363" i="3"/>
  <c r="B364" i="3"/>
  <c r="C364" i="3"/>
  <c r="B365" i="3"/>
  <c r="C365" i="3"/>
  <c r="B366" i="3"/>
  <c r="C366" i="3"/>
  <c r="B367" i="3"/>
  <c r="C367" i="3"/>
  <c r="B368" i="3"/>
  <c r="C368" i="3"/>
  <c r="B369" i="3"/>
  <c r="C369" i="3"/>
  <c r="B370" i="3"/>
  <c r="C370" i="3"/>
  <c r="B371" i="3"/>
  <c r="C371" i="3"/>
  <c r="B372" i="3"/>
  <c r="C372" i="3"/>
  <c r="B373" i="3"/>
  <c r="C373" i="3"/>
  <c r="B374" i="3"/>
  <c r="C374" i="3"/>
  <c r="B375" i="3"/>
  <c r="C375" i="3"/>
  <c r="B376" i="3"/>
  <c r="C376" i="3"/>
  <c r="B377" i="3"/>
  <c r="C377" i="3"/>
  <c r="B378" i="3"/>
  <c r="C378" i="3"/>
  <c r="B379" i="3"/>
  <c r="C379" i="3"/>
  <c r="B380" i="3"/>
  <c r="C380" i="3"/>
  <c r="B381" i="3"/>
  <c r="C381" i="3"/>
  <c r="B382" i="3"/>
  <c r="C382" i="3"/>
  <c r="B383" i="3"/>
  <c r="C383" i="3"/>
  <c r="B384" i="3"/>
  <c r="C384" i="3"/>
  <c r="B385" i="3"/>
  <c r="C385" i="3"/>
  <c r="B386" i="3"/>
  <c r="C386" i="3"/>
  <c r="B387" i="3"/>
  <c r="C387" i="3"/>
  <c r="B388" i="3"/>
  <c r="C388" i="3"/>
  <c r="B389" i="3"/>
  <c r="C389" i="3"/>
  <c r="B390" i="3"/>
  <c r="C390" i="3"/>
  <c r="B391" i="3"/>
  <c r="C391" i="3"/>
  <c r="B392" i="3"/>
  <c r="C392" i="3"/>
  <c r="B393" i="3"/>
  <c r="C393" i="3"/>
  <c r="B394" i="3"/>
  <c r="C394" i="3"/>
  <c r="B395" i="3"/>
  <c r="C395" i="3"/>
  <c r="B396" i="3"/>
  <c r="C396" i="3"/>
  <c r="B397" i="3"/>
  <c r="C397" i="3"/>
  <c r="B398" i="3"/>
  <c r="C398" i="3"/>
  <c r="B399" i="3"/>
  <c r="C399" i="3"/>
  <c r="B400" i="3"/>
  <c r="C400" i="3"/>
  <c r="B401" i="3"/>
  <c r="C401" i="3"/>
  <c r="B402" i="3"/>
  <c r="C402" i="3"/>
  <c r="B403" i="3"/>
  <c r="C403" i="3"/>
  <c r="B404" i="3"/>
  <c r="C404" i="3"/>
  <c r="B405" i="3"/>
  <c r="C405" i="3"/>
  <c r="B406" i="3"/>
  <c r="C406" i="3"/>
  <c r="B407" i="3"/>
  <c r="C407" i="3"/>
  <c r="B408" i="3"/>
  <c r="C408" i="3"/>
  <c r="B409" i="3"/>
  <c r="C409" i="3"/>
  <c r="B410" i="3"/>
  <c r="C410" i="3"/>
  <c r="B411" i="3"/>
  <c r="C411" i="3"/>
  <c r="B412" i="3"/>
  <c r="C412" i="3"/>
  <c r="F454" i="3" l="1"/>
  <c r="F452" i="3"/>
  <c r="F450" i="3"/>
  <c r="F448" i="3"/>
  <c r="F446" i="3"/>
  <c r="F444" i="3"/>
  <c r="F442" i="3"/>
  <c r="F440" i="3"/>
  <c r="F438" i="3"/>
  <c r="F436" i="3"/>
  <c r="F434" i="3"/>
  <c r="F432" i="3"/>
  <c r="F466" i="3"/>
  <c r="F476" i="3"/>
  <c r="F474" i="3"/>
  <c r="F464" i="3"/>
  <c r="F430" i="3"/>
  <c r="F428" i="3"/>
  <c r="F426" i="3"/>
  <c r="F424" i="3"/>
  <c r="F422" i="3"/>
  <c r="F420" i="3"/>
  <c r="F418" i="3"/>
  <c r="F416" i="3"/>
  <c r="F414" i="3"/>
  <c r="F489" i="3"/>
  <c r="F487" i="3"/>
  <c r="F486" i="3"/>
  <c r="F472" i="3"/>
  <c r="F471" i="3"/>
  <c r="F470" i="3"/>
  <c r="F475" i="3"/>
  <c r="F465" i="3"/>
  <c r="F463" i="3"/>
  <c r="F488" i="3"/>
  <c r="F473" i="3"/>
  <c r="F461" i="3"/>
  <c r="F459" i="3"/>
  <c r="F457" i="3"/>
  <c r="F455" i="3"/>
  <c r="F453" i="3"/>
  <c r="F451" i="3"/>
  <c r="F449" i="3"/>
  <c r="F447" i="3"/>
  <c r="F445" i="3"/>
  <c r="F443" i="3"/>
  <c r="F441" i="3"/>
  <c r="F439" i="3"/>
  <c r="F437" i="3"/>
  <c r="F435" i="3"/>
  <c r="F433" i="3"/>
  <c r="F431" i="3"/>
  <c r="F429" i="3"/>
  <c r="F427" i="3"/>
  <c r="F425" i="3"/>
  <c r="F423" i="3"/>
  <c r="F421" i="3"/>
  <c r="F419" i="3"/>
  <c r="F417" i="3"/>
  <c r="F415" i="3"/>
  <c r="F413" i="3"/>
  <c r="F485" i="3"/>
  <c r="F483" i="3"/>
  <c r="F481" i="3"/>
  <c r="F479" i="3"/>
  <c r="F477" i="3"/>
  <c r="F469" i="3"/>
  <c r="F467" i="3"/>
  <c r="D412" i="3"/>
  <c r="E412" i="3"/>
  <c r="D2" i="3"/>
  <c r="E2" i="3"/>
  <c r="D341" i="3"/>
  <c r="E341" i="3"/>
  <c r="D342" i="3"/>
  <c r="E342" i="3"/>
  <c r="D343" i="3"/>
  <c r="E343" i="3"/>
  <c r="D344" i="3"/>
  <c r="E344" i="3"/>
  <c r="D345" i="3"/>
  <c r="E345" i="3"/>
  <c r="D346" i="3"/>
  <c r="E346" i="3"/>
  <c r="D347" i="3"/>
  <c r="E347" i="3"/>
  <c r="D348" i="3"/>
  <c r="E348" i="3"/>
  <c r="D349" i="3"/>
  <c r="E349" i="3"/>
  <c r="D350" i="3"/>
  <c r="E350" i="3"/>
  <c r="D351" i="3"/>
  <c r="E351" i="3"/>
  <c r="D352" i="3"/>
  <c r="E352" i="3"/>
  <c r="D353" i="3"/>
  <c r="E353" i="3"/>
  <c r="D354" i="3"/>
  <c r="E354" i="3"/>
  <c r="D355" i="3"/>
  <c r="E355" i="3"/>
  <c r="D356" i="3"/>
  <c r="E356" i="3"/>
  <c r="D357" i="3"/>
  <c r="E357" i="3"/>
  <c r="D358" i="3"/>
  <c r="E358" i="3"/>
  <c r="D359" i="3"/>
  <c r="E359" i="3"/>
  <c r="D360" i="3"/>
  <c r="E360" i="3"/>
  <c r="D361" i="3"/>
  <c r="E361" i="3"/>
  <c r="D362" i="3"/>
  <c r="E362" i="3"/>
  <c r="D363" i="3"/>
  <c r="E363" i="3"/>
  <c r="D364" i="3"/>
  <c r="E364" i="3"/>
  <c r="D365" i="3"/>
  <c r="E365" i="3"/>
  <c r="D366" i="3"/>
  <c r="E366" i="3"/>
  <c r="D367" i="3"/>
  <c r="E367" i="3"/>
  <c r="D368" i="3"/>
  <c r="E368" i="3"/>
  <c r="D369" i="3"/>
  <c r="E369" i="3"/>
  <c r="D370" i="3"/>
  <c r="E370" i="3"/>
  <c r="D371" i="3"/>
  <c r="E371" i="3"/>
  <c r="D372" i="3"/>
  <c r="E372" i="3"/>
  <c r="D373" i="3"/>
  <c r="E373" i="3"/>
  <c r="D374" i="3"/>
  <c r="E374" i="3"/>
  <c r="D375" i="3"/>
  <c r="E375" i="3"/>
  <c r="D376" i="3"/>
  <c r="E376" i="3"/>
  <c r="D377" i="3"/>
  <c r="E377" i="3"/>
  <c r="D378" i="3"/>
  <c r="E378" i="3"/>
  <c r="D379" i="3"/>
  <c r="E379" i="3"/>
  <c r="D380" i="3"/>
  <c r="E380" i="3"/>
  <c r="D381" i="3"/>
  <c r="E381" i="3"/>
  <c r="D382" i="3"/>
  <c r="E382" i="3"/>
  <c r="D383" i="3"/>
  <c r="E383" i="3"/>
  <c r="D384" i="3"/>
  <c r="E384" i="3"/>
  <c r="D385" i="3"/>
  <c r="E385" i="3"/>
  <c r="D386" i="3"/>
  <c r="E386" i="3"/>
  <c r="D387" i="3"/>
  <c r="E387" i="3"/>
  <c r="D388" i="3"/>
  <c r="E388" i="3"/>
  <c r="D389" i="3"/>
  <c r="E389" i="3"/>
  <c r="D390" i="3"/>
  <c r="E390" i="3"/>
  <c r="D391" i="3"/>
  <c r="E391" i="3"/>
  <c r="D392" i="3"/>
  <c r="E392" i="3"/>
  <c r="D393" i="3"/>
  <c r="E393" i="3"/>
  <c r="D394" i="3"/>
  <c r="E394" i="3"/>
  <c r="D395" i="3"/>
  <c r="E395" i="3"/>
  <c r="D396" i="3"/>
  <c r="E396" i="3"/>
  <c r="D397" i="3"/>
  <c r="E397" i="3"/>
  <c r="D398" i="3"/>
  <c r="E398" i="3"/>
  <c r="D399" i="3"/>
  <c r="E399" i="3"/>
  <c r="D400" i="3"/>
  <c r="E400" i="3"/>
  <c r="D401" i="3"/>
  <c r="E401" i="3"/>
  <c r="D402" i="3"/>
  <c r="E402" i="3"/>
  <c r="D403" i="3"/>
  <c r="E403" i="3"/>
  <c r="D404" i="3"/>
  <c r="E404" i="3"/>
  <c r="D405" i="3"/>
  <c r="E405" i="3"/>
  <c r="D406" i="3"/>
  <c r="E406" i="3"/>
  <c r="D407" i="3"/>
  <c r="E407" i="3"/>
  <c r="D408" i="3"/>
  <c r="E408" i="3"/>
  <c r="D409" i="3"/>
  <c r="E409" i="3"/>
  <c r="D410" i="3"/>
  <c r="E410" i="3"/>
  <c r="D411" i="3"/>
  <c r="E411" i="3"/>
  <c r="E3" i="3"/>
  <c r="E4" i="3"/>
  <c r="E5" i="3"/>
  <c r="E6" i="3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E63" i="3"/>
  <c r="E64" i="3"/>
  <c r="E65" i="3"/>
  <c r="E66" i="3"/>
  <c r="E67" i="3"/>
  <c r="E68" i="3"/>
  <c r="E69" i="3"/>
  <c r="E70" i="3"/>
  <c r="E71" i="3"/>
  <c r="E72" i="3"/>
  <c r="E73" i="3"/>
  <c r="E74" i="3"/>
  <c r="E75" i="3"/>
  <c r="E76" i="3"/>
  <c r="E77" i="3"/>
  <c r="E78" i="3"/>
  <c r="E79" i="3"/>
  <c r="E80" i="3"/>
  <c r="E81" i="3"/>
  <c r="E82" i="3"/>
  <c r="E83" i="3"/>
  <c r="E84" i="3"/>
  <c r="E85" i="3"/>
  <c r="E86" i="3"/>
  <c r="E87" i="3"/>
  <c r="E88" i="3"/>
  <c r="E89" i="3"/>
  <c r="E90" i="3"/>
  <c r="E91" i="3"/>
  <c r="E92" i="3"/>
  <c r="E93" i="3"/>
  <c r="E94" i="3"/>
  <c r="E95" i="3"/>
  <c r="E96" i="3"/>
  <c r="E97" i="3"/>
  <c r="E98" i="3"/>
  <c r="E99" i="3"/>
  <c r="E100" i="3"/>
  <c r="E101" i="3"/>
  <c r="E102" i="3"/>
  <c r="E103" i="3"/>
  <c r="E104" i="3"/>
  <c r="E105" i="3"/>
  <c r="E106" i="3"/>
  <c r="E107" i="3"/>
  <c r="E108" i="3"/>
  <c r="E109" i="3"/>
  <c r="E110" i="3"/>
  <c r="E111" i="3"/>
  <c r="E112" i="3"/>
  <c r="E113" i="3"/>
  <c r="E114" i="3"/>
  <c r="E115" i="3"/>
  <c r="E116" i="3"/>
  <c r="E117" i="3"/>
  <c r="E118" i="3"/>
  <c r="E119" i="3"/>
  <c r="E120" i="3"/>
  <c r="E121" i="3"/>
  <c r="E122" i="3"/>
  <c r="E123" i="3"/>
  <c r="E124" i="3"/>
  <c r="E125" i="3"/>
  <c r="E126" i="3"/>
  <c r="E127" i="3"/>
  <c r="E128" i="3"/>
  <c r="E129" i="3"/>
  <c r="E130" i="3"/>
  <c r="E131" i="3"/>
  <c r="E132" i="3"/>
  <c r="E133" i="3"/>
  <c r="E134" i="3"/>
  <c r="E135" i="3"/>
  <c r="E136" i="3"/>
  <c r="E137" i="3"/>
  <c r="E138" i="3"/>
  <c r="E139" i="3"/>
  <c r="E140" i="3"/>
  <c r="E141" i="3"/>
  <c r="E142" i="3"/>
  <c r="E143" i="3"/>
  <c r="E144" i="3"/>
  <c r="E145" i="3"/>
  <c r="E146" i="3"/>
  <c r="E147" i="3"/>
  <c r="E148" i="3"/>
  <c r="E149" i="3"/>
  <c r="E150" i="3"/>
  <c r="E151" i="3"/>
  <c r="E152" i="3"/>
  <c r="E153" i="3"/>
  <c r="E154" i="3"/>
  <c r="E155" i="3"/>
  <c r="E156" i="3"/>
  <c r="E157" i="3"/>
  <c r="E158" i="3"/>
  <c r="E159" i="3"/>
  <c r="E160" i="3"/>
  <c r="E161" i="3"/>
  <c r="E162" i="3"/>
  <c r="E163" i="3"/>
  <c r="E164" i="3"/>
  <c r="E165" i="3"/>
  <c r="E166" i="3"/>
  <c r="E167" i="3"/>
  <c r="E168" i="3"/>
  <c r="E169" i="3"/>
  <c r="E170" i="3"/>
  <c r="E171" i="3"/>
  <c r="E172" i="3"/>
  <c r="E173" i="3"/>
  <c r="E174" i="3"/>
  <c r="E175" i="3"/>
  <c r="E176" i="3"/>
  <c r="E177" i="3"/>
  <c r="E178" i="3"/>
  <c r="E179" i="3"/>
  <c r="E180" i="3"/>
  <c r="E181" i="3"/>
  <c r="E182" i="3"/>
  <c r="E183" i="3"/>
  <c r="E184" i="3"/>
  <c r="E185" i="3"/>
  <c r="E186" i="3"/>
  <c r="E187" i="3"/>
  <c r="E188" i="3"/>
  <c r="E189" i="3"/>
  <c r="E190" i="3"/>
  <c r="E191" i="3"/>
  <c r="E192" i="3"/>
  <c r="E193" i="3"/>
  <c r="E194" i="3"/>
  <c r="E195" i="3"/>
  <c r="E196" i="3"/>
  <c r="E197" i="3"/>
  <c r="E198" i="3"/>
  <c r="E199" i="3"/>
  <c r="E200" i="3"/>
  <c r="E201" i="3"/>
  <c r="E202" i="3"/>
  <c r="E203" i="3"/>
  <c r="E204" i="3"/>
  <c r="E205" i="3"/>
  <c r="E206" i="3"/>
  <c r="E207" i="3"/>
  <c r="E208" i="3"/>
  <c r="E209" i="3"/>
  <c r="E210" i="3"/>
  <c r="E211" i="3"/>
  <c r="E212" i="3"/>
  <c r="E213" i="3"/>
  <c r="E214" i="3"/>
  <c r="E215" i="3"/>
  <c r="E216" i="3"/>
  <c r="E217" i="3"/>
  <c r="E218" i="3"/>
  <c r="E219" i="3"/>
  <c r="E220" i="3"/>
  <c r="E221" i="3"/>
  <c r="E222" i="3"/>
  <c r="E223" i="3"/>
  <c r="E224" i="3"/>
  <c r="E225" i="3"/>
  <c r="E226" i="3"/>
  <c r="E227" i="3"/>
  <c r="E228" i="3"/>
  <c r="E229" i="3"/>
  <c r="E230" i="3"/>
  <c r="E231" i="3"/>
  <c r="E232" i="3"/>
  <c r="E233" i="3"/>
  <c r="E234" i="3"/>
  <c r="E235" i="3"/>
  <c r="E236" i="3"/>
  <c r="E237" i="3"/>
  <c r="E238" i="3"/>
  <c r="E239" i="3"/>
  <c r="E240" i="3"/>
  <c r="E241" i="3"/>
  <c r="E242" i="3"/>
  <c r="E243" i="3"/>
  <c r="E244" i="3"/>
  <c r="E245" i="3"/>
  <c r="E246" i="3"/>
  <c r="E247" i="3"/>
  <c r="E248" i="3"/>
  <c r="E249" i="3"/>
  <c r="E250" i="3"/>
  <c r="E251" i="3"/>
  <c r="E252" i="3"/>
  <c r="E253" i="3"/>
  <c r="E254" i="3"/>
  <c r="E255" i="3"/>
  <c r="E256" i="3"/>
  <c r="E257" i="3"/>
  <c r="E258" i="3"/>
  <c r="E259" i="3"/>
  <c r="E260" i="3"/>
  <c r="E261" i="3"/>
  <c r="E262" i="3"/>
  <c r="E263" i="3"/>
  <c r="E264" i="3"/>
  <c r="E265" i="3"/>
  <c r="E266" i="3"/>
  <c r="E267" i="3"/>
  <c r="E268" i="3"/>
  <c r="E269" i="3"/>
  <c r="E270" i="3"/>
  <c r="E271" i="3"/>
  <c r="E272" i="3"/>
  <c r="E273" i="3"/>
  <c r="E274" i="3"/>
  <c r="E275" i="3"/>
  <c r="E276" i="3"/>
  <c r="E277" i="3"/>
  <c r="E278" i="3"/>
  <c r="E279" i="3"/>
  <c r="E280" i="3"/>
  <c r="E281" i="3"/>
  <c r="E282" i="3"/>
  <c r="E283" i="3"/>
  <c r="E284" i="3"/>
  <c r="E285" i="3"/>
  <c r="E286" i="3"/>
  <c r="E287" i="3"/>
  <c r="E288" i="3"/>
  <c r="E289" i="3"/>
  <c r="E290" i="3"/>
  <c r="E291" i="3"/>
  <c r="E292" i="3"/>
  <c r="E293" i="3"/>
  <c r="E294" i="3"/>
  <c r="E295" i="3"/>
  <c r="E296" i="3"/>
  <c r="E297" i="3"/>
  <c r="E298" i="3"/>
  <c r="E299" i="3"/>
  <c r="E300" i="3"/>
  <c r="E301" i="3"/>
  <c r="E302" i="3"/>
  <c r="E303" i="3"/>
  <c r="E304" i="3"/>
  <c r="E305" i="3"/>
  <c r="E306" i="3"/>
  <c r="E307" i="3"/>
  <c r="E308" i="3"/>
  <c r="E309" i="3"/>
  <c r="E310" i="3"/>
  <c r="E311" i="3"/>
  <c r="E312" i="3"/>
  <c r="E313" i="3"/>
  <c r="E314" i="3"/>
  <c r="E315" i="3"/>
  <c r="E316" i="3"/>
  <c r="E317" i="3"/>
  <c r="E318" i="3"/>
  <c r="E319" i="3"/>
  <c r="E320" i="3"/>
  <c r="E321" i="3"/>
  <c r="E322" i="3"/>
  <c r="E323" i="3"/>
  <c r="E324" i="3"/>
  <c r="E325" i="3"/>
  <c r="E326" i="3"/>
  <c r="E327" i="3"/>
  <c r="E328" i="3"/>
  <c r="E329" i="3"/>
  <c r="E330" i="3"/>
  <c r="E331" i="3"/>
  <c r="E332" i="3"/>
  <c r="E333" i="3"/>
  <c r="E334" i="3"/>
  <c r="E335" i="3"/>
  <c r="E336" i="3"/>
  <c r="E337" i="3"/>
  <c r="E338" i="3"/>
  <c r="E339" i="3"/>
  <c r="E340" i="3"/>
  <c r="B2" i="3"/>
  <c r="C2" i="3"/>
  <c r="B3" i="3"/>
  <c r="C3" i="3"/>
  <c r="D3" i="3"/>
  <c r="B4" i="3"/>
  <c r="C4" i="3"/>
  <c r="D4" i="3"/>
  <c r="B5" i="3"/>
  <c r="C5" i="3"/>
  <c r="D5" i="3"/>
  <c r="B6" i="3"/>
  <c r="C6" i="3"/>
  <c r="D6" i="3"/>
  <c r="F6" i="3" s="1"/>
  <c r="B7" i="3"/>
  <c r="C7" i="3"/>
  <c r="D7" i="3"/>
  <c r="B8" i="3"/>
  <c r="C8" i="3"/>
  <c r="D8" i="3"/>
  <c r="B9" i="3"/>
  <c r="C9" i="3"/>
  <c r="D9" i="3"/>
  <c r="B10" i="3"/>
  <c r="C10" i="3"/>
  <c r="D10" i="3"/>
  <c r="F10" i="3" s="1"/>
  <c r="B11" i="3"/>
  <c r="C11" i="3"/>
  <c r="D11" i="3"/>
  <c r="B12" i="3"/>
  <c r="C12" i="3"/>
  <c r="D12" i="3"/>
  <c r="B13" i="3"/>
  <c r="C13" i="3"/>
  <c r="D13" i="3"/>
  <c r="B14" i="3"/>
  <c r="C14" i="3"/>
  <c r="D14" i="3"/>
  <c r="F14" i="3" s="1"/>
  <c r="B15" i="3"/>
  <c r="C15" i="3"/>
  <c r="D15" i="3"/>
  <c r="B16" i="3"/>
  <c r="C16" i="3"/>
  <c r="D16" i="3"/>
  <c r="B17" i="3"/>
  <c r="C17" i="3"/>
  <c r="D17" i="3"/>
  <c r="B18" i="3"/>
  <c r="C18" i="3"/>
  <c r="D18" i="3"/>
  <c r="F18" i="3" s="1"/>
  <c r="B19" i="3"/>
  <c r="C19" i="3"/>
  <c r="D19" i="3"/>
  <c r="B20" i="3"/>
  <c r="C20" i="3"/>
  <c r="D20" i="3"/>
  <c r="B21" i="3"/>
  <c r="C21" i="3"/>
  <c r="D21" i="3"/>
  <c r="B22" i="3"/>
  <c r="C22" i="3"/>
  <c r="D22" i="3"/>
  <c r="F22" i="3" s="1"/>
  <c r="B23" i="3"/>
  <c r="C23" i="3"/>
  <c r="D23" i="3"/>
  <c r="B24" i="3"/>
  <c r="C24" i="3"/>
  <c r="D24" i="3"/>
  <c r="B25" i="3"/>
  <c r="C25" i="3"/>
  <c r="D25" i="3"/>
  <c r="B26" i="3"/>
  <c r="C26" i="3"/>
  <c r="D26" i="3"/>
  <c r="F26" i="3" s="1"/>
  <c r="B27" i="3"/>
  <c r="C27" i="3"/>
  <c r="D27" i="3"/>
  <c r="B28" i="3"/>
  <c r="C28" i="3"/>
  <c r="D28" i="3"/>
  <c r="B29" i="3"/>
  <c r="C29" i="3"/>
  <c r="D29" i="3"/>
  <c r="B30" i="3"/>
  <c r="C30" i="3"/>
  <c r="D30" i="3"/>
  <c r="F30" i="3" s="1"/>
  <c r="B31" i="3"/>
  <c r="C31" i="3"/>
  <c r="D31" i="3"/>
  <c r="B32" i="3"/>
  <c r="C32" i="3"/>
  <c r="D32" i="3"/>
  <c r="B33" i="3"/>
  <c r="C33" i="3"/>
  <c r="D33" i="3"/>
  <c r="B34" i="3"/>
  <c r="C34" i="3"/>
  <c r="D34" i="3"/>
  <c r="F34" i="3" s="1"/>
  <c r="B35" i="3"/>
  <c r="C35" i="3"/>
  <c r="D35" i="3"/>
  <c r="B36" i="3"/>
  <c r="C36" i="3"/>
  <c r="D36" i="3"/>
  <c r="B37" i="3"/>
  <c r="C37" i="3"/>
  <c r="D37" i="3"/>
  <c r="B38" i="3"/>
  <c r="C38" i="3"/>
  <c r="D38" i="3"/>
  <c r="F38" i="3" s="1"/>
  <c r="B39" i="3"/>
  <c r="C39" i="3"/>
  <c r="D39" i="3"/>
  <c r="B40" i="3"/>
  <c r="C40" i="3"/>
  <c r="D40" i="3"/>
  <c r="B41" i="3"/>
  <c r="C41" i="3"/>
  <c r="D41" i="3"/>
  <c r="B42" i="3"/>
  <c r="C42" i="3"/>
  <c r="D42" i="3"/>
  <c r="F42" i="3" s="1"/>
  <c r="B43" i="3"/>
  <c r="C43" i="3"/>
  <c r="D43" i="3"/>
  <c r="B44" i="3"/>
  <c r="C44" i="3"/>
  <c r="D44" i="3"/>
  <c r="B45" i="3"/>
  <c r="C45" i="3"/>
  <c r="D45" i="3"/>
  <c r="B46" i="3"/>
  <c r="C46" i="3"/>
  <c r="D46" i="3"/>
  <c r="F46" i="3" s="1"/>
  <c r="B47" i="3"/>
  <c r="C47" i="3"/>
  <c r="D47" i="3"/>
  <c r="B48" i="3"/>
  <c r="C48" i="3"/>
  <c r="D48" i="3"/>
  <c r="B49" i="3"/>
  <c r="C49" i="3"/>
  <c r="D49" i="3"/>
  <c r="B50" i="3"/>
  <c r="C50" i="3"/>
  <c r="D50" i="3"/>
  <c r="F50" i="3" s="1"/>
  <c r="B51" i="3"/>
  <c r="C51" i="3"/>
  <c r="D51" i="3"/>
  <c r="B52" i="3"/>
  <c r="C52" i="3"/>
  <c r="D52" i="3"/>
  <c r="B53" i="3"/>
  <c r="C53" i="3"/>
  <c r="D53" i="3"/>
  <c r="B54" i="3"/>
  <c r="C54" i="3"/>
  <c r="D54" i="3"/>
  <c r="F54" i="3" s="1"/>
  <c r="B55" i="3"/>
  <c r="C55" i="3"/>
  <c r="D55" i="3"/>
  <c r="B56" i="3"/>
  <c r="C56" i="3"/>
  <c r="D56" i="3"/>
  <c r="B57" i="3"/>
  <c r="C57" i="3"/>
  <c r="D57" i="3"/>
  <c r="B58" i="3"/>
  <c r="C58" i="3"/>
  <c r="D58" i="3"/>
  <c r="B59" i="3"/>
  <c r="C59" i="3"/>
  <c r="D59" i="3"/>
  <c r="B60" i="3"/>
  <c r="C60" i="3"/>
  <c r="D60" i="3"/>
  <c r="B61" i="3"/>
  <c r="C61" i="3"/>
  <c r="D61" i="3"/>
  <c r="B62" i="3"/>
  <c r="C62" i="3"/>
  <c r="D62" i="3"/>
  <c r="F62" i="3" s="1"/>
  <c r="B63" i="3"/>
  <c r="C63" i="3"/>
  <c r="D63" i="3"/>
  <c r="B64" i="3"/>
  <c r="C64" i="3"/>
  <c r="D64" i="3"/>
  <c r="B65" i="3"/>
  <c r="C65" i="3"/>
  <c r="D65" i="3"/>
  <c r="B66" i="3"/>
  <c r="C66" i="3"/>
  <c r="D66" i="3"/>
  <c r="F66" i="3" s="1"/>
  <c r="B67" i="3"/>
  <c r="C67" i="3"/>
  <c r="D67" i="3"/>
  <c r="B68" i="3"/>
  <c r="C68" i="3"/>
  <c r="D68" i="3"/>
  <c r="B69" i="3"/>
  <c r="C69" i="3"/>
  <c r="D69" i="3"/>
  <c r="B70" i="3"/>
  <c r="C70" i="3"/>
  <c r="D70" i="3"/>
  <c r="F70" i="3" s="1"/>
  <c r="B71" i="3"/>
  <c r="C71" i="3"/>
  <c r="D71" i="3"/>
  <c r="B72" i="3"/>
  <c r="C72" i="3"/>
  <c r="D72" i="3"/>
  <c r="B73" i="3"/>
  <c r="C73" i="3"/>
  <c r="D73" i="3"/>
  <c r="B74" i="3"/>
  <c r="C74" i="3"/>
  <c r="D74" i="3"/>
  <c r="F74" i="3" s="1"/>
  <c r="B75" i="3"/>
  <c r="C75" i="3"/>
  <c r="D75" i="3"/>
  <c r="B76" i="3"/>
  <c r="C76" i="3"/>
  <c r="D76" i="3"/>
  <c r="B77" i="3"/>
  <c r="C77" i="3"/>
  <c r="D77" i="3"/>
  <c r="B78" i="3"/>
  <c r="C78" i="3"/>
  <c r="D78" i="3"/>
  <c r="F78" i="3" s="1"/>
  <c r="B79" i="3"/>
  <c r="C79" i="3"/>
  <c r="D79" i="3"/>
  <c r="B80" i="3"/>
  <c r="C80" i="3"/>
  <c r="D80" i="3"/>
  <c r="B81" i="3"/>
  <c r="C81" i="3"/>
  <c r="D81" i="3"/>
  <c r="B82" i="3"/>
  <c r="C82" i="3"/>
  <c r="D82" i="3"/>
  <c r="F82" i="3" s="1"/>
  <c r="B83" i="3"/>
  <c r="C83" i="3"/>
  <c r="D83" i="3"/>
  <c r="B84" i="3"/>
  <c r="C84" i="3"/>
  <c r="D84" i="3"/>
  <c r="B85" i="3"/>
  <c r="C85" i="3"/>
  <c r="D85" i="3"/>
  <c r="B86" i="3"/>
  <c r="C86" i="3"/>
  <c r="D86" i="3"/>
  <c r="F86" i="3" s="1"/>
  <c r="B87" i="3"/>
  <c r="C87" i="3"/>
  <c r="D87" i="3"/>
  <c r="B88" i="3"/>
  <c r="C88" i="3"/>
  <c r="D88" i="3"/>
  <c r="B89" i="3"/>
  <c r="C89" i="3"/>
  <c r="D89" i="3"/>
  <c r="B90" i="3"/>
  <c r="C90" i="3"/>
  <c r="D90" i="3"/>
  <c r="F90" i="3" s="1"/>
  <c r="B91" i="3"/>
  <c r="C91" i="3"/>
  <c r="D91" i="3"/>
  <c r="B92" i="3"/>
  <c r="C92" i="3"/>
  <c r="D92" i="3"/>
  <c r="B93" i="3"/>
  <c r="C93" i="3"/>
  <c r="D93" i="3"/>
  <c r="B94" i="3"/>
  <c r="C94" i="3"/>
  <c r="D94" i="3"/>
  <c r="F94" i="3" s="1"/>
  <c r="B95" i="3"/>
  <c r="C95" i="3"/>
  <c r="D95" i="3"/>
  <c r="B96" i="3"/>
  <c r="C96" i="3"/>
  <c r="D96" i="3"/>
  <c r="B97" i="3"/>
  <c r="C97" i="3"/>
  <c r="D97" i="3"/>
  <c r="B98" i="3"/>
  <c r="C98" i="3"/>
  <c r="D98" i="3"/>
  <c r="F98" i="3" s="1"/>
  <c r="B99" i="3"/>
  <c r="C99" i="3"/>
  <c r="D99" i="3"/>
  <c r="B100" i="3"/>
  <c r="C100" i="3"/>
  <c r="D100" i="3"/>
  <c r="B101" i="3"/>
  <c r="C101" i="3"/>
  <c r="D101" i="3"/>
  <c r="B102" i="3"/>
  <c r="C102" i="3"/>
  <c r="D102" i="3"/>
  <c r="F102" i="3" s="1"/>
  <c r="B103" i="3"/>
  <c r="C103" i="3"/>
  <c r="D103" i="3"/>
  <c r="B104" i="3"/>
  <c r="C104" i="3"/>
  <c r="D104" i="3"/>
  <c r="B105" i="3"/>
  <c r="C105" i="3"/>
  <c r="D105" i="3"/>
  <c r="B106" i="3"/>
  <c r="C106" i="3"/>
  <c r="D106" i="3"/>
  <c r="F106" i="3" s="1"/>
  <c r="B107" i="3"/>
  <c r="C107" i="3"/>
  <c r="D107" i="3"/>
  <c r="B108" i="3"/>
  <c r="C108" i="3"/>
  <c r="D108" i="3"/>
  <c r="B109" i="3"/>
  <c r="C109" i="3"/>
  <c r="D109" i="3"/>
  <c r="F109" i="3" s="1"/>
  <c r="B110" i="3"/>
  <c r="C110" i="3"/>
  <c r="D110" i="3"/>
  <c r="B111" i="3"/>
  <c r="C111" i="3"/>
  <c r="D111" i="3"/>
  <c r="B112" i="3"/>
  <c r="C112" i="3"/>
  <c r="D112" i="3"/>
  <c r="B113" i="3"/>
  <c r="C113" i="3"/>
  <c r="D113" i="3"/>
  <c r="F113" i="3" s="1"/>
  <c r="B114" i="3"/>
  <c r="C114" i="3"/>
  <c r="D114" i="3"/>
  <c r="B115" i="3"/>
  <c r="C115" i="3"/>
  <c r="D115" i="3"/>
  <c r="B116" i="3"/>
  <c r="C116" i="3"/>
  <c r="D116" i="3"/>
  <c r="B117" i="3"/>
  <c r="C117" i="3"/>
  <c r="D117" i="3"/>
  <c r="F117" i="3" s="1"/>
  <c r="B118" i="3"/>
  <c r="C118" i="3"/>
  <c r="D118" i="3"/>
  <c r="B119" i="3"/>
  <c r="C119" i="3"/>
  <c r="D119" i="3"/>
  <c r="B120" i="3"/>
  <c r="C120" i="3"/>
  <c r="D120" i="3"/>
  <c r="B121" i="3"/>
  <c r="C121" i="3"/>
  <c r="D121" i="3"/>
  <c r="F121" i="3" s="1"/>
  <c r="B122" i="3"/>
  <c r="C122" i="3"/>
  <c r="D122" i="3"/>
  <c r="B123" i="3"/>
  <c r="C123" i="3"/>
  <c r="D123" i="3"/>
  <c r="B124" i="3"/>
  <c r="C124" i="3"/>
  <c r="D124" i="3"/>
  <c r="B125" i="3"/>
  <c r="C125" i="3"/>
  <c r="D125" i="3"/>
  <c r="F125" i="3" s="1"/>
  <c r="B126" i="3"/>
  <c r="C126" i="3"/>
  <c r="D126" i="3"/>
  <c r="B127" i="3"/>
  <c r="C127" i="3"/>
  <c r="D127" i="3"/>
  <c r="B128" i="3"/>
  <c r="C128" i="3"/>
  <c r="D128" i="3"/>
  <c r="B129" i="3"/>
  <c r="C129" i="3"/>
  <c r="D129" i="3"/>
  <c r="F129" i="3" s="1"/>
  <c r="B130" i="3"/>
  <c r="C130" i="3"/>
  <c r="D130" i="3"/>
  <c r="B131" i="3"/>
  <c r="C131" i="3"/>
  <c r="D131" i="3"/>
  <c r="B132" i="3"/>
  <c r="C132" i="3"/>
  <c r="D132" i="3"/>
  <c r="B133" i="3"/>
  <c r="C133" i="3"/>
  <c r="D133" i="3"/>
  <c r="F133" i="3" s="1"/>
  <c r="B134" i="3"/>
  <c r="C134" i="3"/>
  <c r="D134" i="3"/>
  <c r="B135" i="3"/>
  <c r="C135" i="3"/>
  <c r="D135" i="3"/>
  <c r="B136" i="3"/>
  <c r="C136" i="3"/>
  <c r="D136" i="3"/>
  <c r="B137" i="3"/>
  <c r="C137" i="3"/>
  <c r="D137" i="3"/>
  <c r="F137" i="3" s="1"/>
  <c r="B138" i="3"/>
  <c r="C138" i="3"/>
  <c r="D138" i="3"/>
  <c r="B139" i="3"/>
  <c r="C139" i="3"/>
  <c r="D139" i="3"/>
  <c r="B140" i="3"/>
  <c r="C140" i="3"/>
  <c r="D140" i="3"/>
  <c r="B141" i="3"/>
  <c r="C141" i="3"/>
  <c r="D141" i="3"/>
  <c r="F141" i="3" s="1"/>
  <c r="B142" i="3"/>
  <c r="C142" i="3"/>
  <c r="D142" i="3"/>
  <c r="B143" i="3"/>
  <c r="C143" i="3"/>
  <c r="D143" i="3"/>
  <c r="B144" i="3"/>
  <c r="C144" i="3"/>
  <c r="D144" i="3"/>
  <c r="B145" i="3"/>
  <c r="C145" i="3"/>
  <c r="D145" i="3"/>
  <c r="F145" i="3" s="1"/>
  <c r="B146" i="3"/>
  <c r="C146" i="3"/>
  <c r="D146" i="3"/>
  <c r="B147" i="3"/>
  <c r="C147" i="3"/>
  <c r="D147" i="3"/>
  <c r="B148" i="3"/>
  <c r="C148" i="3"/>
  <c r="D148" i="3"/>
  <c r="B149" i="3"/>
  <c r="C149" i="3"/>
  <c r="D149" i="3"/>
  <c r="F149" i="3" s="1"/>
  <c r="B150" i="3"/>
  <c r="C150" i="3"/>
  <c r="D150" i="3"/>
  <c r="B151" i="3"/>
  <c r="C151" i="3"/>
  <c r="D151" i="3"/>
  <c r="B152" i="3"/>
  <c r="C152" i="3"/>
  <c r="D152" i="3"/>
  <c r="B153" i="3"/>
  <c r="C153" i="3"/>
  <c r="D153" i="3"/>
  <c r="F153" i="3" s="1"/>
  <c r="B154" i="3"/>
  <c r="C154" i="3"/>
  <c r="D154" i="3"/>
  <c r="B155" i="3"/>
  <c r="C155" i="3"/>
  <c r="D155" i="3"/>
  <c r="B156" i="3"/>
  <c r="C156" i="3"/>
  <c r="D156" i="3"/>
  <c r="B157" i="3"/>
  <c r="C157" i="3"/>
  <c r="D157" i="3"/>
  <c r="B158" i="3"/>
  <c r="C158" i="3"/>
  <c r="D158" i="3"/>
  <c r="B159" i="3"/>
  <c r="C159" i="3"/>
  <c r="D159" i="3"/>
  <c r="B160" i="3"/>
  <c r="C160" i="3"/>
  <c r="D160" i="3"/>
  <c r="B161" i="3"/>
  <c r="C161" i="3"/>
  <c r="D161" i="3"/>
  <c r="F161" i="3" s="1"/>
  <c r="B162" i="3"/>
  <c r="C162" i="3"/>
  <c r="D162" i="3"/>
  <c r="B163" i="3"/>
  <c r="C163" i="3"/>
  <c r="D163" i="3"/>
  <c r="B164" i="3"/>
  <c r="C164" i="3"/>
  <c r="D164" i="3"/>
  <c r="B165" i="3"/>
  <c r="C165" i="3"/>
  <c r="D165" i="3"/>
  <c r="F165" i="3" s="1"/>
  <c r="B166" i="3"/>
  <c r="C166" i="3"/>
  <c r="D166" i="3"/>
  <c r="B167" i="3"/>
  <c r="C167" i="3"/>
  <c r="D167" i="3"/>
  <c r="B168" i="3"/>
  <c r="C168" i="3"/>
  <c r="D168" i="3"/>
  <c r="B169" i="3"/>
  <c r="C169" i="3"/>
  <c r="D169" i="3"/>
  <c r="F169" i="3" s="1"/>
  <c r="B170" i="3"/>
  <c r="C170" i="3"/>
  <c r="D170" i="3"/>
  <c r="B171" i="3"/>
  <c r="C171" i="3"/>
  <c r="D171" i="3"/>
  <c r="B172" i="3"/>
  <c r="C172" i="3"/>
  <c r="D172" i="3"/>
  <c r="B173" i="3"/>
  <c r="C173" i="3"/>
  <c r="D173" i="3"/>
  <c r="F173" i="3" s="1"/>
  <c r="B174" i="3"/>
  <c r="C174" i="3"/>
  <c r="D174" i="3"/>
  <c r="B175" i="3"/>
  <c r="C175" i="3"/>
  <c r="D175" i="3"/>
  <c r="B176" i="3"/>
  <c r="C176" i="3"/>
  <c r="D176" i="3"/>
  <c r="B177" i="3"/>
  <c r="C177" i="3"/>
  <c r="D177" i="3"/>
  <c r="F177" i="3" s="1"/>
  <c r="B178" i="3"/>
  <c r="C178" i="3"/>
  <c r="D178" i="3"/>
  <c r="B179" i="3"/>
  <c r="C179" i="3"/>
  <c r="D179" i="3"/>
  <c r="B180" i="3"/>
  <c r="C180" i="3"/>
  <c r="D180" i="3"/>
  <c r="B181" i="3"/>
  <c r="C181" i="3"/>
  <c r="D181" i="3"/>
  <c r="F181" i="3" s="1"/>
  <c r="B182" i="3"/>
  <c r="C182" i="3"/>
  <c r="D182" i="3"/>
  <c r="F182" i="3" s="1"/>
  <c r="B183" i="3"/>
  <c r="C183" i="3"/>
  <c r="D183" i="3"/>
  <c r="B184" i="3"/>
  <c r="C184" i="3"/>
  <c r="D184" i="3"/>
  <c r="B185" i="3"/>
  <c r="C185" i="3"/>
  <c r="D185" i="3"/>
  <c r="F185" i="3" s="1"/>
  <c r="B186" i="3"/>
  <c r="C186" i="3"/>
  <c r="D186" i="3"/>
  <c r="B187" i="3"/>
  <c r="C187" i="3"/>
  <c r="D187" i="3"/>
  <c r="B188" i="3"/>
  <c r="C188" i="3"/>
  <c r="D188" i="3"/>
  <c r="B189" i="3"/>
  <c r="C189" i="3"/>
  <c r="D189" i="3"/>
  <c r="F189" i="3" s="1"/>
  <c r="B190" i="3"/>
  <c r="C190" i="3"/>
  <c r="D190" i="3"/>
  <c r="B191" i="3"/>
  <c r="C191" i="3"/>
  <c r="D191" i="3"/>
  <c r="B192" i="3"/>
  <c r="C192" i="3"/>
  <c r="D192" i="3"/>
  <c r="B193" i="3"/>
  <c r="C193" i="3"/>
  <c r="D193" i="3"/>
  <c r="F193" i="3" s="1"/>
  <c r="B194" i="3"/>
  <c r="C194" i="3"/>
  <c r="D194" i="3"/>
  <c r="B195" i="3"/>
  <c r="C195" i="3"/>
  <c r="D195" i="3"/>
  <c r="B196" i="3"/>
  <c r="C196" i="3"/>
  <c r="D196" i="3"/>
  <c r="B197" i="3"/>
  <c r="C197" i="3"/>
  <c r="D197" i="3"/>
  <c r="F197" i="3" s="1"/>
  <c r="B198" i="3"/>
  <c r="C198" i="3"/>
  <c r="D198" i="3"/>
  <c r="B199" i="3"/>
  <c r="C199" i="3"/>
  <c r="D199" i="3"/>
  <c r="B200" i="3"/>
  <c r="C200" i="3"/>
  <c r="D200" i="3"/>
  <c r="B201" i="3"/>
  <c r="C201" i="3"/>
  <c r="D201" i="3"/>
  <c r="F201" i="3" s="1"/>
  <c r="B202" i="3"/>
  <c r="C202" i="3"/>
  <c r="D202" i="3"/>
  <c r="B203" i="3"/>
  <c r="C203" i="3"/>
  <c r="D203" i="3"/>
  <c r="B204" i="3"/>
  <c r="C204" i="3"/>
  <c r="D204" i="3"/>
  <c r="B205" i="3"/>
  <c r="C205" i="3"/>
  <c r="D205" i="3"/>
  <c r="F205" i="3" s="1"/>
  <c r="B206" i="3"/>
  <c r="C206" i="3"/>
  <c r="D206" i="3"/>
  <c r="B207" i="3"/>
  <c r="C207" i="3"/>
  <c r="D207" i="3"/>
  <c r="B208" i="3"/>
  <c r="C208" i="3"/>
  <c r="D208" i="3"/>
  <c r="B209" i="3"/>
  <c r="C209" i="3"/>
  <c r="D209" i="3"/>
  <c r="F209" i="3" s="1"/>
  <c r="B210" i="3"/>
  <c r="C210" i="3"/>
  <c r="D210" i="3"/>
  <c r="B211" i="3"/>
  <c r="C211" i="3"/>
  <c r="D211" i="3"/>
  <c r="B212" i="3"/>
  <c r="C212" i="3"/>
  <c r="D212" i="3"/>
  <c r="B213" i="3"/>
  <c r="C213" i="3"/>
  <c r="D213" i="3"/>
  <c r="F213" i="3" s="1"/>
  <c r="B214" i="3"/>
  <c r="C214" i="3"/>
  <c r="D214" i="3"/>
  <c r="B215" i="3"/>
  <c r="C215" i="3"/>
  <c r="D215" i="3"/>
  <c r="B216" i="3"/>
  <c r="C216" i="3"/>
  <c r="D216" i="3"/>
  <c r="B217" i="3"/>
  <c r="C217" i="3"/>
  <c r="D217" i="3"/>
  <c r="F217" i="3" s="1"/>
  <c r="B218" i="3"/>
  <c r="C218" i="3"/>
  <c r="D218" i="3"/>
  <c r="B219" i="3"/>
  <c r="C219" i="3"/>
  <c r="D219" i="3"/>
  <c r="B220" i="3"/>
  <c r="C220" i="3"/>
  <c r="D220" i="3"/>
  <c r="B221" i="3"/>
  <c r="C221" i="3"/>
  <c r="D221" i="3"/>
  <c r="F221" i="3" s="1"/>
  <c r="B222" i="3"/>
  <c r="C222" i="3"/>
  <c r="D222" i="3"/>
  <c r="B223" i="3"/>
  <c r="C223" i="3"/>
  <c r="D223" i="3"/>
  <c r="B224" i="3"/>
  <c r="C224" i="3"/>
  <c r="D224" i="3"/>
  <c r="B225" i="3"/>
  <c r="C225" i="3"/>
  <c r="D225" i="3"/>
  <c r="F225" i="3" s="1"/>
  <c r="B226" i="3"/>
  <c r="C226" i="3"/>
  <c r="D226" i="3"/>
  <c r="B227" i="3"/>
  <c r="C227" i="3"/>
  <c r="D227" i="3"/>
  <c r="B228" i="3"/>
  <c r="C228" i="3"/>
  <c r="D228" i="3"/>
  <c r="B229" i="3"/>
  <c r="C229" i="3"/>
  <c r="D229" i="3"/>
  <c r="F229" i="3" s="1"/>
  <c r="B230" i="3"/>
  <c r="C230" i="3"/>
  <c r="D230" i="3"/>
  <c r="B231" i="3"/>
  <c r="C231" i="3"/>
  <c r="D231" i="3"/>
  <c r="B232" i="3"/>
  <c r="C232" i="3"/>
  <c r="D232" i="3"/>
  <c r="B233" i="3"/>
  <c r="C233" i="3"/>
  <c r="D233" i="3"/>
  <c r="B234" i="3"/>
  <c r="C234" i="3"/>
  <c r="D234" i="3"/>
  <c r="B235" i="3"/>
  <c r="C235" i="3"/>
  <c r="D235" i="3"/>
  <c r="B236" i="3"/>
  <c r="C236" i="3"/>
  <c r="D236" i="3"/>
  <c r="B237" i="3"/>
  <c r="C237" i="3"/>
  <c r="D237" i="3"/>
  <c r="B238" i="3"/>
  <c r="C238" i="3"/>
  <c r="D238" i="3"/>
  <c r="B239" i="3"/>
  <c r="C239" i="3"/>
  <c r="D239" i="3"/>
  <c r="B240" i="3"/>
  <c r="C240" i="3"/>
  <c r="D240" i="3"/>
  <c r="B241" i="3"/>
  <c r="C241" i="3"/>
  <c r="D241" i="3"/>
  <c r="B242" i="3"/>
  <c r="C242" i="3"/>
  <c r="D242" i="3"/>
  <c r="B243" i="3"/>
  <c r="C243" i="3"/>
  <c r="D243" i="3"/>
  <c r="B244" i="3"/>
  <c r="C244" i="3"/>
  <c r="D244" i="3"/>
  <c r="B245" i="3"/>
  <c r="C245" i="3"/>
  <c r="D245" i="3"/>
  <c r="B246" i="3"/>
  <c r="C246" i="3"/>
  <c r="D246" i="3"/>
  <c r="B247" i="3"/>
  <c r="C247" i="3"/>
  <c r="D247" i="3"/>
  <c r="B248" i="3"/>
  <c r="C248" i="3"/>
  <c r="D248" i="3"/>
  <c r="B249" i="3"/>
  <c r="C249" i="3"/>
  <c r="D249" i="3"/>
  <c r="F249" i="3" s="1"/>
  <c r="B250" i="3"/>
  <c r="C250" i="3"/>
  <c r="D250" i="3"/>
  <c r="B251" i="3"/>
  <c r="C251" i="3"/>
  <c r="D251" i="3"/>
  <c r="B252" i="3"/>
  <c r="C252" i="3"/>
  <c r="D252" i="3"/>
  <c r="B253" i="3"/>
  <c r="C253" i="3"/>
  <c r="D253" i="3"/>
  <c r="F253" i="3" s="1"/>
  <c r="B254" i="3"/>
  <c r="C254" i="3"/>
  <c r="D254" i="3"/>
  <c r="B255" i="3"/>
  <c r="C255" i="3"/>
  <c r="D255" i="3"/>
  <c r="B256" i="3"/>
  <c r="C256" i="3"/>
  <c r="D256" i="3"/>
  <c r="B257" i="3"/>
  <c r="C257" i="3"/>
  <c r="D257" i="3"/>
  <c r="F257" i="3" s="1"/>
  <c r="B258" i="3"/>
  <c r="C258" i="3"/>
  <c r="D258" i="3"/>
  <c r="B259" i="3"/>
  <c r="C259" i="3"/>
  <c r="D259" i="3"/>
  <c r="B260" i="3"/>
  <c r="C260" i="3"/>
  <c r="D260" i="3"/>
  <c r="B261" i="3"/>
  <c r="C261" i="3"/>
  <c r="D261" i="3"/>
  <c r="F261" i="3" s="1"/>
  <c r="B262" i="3"/>
  <c r="C262" i="3"/>
  <c r="D262" i="3"/>
  <c r="B263" i="3"/>
  <c r="C263" i="3"/>
  <c r="D263" i="3"/>
  <c r="B264" i="3"/>
  <c r="C264" i="3"/>
  <c r="D264" i="3"/>
  <c r="B265" i="3"/>
  <c r="C265" i="3"/>
  <c r="D265" i="3"/>
  <c r="F265" i="3" s="1"/>
  <c r="B266" i="3"/>
  <c r="C266" i="3"/>
  <c r="D266" i="3"/>
  <c r="B267" i="3"/>
  <c r="C267" i="3"/>
  <c r="D267" i="3"/>
  <c r="B268" i="3"/>
  <c r="C268" i="3"/>
  <c r="D268" i="3"/>
  <c r="B269" i="3"/>
  <c r="C269" i="3"/>
  <c r="D269" i="3"/>
  <c r="F269" i="3" s="1"/>
  <c r="B270" i="3"/>
  <c r="C270" i="3"/>
  <c r="D270" i="3"/>
  <c r="B271" i="3"/>
  <c r="C271" i="3"/>
  <c r="D271" i="3"/>
  <c r="B272" i="3"/>
  <c r="C272" i="3"/>
  <c r="D272" i="3"/>
  <c r="B273" i="3"/>
  <c r="C273" i="3"/>
  <c r="D273" i="3"/>
  <c r="F273" i="3" s="1"/>
  <c r="B274" i="3"/>
  <c r="C274" i="3"/>
  <c r="D274" i="3"/>
  <c r="B275" i="3"/>
  <c r="C275" i="3"/>
  <c r="D275" i="3"/>
  <c r="B276" i="3"/>
  <c r="C276" i="3"/>
  <c r="D276" i="3"/>
  <c r="B277" i="3"/>
  <c r="C277" i="3"/>
  <c r="D277" i="3"/>
  <c r="F277" i="3" s="1"/>
  <c r="B278" i="3"/>
  <c r="C278" i="3"/>
  <c r="D278" i="3"/>
  <c r="B279" i="3"/>
  <c r="C279" i="3"/>
  <c r="D279" i="3"/>
  <c r="B280" i="3"/>
  <c r="C280" i="3"/>
  <c r="D280" i="3"/>
  <c r="B281" i="3"/>
  <c r="C281" i="3"/>
  <c r="D281" i="3"/>
  <c r="F281" i="3" s="1"/>
  <c r="B282" i="3"/>
  <c r="C282" i="3"/>
  <c r="D282" i="3"/>
  <c r="B283" i="3"/>
  <c r="C283" i="3"/>
  <c r="D283" i="3"/>
  <c r="B284" i="3"/>
  <c r="C284" i="3"/>
  <c r="D284" i="3"/>
  <c r="B285" i="3"/>
  <c r="C285" i="3"/>
  <c r="D285" i="3"/>
  <c r="F285" i="3" s="1"/>
  <c r="B286" i="3"/>
  <c r="C286" i="3"/>
  <c r="D286" i="3"/>
  <c r="B287" i="3"/>
  <c r="C287" i="3"/>
  <c r="D287" i="3"/>
  <c r="B288" i="3"/>
  <c r="C288" i="3"/>
  <c r="D288" i="3"/>
  <c r="B289" i="3"/>
  <c r="C289" i="3"/>
  <c r="D289" i="3"/>
  <c r="F289" i="3" s="1"/>
  <c r="B290" i="3"/>
  <c r="C290" i="3"/>
  <c r="D290" i="3"/>
  <c r="B291" i="3"/>
  <c r="C291" i="3"/>
  <c r="D291" i="3"/>
  <c r="B292" i="3"/>
  <c r="C292" i="3"/>
  <c r="D292" i="3"/>
  <c r="B293" i="3"/>
  <c r="C293" i="3"/>
  <c r="D293" i="3"/>
  <c r="F293" i="3" s="1"/>
  <c r="B294" i="3"/>
  <c r="C294" i="3"/>
  <c r="D294" i="3"/>
  <c r="B295" i="3"/>
  <c r="C295" i="3"/>
  <c r="D295" i="3"/>
  <c r="B296" i="3"/>
  <c r="C296" i="3"/>
  <c r="D296" i="3"/>
  <c r="B297" i="3"/>
  <c r="C297" i="3"/>
  <c r="D297" i="3"/>
  <c r="F297" i="3" s="1"/>
  <c r="B298" i="3"/>
  <c r="C298" i="3"/>
  <c r="D298" i="3"/>
  <c r="B299" i="3"/>
  <c r="C299" i="3"/>
  <c r="D299" i="3"/>
  <c r="B300" i="3"/>
  <c r="C300" i="3"/>
  <c r="D300" i="3"/>
  <c r="B301" i="3"/>
  <c r="C301" i="3"/>
  <c r="D301" i="3"/>
  <c r="F301" i="3" s="1"/>
  <c r="B302" i="3"/>
  <c r="C302" i="3"/>
  <c r="D302" i="3"/>
  <c r="B303" i="3"/>
  <c r="C303" i="3"/>
  <c r="D303" i="3"/>
  <c r="B304" i="3"/>
  <c r="C304" i="3"/>
  <c r="D304" i="3"/>
  <c r="B305" i="3"/>
  <c r="C305" i="3"/>
  <c r="D305" i="3"/>
  <c r="F305" i="3" s="1"/>
  <c r="B306" i="3"/>
  <c r="C306" i="3"/>
  <c r="D306" i="3"/>
  <c r="B307" i="3"/>
  <c r="C307" i="3"/>
  <c r="D307" i="3"/>
  <c r="B308" i="3"/>
  <c r="C308" i="3"/>
  <c r="D308" i="3"/>
  <c r="B309" i="3"/>
  <c r="C309" i="3"/>
  <c r="D309" i="3"/>
  <c r="F309" i="3" s="1"/>
  <c r="B310" i="3"/>
  <c r="C310" i="3"/>
  <c r="D310" i="3"/>
  <c r="F310" i="3" s="1"/>
  <c r="B311" i="3"/>
  <c r="C311" i="3"/>
  <c r="D311" i="3"/>
  <c r="B312" i="3"/>
  <c r="C312" i="3"/>
  <c r="D312" i="3"/>
  <c r="B313" i="3"/>
  <c r="C313" i="3"/>
  <c r="D313" i="3"/>
  <c r="F313" i="3" s="1"/>
  <c r="B314" i="3"/>
  <c r="C314" i="3"/>
  <c r="D314" i="3"/>
  <c r="B315" i="3"/>
  <c r="C315" i="3"/>
  <c r="D315" i="3"/>
  <c r="B316" i="3"/>
  <c r="C316" i="3"/>
  <c r="D316" i="3"/>
  <c r="B317" i="3"/>
  <c r="C317" i="3"/>
  <c r="D317" i="3"/>
  <c r="F317" i="3" s="1"/>
  <c r="B318" i="3"/>
  <c r="C318" i="3"/>
  <c r="D318" i="3"/>
  <c r="B319" i="3"/>
  <c r="C319" i="3"/>
  <c r="D319" i="3"/>
  <c r="B320" i="3"/>
  <c r="C320" i="3"/>
  <c r="D320" i="3"/>
  <c r="B321" i="3"/>
  <c r="C321" i="3"/>
  <c r="D321" i="3"/>
  <c r="F321" i="3" s="1"/>
  <c r="B322" i="3"/>
  <c r="C322" i="3"/>
  <c r="D322" i="3"/>
  <c r="B323" i="3"/>
  <c r="C323" i="3"/>
  <c r="D323" i="3"/>
  <c r="B324" i="3"/>
  <c r="C324" i="3"/>
  <c r="D324" i="3"/>
  <c r="B325" i="3"/>
  <c r="C325" i="3"/>
  <c r="D325" i="3"/>
  <c r="F325" i="3" s="1"/>
  <c r="B326" i="3"/>
  <c r="C326" i="3"/>
  <c r="D326" i="3"/>
  <c r="B327" i="3"/>
  <c r="C327" i="3"/>
  <c r="D327" i="3"/>
  <c r="B328" i="3"/>
  <c r="C328" i="3"/>
  <c r="D328" i="3"/>
  <c r="B329" i="3"/>
  <c r="C329" i="3"/>
  <c r="D329" i="3"/>
  <c r="F329" i="3" s="1"/>
  <c r="B330" i="3"/>
  <c r="C330" i="3"/>
  <c r="D330" i="3"/>
  <c r="B331" i="3"/>
  <c r="C331" i="3"/>
  <c r="D331" i="3"/>
  <c r="B332" i="3"/>
  <c r="C332" i="3"/>
  <c r="D332" i="3"/>
  <c r="B333" i="3"/>
  <c r="C333" i="3"/>
  <c r="D333" i="3"/>
  <c r="F333" i="3" s="1"/>
  <c r="B334" i="3"/>
  <c r="C334" i="3"/>
  <c r="D334" i="3"/>
  <c r="B335" i="3"/>
  <c r="C335" i="3"/>
  <c r="D335" i="3"/>
  <c r="B336" i="3"/>
  <c r="C336" i="3"/>
  <c r="D336" i="3"/>
  <c r="B337" i="3"/>
  <c r="C337" i="3"/>
  <c r="D337" i="3"/>
  <c r="F337" i="3" s="1"/>
  <c r="B338" i="3"/>
  <c r="C338" i="3"/>
  <c r="D338" i="3"/>
  <c r="B339" i="3"/>
  <c r="C339" i="3"/>
  <c r="D339" i="3"/>
  <c r="B340" i="3"/>
  <c r="C340" i="3"/>
  <c r="D340" i="3"/>
  <c r="D1" i="3"/>
  <c r="C1" i="3"/>
  <c r="B1" i="3"/>
  <c r="F55" i="3"/>
  <c r="F23" i="3"/>
  <c r="J1" i="1"/>
  <c r="F398" i="3" l="1"/>
  <c r="F374" i="3"/>
  <c r="F2" i="3"/>
  <c r="F92" i="3"/>
  <c r="F60" i="3"/>
  <c r="F28" i="3"/>
  <c r="F231" i="3"/>
  <c r="F187" i="3"/>
  <c r="F155" i="3"/>
  <c r="F123" i="3"/>
  <c r="F311" i="3"/>
  <c r="F150" i="3"/>
  <c r="F79" i="3"/>
  <c r="F75" i="3"/>
  <c r="F71" i="3"/>
  <c r="F67" i="3"/>
  <c r="F63" i="3"/>
  <c r="F59" i="3"/>
  <c r="F51" i="3"/>
  <c r="F47" i="3"/>
  <c r="F43" i="3"/>
  <c r="F39" i="3"/>
  <c r="F27" i="3"/>
  <c r="F19" i="3"/>
  <c r="F15" i="3"/>
  <c r="F11" i="3"/>
  <c r="F7" i="3"/>
  <c r="F3" i="3"/>
  <c r="F278" i="3"/>
  <c r="F214" i="3"/>
  <c r="F118" i="3"/>
  <c r="F87" i="3"/>
  <c r="F326" i="3"/>
  <c r="F322" i="3"/>
  <c r="F318" i="3"/>
  <c r="F314" i="3"/>
  <c r="F306" i="3"/>
  <c r="F302" i="3"/>
  <c r="F298" i="3"/>
  <c r="F294" i="3"/>
  <c r="F290" i="3"/>
  <c r="F286" i="3"/>
  <c r="F282" i="3"/>
  <c r="F274" i="3"/>
  <c r="F270" i="3"/>
  <c r="F266" i="3"/>
  <c r="F262" i="3"/>
  <c r="F258" i="3"/>
  <c r="F254" i="3"/>
  <c r="F250" i="3"/>
  <c r="F246" i="3"/>
  <c r="F242" i="3"/>
  <c r="F238" i="3"/>
  <c r="F234" i="3"/>
  <c r="F230" i="3"/>
  <c r="F226" i="3"/>
  <c r="F222" i="3"/>
  <c r="F218" i="3"/>
  <c r="F210" i="3"/>
  <c r="F206" i="3"/>
  <c r="F202" i="3"/>
  <c r="F198" i="3"/>
  <c r="F194" i="3"/>
  <c r="F190" i="3"/>
  <c r="F186" i="3"/>
  <c r="F178" i="3"/>
  <c r="F174" i="3"/>
  <c r="F170" i="3"/>
  <c r="F166" i="3"/>
  <c r="F162" i="3"/>
  <c r="F158" i="3"/>
  <c r="F154" i="3"/>
  <c r="F146" i="3"/>
  <c r="F142" i="3"/>
  <c r="F130" i="3"/>
  <c r="F126" i="3"/>
  <c r="F122" i="3"/>
  <c r="F114" i="3"/>
  <c r="F110" i="3"/>
  <c r="F103" i="3"/>
  <c r="F99" i="3"/>
  <c r="F95" i="3"/>
  <c r="F91" i="3"/>
  <c r="F83" i="3"/>
  <c r="F367" i="3"/>
  <c r="F359" i="3"/>
  <c r="F339" i="3"/>
  <c r="F335" i="3"/>
  <c r="F331" i="3"/>
  <c r="F327" i="3"/>
  <c r="F323" i="3"/>
  <c r="F319" i="3"/>
  <c r="F315" i="3"/>
  <c r="F307" i="3"/>
  <c r="F303" i="3"/>
  <c r="F299" i="3"/>
  <c r="F295" i="3"/>
  <c r="F291" i="3"/>
  <c r="F287" i="3"/>
  <c r="F283" i="3"/>
  <c r="F279" i="3"/>
  <c r="F275" i="3"/>
  <c r="F271" i="3"/>
  <c r="F267" i="3"/>
  <c r="F263" i="3"/>
  <c r="F259" i="3"/>
  <c r="F255" i="3"/>
  <c r="F251" i="3"/>
  <c r="F247" i="3"/>
  <c r="F243" i="3"/>
  <c r="F239" i="3"/>
  <c r="F235" i="3"/>
  <c r="F227" i="3"/>
  <c r="F223" i="3"/>
  <c r="F219" i="3"/>
  <c r="F215" i="3"/>
  <c r="F203" i="3"/>
  <c r="F199" i="3"/>
  <c r="F195" i="3"/>
  <c r="F191" i="3"/>
  <c r="F183" i="3"/>
  <c r="F179" i="3"/>
  <c r="F175" i="3"/>
  <c r="F171" i="3"/>
  <c r="F167" i="3"/>
  <c r="F163" i="3"/>
  <c r="F159" i="3"/>
  <c r="F151" i="3"/>
  <c r="F147" i="3"/>
  <c r="F143" i="3"/>
  <c r="F139" i="3"/>
  <c r="F135" i="3"/>
  <c r="F131" i="3"/>
  <c r="F127" i="3"/>
  <c r="F119" i="3"/>
  <c r="F115" i="3"/>
  <c r="F111" i="3"/>
  <c r="F107" i="3"/>
  <c r="F104" i="3"/>
  <c r="F100" i="3"/>
  <c r="F96" i="3"/>
  <c r="F88" i="3"/>
  <c r="F84" i="3"/>
  <c r="F80" i="3"/>
  <c r="F76" i="3"/>
  <c r="F72" i="3"/>
  <c r="F68" i="3"/>
  <c r="F64" i="3"/>
  <c r="F56" i="3"/>
  <c r="F52" i="3"/>
  <c r="F48" i="3"/>
  <c r="F44" i="3"/>
  <c r="F40" i="3"/>
  <c r="F36" i="3"/>
  <c r="F32" i="3"/>
  <c r="F24" i="3"/>
  <c r="F20" i="3"/>
  <c r="F16" i="3"/>
  <c r="F12" i="3"/>
  <c r="F340" i="3"/>
  <c r="F324" i="3"/>
  <c r="F320" i="3"/>
  <c r="F316" i="3"/>
  <c r="F312" i="3"/>
  <c r="F308" i="3"/>
  <c r="F304" i="3"/>
  <c r="F300" i="3"/>
  <c r="F296" i="3"/>
  <c r="F260" i="3"/>
  <c r="F256" i="3"/>
  <c r="F252" i="3"/>
  <c r="F248" i="3"/>
  <c r="F244" i="3"/>
  <c r="F240" i="3"/>
  <c r="F236" i="3"/>
  <c r="F232" i="3"/>
  <c r="F228" i="3"/>
  <c r="F224" i="3"/>
  <c r="F220" i="3"/>
  <c r="F216" i="3"/>
  <c r="F212" i="3"/>
  <c r="F208" i="3"/>
  <c r="F204" i="3"/>
  <c r="F200" i="3"/>
  <c r="F196" i="3"/>
  <c r="F192" i="3"/>
  <c r="F188" i="3"/>
  <c r="F184" i="3"/>
  <c r="F176" i="3"/>
  <c r="F172" i="3"/>
  <c r="F168" i="3"/>
  <c r="F164" i="3"/>
  <c r="F160" i="3"/>
  <c r="F156" i="3"/>
  <c r="F152" i="3"/>
  <c r="F148" i="3"/>
  <c r="F144" i="3"/>
  <c r="F140" i="3"/>
  <c r="F136" i="3"/>
  <c r="F132" i="3"/>
  <c r="F128" i="3"/>
  <c r="F124" i="3"/>
  <c r="F120" i="3"/>
  <c r="F116" i="3"/>
  <c r="F105" i="3"/>
  <c r="F101" i="3"/>
  <c r="F97" i="3"/>
  <c r="F93" i="3"/>
  <c r="F89" i="3"/>
  <c r="F81" i="3"/>
  <c r="F77" i="3"/>
  <c r="F73" i="3"/>
  <c r="F69" i="3"/>
  <c r="F65" i="3"/>
  <c r="F61" i="3"/>
  <c r="F57" i="3"/>
  <c r="F53" i="3"/>
  <c r="F49" i="3"/>
  <c r="F45" i="3"/>
  <c r="F41" i="3"/>
  <c r="F37" i="3"/>
  <c r="F33" i="3"/>
  <c r="F29" i="3"/>
  <c r="F25" i="3"/>
  <c r="F21" i="3"/>
  <c r="F17" i="3"/>
  <c r="F13" i="3"/>
  <c r="F9" i="3"/>
  <c r="F5" i="3"/>
  <c r="F350" i="3"/>
  <c r="F411" i="3"/>
  <c r="F387" i="3"/>
  <c r="F383" i="3"/>
  <c r="F351" i="3"/>
  <c r="F410" i="3"/>
  <c r="F394" i="3"/>
  <c r="F382" i="3"/>
  <c r="F366" i="3"/>
  <c r="F358" i="3"/>
  <c r="F342" i="3"/>
  <c r="F409" i="3"/>
  <c r="F407" i="3"/>
  <c r="F399" i="3"/>
  <c r="F395" i="3"/>
  <c r="F381" i="3"/>
  <c r="F379" i="3"/>
  <c r="F343" i="3"/>
  <c r="F406" i="3"/>
  <c r="F404" i="3"/>
  <c r="F402" i="3"/>
  <c r="F391" i="3"/>
  <c r="F378" i="3"/>
  <c r="F376" i="3"/>
  <c r="F403" i="3"/>
  <c r="F390" i="3"/>
  <c r="F375" i="3"/>
  <c r="F370" i="3"/>
  <c r="F368" i="3"/>
  <c r="F365" i="3"/>
  <c r="F363" i="3"/>
  <c r="F354" i="3"/>
  <c r="F352" i="3"/>
  <c r="F349" i="3"/>
  <c r="F347" i="3"/>
  <c r="F386" i="3"/>
  <c r="F373" i="3"/>
  <c r="F371" i="3"/>
  <c r="F362" i="3"/>
  <c r="F360" i="3"/>
  <c r="F357" i="3"/>
  <c r="F355" i="3"/>
  <c r="F346" i="3"/>
  <c r="F344" i="3"/>
  <c r="F341" i="3"/>
  <c r="F412" i="3"/>
  <c r="F408" i="3"/>
  <c r="F405" i="3"/>
  <c r="F380" i="3"/>
  <c r="F377" i="3"/>
  <c r="F372" i="3"/>
  <c r="F369" i="3"/>
  <c r="F364" i="3"/>
  <c r="F361" i="3"/>
  <c r="F356" i="3"/>
  <c r="F353" i="3"/>
  <c r="F348" i="3"/>
  <c r="F345" i="3"/>
  <c r="F401" i="3"/>
  <c r="F396" i="3"/>
  <c r="F393" i="3"/>
  <c r="F388" i="3"/>
  <c r="F385" i="3"/>
  <c r="F400" i="3"/>
  <c r="F397" i="3"/>
  <c r="F392" i="3"/>
  <c r="F389" i="3"/>
  <c r="F384" i="3"/>
  <c r="F338" i="3"/>
  <c r="F334" i="3"/>
  <c r="F330" i="3"/>
  <c r="F292" i="3"/>
  <c r="F288" i="3"/>
  <c r="F284" i="3"/>
  <c r="F280" i="3"/>
  <c r="F276" i="3"/>
  <c r="F272" i="3"/>
  <c r="F268" i="3"/>
  <c r="F264" i="3"/>
  <c r="F245" i="3"/>
  <c r="F241" i="3"/>
  <c r="F237" i="3"/>
  <c r="F233" i="3"/>
  <c r="F211" i="3"/>
  <c r="F207" i="3"/>
  <c r="F180" i="3"/>
  <c r="F157" i="3"/>
  <c r="F138" i="3"/>
  <c r="F134" i="3"/>
  <c r="F112" i="3"/>
  <c r="F108" i="3"/>
  <c r="F85" i="3"/>
  <c r="F58" i="3"/>
  <c r="F35" i="3"/>
  <c r="F31" i="3"/>
  <c r="F8" i="3"/>
  <c r="F4" i="3"/>
  <c r="F336" i="3"/>
  <c r="F332" i="3"/>
  <c r="F328" i="3"/>
  <c r="B1" i="2"/>
  <c r="B4" i="2" l="1"/>
  <c r="G204" i="3" s="1"/>
  <c r="G291" i="3" l="1"/>
  <c r="G175" i="3"/>
  <c r="G471" i="3"/>
  <c r="G326" i="3"/>
  <c r="G445" i="3"/>
  <c r="G470" i="3"/>
  <c r="G368" i="3"/>
  <c r="G86" i="3"/>
  <c r="G378" i="3"/>
  <c r="G409" i="3"/>
  <c r="G68" i="3"/>
  <c r="G260" i="3"/>
  <c r="G339" i="3"/>
  <c r="G256" i="3"/>
  <c r="G33" i="3"/>
  <c r="G187" i="3"/>
  <c r="G348" i="3"/>
  <c r="G327" i="3"/>
  <c r="G37" i="3"/>
  <c r="G149" i="3"/>
  <c r="G147" i="3"/>
  <c r="G152" i="3"/>
  <c r="G453" i="3"/>
  <c r="G417" i="3"/>
  <c r="G406" i="3"/>
  <c r="G449" i="3"/>
  <c r="G297" i="3"/>
  <c r="G134" i="3"/>
  <c r="G394" i="3"/>
  <c r="G89" i="3"/>
  <c r="G136" i="3"/>
  <c r="G263" i="3"/>
  <c r="G137" i="3"/>
  <c r="G22" i="3"/>
  <c r="G199" i="3"/>
  <c r="G10" i="3"/>
  <c r="G191" i="3"/>
  <c r="G61" i="3"/>
  <c r="G183" i="3"/>
  <c r="G303" i="3"/>
  <c r="G304" i="3"/>
  <c r="G79" i="3"/>
  <c r="G161" i="3"/>
  <c r="G410" i="3"/>
  <c r="G456" i="3"/>
  <c r="G293" i="3"/>
  <c r="G444" i="3"/>
  <c r="G319" i="3"/>
  <c r="G484" i="3"/>
  <c r="G229" i="3"/>
  <c r="G194" i="3"/>
  <c r="G282" i="3"/>
  <c r="G184" i="3"/>
  <c r="G226" i="3"/>
  <c r="G84" i="3"/>
  <c r="G36" i="3"/>
  <c r="G132" i="3"/>
  <c r="G357" i="3"/>
  <c r="G27" i="3"/>
  <c r="G78" i="3"/>
  <c r="G16" i="3"/>
  <c r="G200" i="3"/>
  <c r="G231" i="3"/>
  <c r="G201" i="3"/>
  <c r="G63" i="3"/>
  <c r="G422" i="3"/>
  <c r="G144" i="3"/>
  <c r="G172" i="3"/>
  <c r="G431" i="3"/>
  <c r="G328" i="3"/>
  <c r="G211" i="3"/>
  <c r="G347" i="3"/>
  <c r="G195" i="3"/>
  <c r="G274" i="3"/>
  <c r="G133" i="3"/>
  <c r="G401" i="3"/>
  <c r="G464" i="3"/>
  <c r="G23" i="3"/>
  <c r="G57" i="3"/>
  <c r="G192" i="3"/>
  <c r="G474" i="3"/>
  <c r="G439" i="3"/>
  <c r="G462" i="3"/>
  <c r="G234" i="3"/>
  <c r="G389" i="3"/>
  <c r="G111" i="3"/>
  <c r="G477" i="3"/>
  <c r="G42" i="3"/>
  <c r="G479" i="3"/>
  <c r="G54" i="3"/>
  <c r="G455" i="3"/>
  <c r="G405" i="3"/>
  <c r="G346" i="3"/>
  <c r="G285" i="3"/>
  <c r="G252" i="3"/>
  <c r="G429" i="3"/>
  <c r="G469" i="3"/>
  <c r="G272" i="3"/>
  <c r="G81" i="3"/>
  <c r="G177" i="3"/>
  <c r="G287" i="3"/>
  <c r="G370" i="3"/>
  <c r="G408" i="3"/>
  <c r="G488" i="3"/>
  <c r="G120" i="3"/>
  <c r="G343" i="3"/>
  <c r="G313" i="3"/>
  <c r="G437" i="3"/>
  <c r="G387" i="3"/>
  <c r="G423" i="3"/>
  <c r="G143" i="3"/>
  <c r="G55" i="3"/>
  <c r="G122" i="3"/>
  <c r="G452" i="3"/>
  <c r="G14" i="3"/>
  <c r="G221" i="3"/>
  <c r="G105" i="3"/>
  <c r="G13" i="3"/>
  <c r="G424" i="3"/>
  <c r="G197" i="3"/>
  <c r="G345" i="3"/>
  <c r="G475" i="3"/>
  <c r="G167" i="3"/>
  <c r="G473" i="3"/>
  <c r="G93" i="3"/>
  <c r="G458" i="3"/>
  <c r="G249" i="3"/>
  <c r="G176" i="3"/>
  <c r="G163" i="3"/>
  <c r="G372" i="3"/>
  <c r="G244" i="3"/>
  <c r="G371" i="3"/>
  <c r="G31" i="3"/>
  <c r="G90" i="3"/>
  <c r="G70" i="3"/>
  <c r="G140" i="3"/>
  <c r="G148" i="3"/>
  <c r="G94" i="3"/>
  <c r="G128" i="3"/>
  <c r="G241" i="3"/>
  <c r="G151" i="3"/>
  <c r="G77" i="3"/>
  <c r="G193" i="3"/>
  <c r="G32" i="3"/>
  <c r="G400" i="3"/>
  <c r="G174" i="3"/>
  <c r="G333" i="3"/>
  <c r="G414" i="3"/>
  <c r="G374" i="3"/>
  <c r="G69" i="3"/>
  <c r="G223" i="3"/>
  <c r="G251" i="3"/>
  <c r="G481" i="3"/>
  <c r="G428" i="3"/>
  <c r="G202" i="3"/>
  <c r="G125" i="3"/>
  <c r="G115" i="3"/>
  <c r="G476" i="3"/>
  <c r="G116" i="3"/>
  <c r="G157" i="3"/>
  <c r="G34" i="3"/>
  <c r="G334" i="3"/>
  <c r="G138" i="3"/>
  <c r="G240" i="3"/>
  <c r="G44" i="3"/>
  <c r="G30" i="3"/>
  <c r="G17" i="3"/>
  <c r="G335" i="3"/>
  <c r="G367" i="3"/>
  <c r="G26" i="3"/>
  <c r="G432" i="3"/>
  <c r="G20" i="3"/>
  <c r="G181" i="3"/>
  <c r="G382" i="3"/>
  <c r="G441" i="3"/>
  <c r="G130" i="3"/>
  <c r="G47" i="3"/>
  <c r="G391" i="3"/>
  <c r="G318" i="3"/>
  <c r="G156" i="3"/>
  <c r="G451" i="3"/>
  <c r="G416" i="3"/>
  <c r="G224" i="3"/>
  <c r="G245" i="3"/>
  <c r="G288" i="3"/>
  <c r="G150" i="3"/>
  <c r="G270" i="3"/>
  <c r="G196" i="3"/>
  <c r="G344" i="3"/>
  <c r="G265" i="3"/>
  <c r="G262" i="3"/>
  <c r="G11" i="3"/>
  <c r="G349" i="3"/>
  <c r="G235" i="3"/>
  <c r="G21" i="3"/>
  <c r="G463" i="3"/>
  <c r="G182" i="3"/>
  <c r="G363" i="3"/>
  <c r="G222" i="3"/>
  <c r="G310" i="3"/>
  <c r="G56" i="3"/>
  <c r="G217" i="3"/>
  <c r="G465" i="3"/>
  <c r="G198" i="3"/>
  <c r="G276" i="3"/>
  <c r="G230" i="3"/>
  <c r="G489" i="3"/>
  <c r="G45" i="3"/>
  <c r="G186" i="3"/>
  <c r="G360" i="3"/>
  <c r="G168" i="3"/>
  <c r="G2" i="3"/>
  <c r="G205" i="3"/>
  <c r="G466" i="3"/>
  <c r="G369" i="3"/>
  <c r="G450" i="3"/>
  <c r="G284" i="3"/>
  <c r="G6" i="3"/>
  <c r="G169" i="3"/>
  <c r="G454" i="3"/>
  <c r="G50" i="3"/>
  <c r="G164" i="3"/>
  <c r="G261" i="3"/>
  <c r="G320" i="3"/>
  <c r="G366" i="3"/>
  <c r="G487" i="3"/>
  <c r="G482" i="3"/>
  <c r="G281" i="3"/>
  <c r="G210" i="3"/>
  <c r="G207" i="3"/>
  <c r="G232" i="3"/>
  <c r="G102" i="3"/>
  <c r="G41" i="3"/>
  <c r="G158" i="3"/>
  <c r="G362" i="3"/>
  <c r="G438" i="3"/>
  <c r="G18" i="3"/>
  <c r="G213" i="3"/>
  <c r="G228" i="3"/>
  <c r="G92" i="3"/>
  <c r="G74" i="3"/>
  <c r="G9" i="3"/>
  <c r="G267" i="3"/>
  <c r="G166" i="3"/>
  <c r="G340" i="3"/>
  <c r="G208" i="3"/>
  <c r="G123" i="3"/>
  <c r="G153" i="3"/>
  <c r="G386" i="3"/>
  <c r="G323" i="3"/>
  <c r="G306" i="3"/>
  <c r="G142" i="3"/>
  <c r="G309" i="3"/>
  <c r="G239" i="3"/>
  <c r="G46" i="3"/>
  <c r="G101" i="3"/>
  <c r="G254" i="3"/>
  <c r="G60" i="3"/>
  <c r="G296" i="3"/>
  <c r="G418" i="3"/>
  <c r="G413" i="3"/>
  <c r="G25" i="3"/>
  <c r="G91" i="3"/>
  <c r="G80" i="3"/>
  <c r="G268" i="3"/>
  <c r="G118" i="3"/>
  <c r="G250" i="3"/>
  <c r="G396" i="3"/>
  <c r="G135" i="3"/>
  <c r="G58" i="3"/>
  <c r="G119" i="3"/>
  <c r="G127" i="3"/>
  <c r="G420" i="3"/>
  <c r="G49" i="3"/>
  <c r="G316" i="3"/>
  <c r="G379" i="3"/>
  <c r="G415" i="3"/>
  <c r="G398" i="3"/>
  <c r="G76" i="3"/>
  <c r="G214" i="3"/>
  <c r="G117" i="3"/>
  <c r="G243" i="3"/>
  <c r="G65" i="3"/>
  <c r="G257" i="3"/>
  <c r="G436" i="3"/>
  <c r="G215" i="3"/>
  <c r="G146" i="3"/>
  <c r="G359" i="3"/>
  <c r="G8" i="3"/>
  <c r="G352" i="3"/>
  <c r="G233" i="3"/>
  <c r="G399" i="3"/>
  <c r="G264" i="3"/>
  <c r="G110" i="3"/>
  <c r="G109" i="3"/>
  <c r="G355" i="3"/>
  <c r="G126" i="3"/>
  <c r="G447" i="3"/>
  <c r="G19" i="3"/>
  <c r="G361" i="3"/>
  <c r="G440" i="3"/>
  <c r="G430" i="3"/>
  <c r="G88" i="3"/>
  <c r="G3" i="3"/>
  <c r="G253" i="3"/>
  <c r="G419" i="3"/>
  <c r="G266" i="3"/>
  <c r="G4" i="3"/>
  <c r="G395" i="3"/>
  <c r="G178" i="3"/>
  <c r="G206" i="3"/>
  <c r="G75" i="3"/>
  <c r="G12" i="3"/>
  <c r="G238" i="3"/>
  <c r="G212" i="3"/>
  <c r="G35" i="3"/>
  <c r="G468" i="3"/>
  <c r="G300" i="3"/>
  <c r="G248" i="3"/>
  <c r="G112" i="3"/>
  <c r="G67" i="3"/>
  <c r="G203" i="3"/>
  <c r="G162" i="3"/>
  <c r="G330" i="3"/>
  <c r="G95" i="3"/>
  <c r="G289" i="3"/>
  <c r="G314" i="3"/>
  <c r="G383" i="3"/>
  <c r="G269" i="3"/>
  <c r="G312" i="3"/>
  <c r="G275" i="3"/>
  <c r="G28" i="3"/>
  <c r="G139" i="3"/>
  <c r="G98" i="3"/>
  <c r="G188" i="3"/>
  <c r="G280" i="3"/>
  <c r="G155" i="3"/>
  <c r="G329" i="3"/>
  <c r="G341" i="3"/>
  <c r="G402" i="3"/>
  <c r="G308" i="3"/>
  <c r="G38" i="3"/>
  <c r="G354" i="3"/>
  <c r="G180" i="3"/>
  <c r="G121" i="3"/>
  <c r="G434" i="3"/>
  <c r="G298" i="3"/>
  <c r="G247" i="3"/>
  <c r="G337" i="3"/>
  <c r="G71" i="3"/>
  <c r="G480" i="3"/>
  <c r="G433" i="3"/>
  <c r="G107" i="3"/>
  <c r="G106" i="3"/>
  <c r="G442" i="3"/>
  <c r="G483" i="3"/>
  <c r="G351" i="3"/>
  <c r="G7" i="3"/>
  <c r="G24" i="3"/>
  <c r="G216" i="3"/>
  <c r="G173" i="3"/>
  <c r="G114" i="3"/>
  <c r="G131" i="3"/>
  <c r="G311" i="3"/>
  <c r="G258" i="3"/>
  <c r="G189" i="3"/>
  <c r="G85" i="3"/>
  <c r="G145" i="3"/>
  <c r="G259" i="3"/>
  <c r="G227" i="3"/>
  <c r="G377" i="3"/>
  <c r="G412" i="3"/>
  <c r="G129" i="3"/>
  <c r="G48" i="3"/>
  <c r="G353" i="3"/>
  <c r="G322" i="3"/>
  <c r="G53" i="3"/>
  <c r="G255" i="3"/>
  <c r="G407" i="3"/>
  <c r="G331" i="3"/>
  <c r="G218" i="3"/>
  <c r="G294" i="3"/>
  <c r="G271" i="3"/>
  <c r="G99" i="3"/>
  <c r="G279" i="3"/>
  <c r="G403" i="3"/>
  <c r="G219" i="3"/>
  <c r="G390" i="3"/>
  <c r="G225" i="3"/>
  <c r="G141" i="3"/>
  <c r="G190" i="3"/>
  <c r="G384" i="3"/>
  <c r="G97" i="3"/>
  <c r="G457" i="3"/>
  <c r="G356" i="3"/>
  <c r="G301" i="3"/>
  <c r="G373" i="3"/>
  <c r="G283" i="3"/>
  <c r="G290" i="3"/>
  <c r="G411" i="3"/>
  <c r="G425" i="3"/>
  <c r="G342" i="3"/>
  <c r="G82" i="3"/>
  <c r="G277" i="3"/>
  <c r="G427" i="3"/>
  <c r="G459" i="3"/>
  <c r="G66" i="3"/>
  <c r="G159" i="3"/>
  <c r="G295" i="3"/>
  <c r="G358" i="3"/>
  <c r="G286" i="3"/>
  <c r="G315" i="3"/>
  <c r="G302" i="3"/>
  <c r="G460" i="3"/>
  <c r="G15" i="3"/>
  <c r="G278" i="3"/>
  <c r="G104" i="3"/>
  <c r="G317" i="3"/>
  <c r="G404" i="3"/>
  <c r="G59" i="3"/>
  <c r="G381" i="3"/>
  <c r="G336" i="3"/>
  <c r="G448" i="3"/>
  <c r="G103" i="3"/>
  <c r="G64" i="3"/>
  <c r="G376" i="3"/>
  <c r="G324" i="3"/>
  <c r="G160" i="3"/>
  <c r="G165" i="3"/>
  <c r="G397" i="3"/>
  <c r="G87" i="3"/>
  <c r="G364" i="3"/>
  <c r="G305" i="3"/>
  <c r="G325" i="3"/>
  <c r="G350" i="3"/>
  <c r="G100" i="3"/>
  <c r="G332" i="3"/>
  <c r="G299" i="3"/>
  <c r="G171" i="3"/>
  <c r="G236" i="3"/>
  <c r="G5" i="3"/>
  <c r="G220" i="3"/>
  <c r="G108" i="3"/>
  <c r="G485" i="3"/>
  <c r="G388" i="3"/>
  <c r="G467" i="3"/>
  <c r="G446" i="3"/>
  <c r="G83" i="3"/>
  <c r="G380" i="3"/>
  <c r="G62" i="3"/>
  <c r="G209" i="3"/>
  <c r="G40" i="3"/>
  <c r="G307" i="3"/>
  <c r="G392" i="3"/>
  <c r="G338" i="3"/>
  <c r="G124" i="3"/>
  <c r="G185" i="3"/>
  <c r="G321" i="3"/>
  <c r="G365" i="3"/>
  <c r="G237" i="3"/>
  <c r="G170" i="3"/>
  <c r="G96" i="3"/>
  <c r="G29" i="3"/>
  <c r="G72" i="3"/>
  <c r="G385" i="3"/>
  <c r="G472" i="3"/>
  <c r="G52" i="3"/>
  <c r="G375" i="3"/>
  <c r="G73" i="3"/>
  <c r="G393" i="3"/>
  <c r="G179" i="3"/>
  <c r="G461" i="3"/>
  <c r="G154" i="3"/>
  <c r="G43" i="3"/>
  <c r="G113" i="3"/>
  <c r="G435" i="3"/>
  <c r="G292" i="3"/>
  <c r="G273" i="3"/>
  <c r="G39" i="3"/>
  <c r="G242" i="3"/>
  <c r="G51" i="3"/>
  <c r="G421" i="3"/>
  <c r="G478" i="3"/>
  <c r="G443" i="3"/>
  <c r="G426" i="3"/>
  <c r="G486" i="3"/>
  <c r="G246" i="3"/>
  <c r="H2" i="3" l="1"/>
  <c r="B6" i="2" s="1"/>
  <c r="D2" i="2" s="1"/>
  <c r="J2" i="3" l="1"/>
  <c r="B8" i="2" s="1"/>
  <c r="M388" i="3" s="1"/>
  <c r="N388" i="3" s="1"/>
  <c r="O388" i="3" s="1"/>
  <c r="M478" i="3"/>
  <c r="N478" i="3" s="1"/>
  <c r="O478" i="3" s="1"/>
  <c r="M467" i="3"/>
  <c r="N467" i="3" s="1"/>
  <c r="O467" i="3" s="1"/>
  <c r="M73" i="3" l="1"/>
  <c r="N73" i="3" s="1"/>
  <c r="O73" i="3" s="1"/>
  <c r="M331" i="3"/>
  <c r="N331" i="3" s="1"/>
  <c r="O331" i="3" s="1"/>
  <c r="M237" i="3"/>
  <c r="N237" i="3" s="1"/>
  <c r="O237" i="3" s="1"/>
  <c r="M298" i="3"/>
  <c r="N298" i="3" s="1"/>
  <c r="O298" i="3" s="1"/>
  <c r="M246" i="3"/>
  <c r="N246" i="3" s="1"/>
  <c r="O246" i="3" s="1"/>
  <c r="M236" i="3"/>
  <c r="N236" i="3" s="1"/>
  <c r="O236" i="3" s="1"/>
  <c r="M448" i="3"/>
  <c r="N448" i="3" s="1"/>
  <c r="O448" i="3" s="1"/>
  <c r="M421" i="3"/>
  <c r="N421" i="3" s="1"/>
  <c r="O421" i="3" s="1"/>
  <c r="M322" i="3"/>
  <c r="N322" i="3" s="1"/>
  <c r="O322" i="3" s="1"/>
  <c r="M443" i="3"/>
  <c r="N443" i="3" s="1"/>
  <c r="O443" i="3" s="1"/>
  <c r="M485" i="3"/>
  <c r="N485" i="3" s="1"/>
  <c r="O485" i="3" s="1"/>
  <c r="M301" i="3"/>
  <c r="N301" i="3" s="1"/>
  <c r="O301" i="3" s="1"/>
  <c r="M460" i="3"/>
  <c r="N460" i="3" s="1"/>
  <c r="O460" i="3" s="1"/>
  <c r="M4" i="3"/>
  <c r="N4" i="3" s="1"/>
  <c r="O4" i="3" s="1"/>
  <c r="M366" i="3"/>
  <c r="N366" i="3" s="1"/>
  <c r="O366" i="3" s="1"/>
  <c r="M315" i="3"/>
  <c r="N315" i="3" s="1"/>
  <c r="O315" i="3" s="1"/>
  <c r="M321" i="3"/>
  <c r="N321" i="3" s="1"/>
  <c r="O321" i="3" s="1"/>
  <c r="M146" i="3"/>
  <c r="N146" i="3" s="1"/>
  <c r="O146" i="3" s="1"/>
  <c r="M134" i="3"/>
  <c r="N134" i="3" s="1"/>
  <c r="O134" i="3" s="1"/>
  <c r="M363" i="3"/>
  <c r="N363" i="3" s="1"/>
  <c r="O363" i="3" s="1"/>
  <c r="M58" i="3"/>
  <c r="N58" i="3" s="1"/>
  <c r="O58" i="3" s="1"/>
  <c r="M111" i="3"/>
  <c r="N111" i="3" s="1"/>
  <c r="O111" i="3" s="1"/>
  <c r="M268" i="3"/>
  <c r="N268" i="3" s="1"/>
  <c r="O268" i="3" s="1"/>
  <c r="M416" i="3"/>
  <c r="N416" i="3" s="1"/>
  <c r="O416" i="3" s="1"/>
  <c r="M103" i="3"/>
  <c r="N103" i="3" s="1"/>
  <c r="O103" i="3" s="1"/>
  <c r="M21" i="3"/>
  <c r="N21" i="3" s="1"/>
  <c r="O21" i="3" s="1"/>
  <c r="M151" i="3"/>
  <c r="N151" i="3" s="1"/>
  <c r="O151" i="3" s="1"/>
  <c r="M10" i="3"/>
  <c r="N10" i="3" s="1"/>
  <c r="O10" i="3" s="1"/>
  <c r="M354" i="3"/>
  <c r="N354" i="3" s="1"/>
  <c r="O354" i="3" s="1"/>
  <c r="M284" i="3"/>
  <c r="N284" i="3" s="1"/>
  <c r="O284" i="3" s="1"/>
  <c r="M348" i="3"/>
  <c r="N348" i="3" s="1"/>
  <c r="O348" i="3" s="1"/>
  <c r="M167" i="3"/>
  <c r="N167" i="3" s="1"/>
  <c r="O167" i="3" s="1"/>
  <c r="M290" i="3"/>
  <c r="N290" i="3" s="1"/>
  <c r="O290" i="3" s="1"/>
  <c r="M38" i="3"/>
  <c r="N38" i="3" s="1"/>
  <c r="O38" i="3" s="1"/>
  <c r="M19" i="3"/>
  <c r="N19" i="3" s="1"/>
  <c r="O19" i="3" s="1"/>
  <c r="M65" i="3"/>
  <c r="N65" i="3" s="1"/>
  <c r="O65" i="3" s="1"/>
  <c r="M191" i="3"/>
  <c r="N191" i="3" s="1"/>
  <c r="O191" i="3" s="1"/>
  <c r="M406" i="3"/>
  <c r="N406" i="3" s="1"/>
  <c r="O406" i="3" s="1"/>
  <c r="M247" i="3"/>
  <c r="N247" i="3" s="1"/>
  <c r="O247" i="3" s="1"/>
  <c r="M442" i="3"/>
  <c r="N442" i="3" s="1"/>
  <c r="O442" i="3" s="1"/>
  <c r="M252" i="3"/>
  <c r="N252" i="3" s="1"/>
  <c r="O252" i="3" s="1"/>
  <c r="M112" i="3"/>
  <c r="N112" i="3" s="1"/>
  <c r="O112" i="3" s="1"/>
  <c r="M222" i="3"/>
  <c r="N222" i="3" s="1"/>
  <c r="O222" i="3" s="1"/>
  <c r="M412" i="3"/>
  <c r="N412" i="3" s="1"/>
  <c r="O412" i="3" s="1"/>
  <c r="M153" i="3"/>
  <c r="N153" i="3" s="1"/>
  <c r="O153" i="3" s="1"/>
  <c r="M430" i="3"/>
  <c r="N430" i="3" s="1"/>
  <c r="O430" i="3" s="1"/>
  <c r="M231" i="3"/>
  <c r="N231" i="3" s="1"/>
  <c r="O231" i="3" s="1"/>
  <c r="M276" i="3"/>
  <c r="N276" i="3" s="1"/>
  <c r="O276" i="3" s="1"/>
  <c r="M449" i="3"/>
  <c r="N449" i="3" s="1"/>
  <c r="O449" i="3" s="1"/>
  <c r="M198" i="3"/>
  <c r="N198" i="3" s="1"/>
  <c r="O198" i="3" s="1"/>
  <c r="M431" i="3"/>
  <c r="N431" i="3" s="1"/>
  <c r="O431" i="3" s="1"/>
  <c r="M372" i="3"/>
  <c r="N372" i="3" s="1"/>
  <c r="O372" i="3" s="1"/>
  <c r="M364" i="3"/>
  <c r="N364" i="3" s="1"/>
  <c r="O364" i="3" s="1"/>
  <c r="M166" i="3"/>
  <c r="N166" i="3" s="1"/>
  <c r="O166" i="3" s="1"/>
  <c r="M469" i="3"/>
  <c r="N469" i="3" s="1"/>
  <c r="O469" i="3" s="1"/>
  <c r="M66" i="3"/>
  <c r="N66" i="3" s="1"/>
  <c r="O66" i="3" s="1"/>
  <c r="M45" i="3"/>
  <c r="N45" i="3" s="1"/>
  <c r="O45" i="3" s="1"/>
  <c r="M446" i="3"/>
  <c r="N446" i="3" s="1"/>
  <c r="O446" i="3" s="1"/>
  <c r="M150" i="3"/>
  <c r="N150" i="3" s="1"/>
  <c r="O150" i="3" s="1"/>
  <c r="M326" i="3"/>
  <c r="N326" i="3" s="1"/>
  <c r="O326" i="3" s="1"/>
  <c r="M97" i="3"/>
  <c r="N97" i="3" s="1"/>
  <c r="O97" i="3" s="1"/>
  <c r="M17" i="3"/>
  <c r="N17" i="3" s="1"/>
  <c r="O17" i="3" s="1"/>
  <c r="M277" i="3"/>
  <c r="N277" i="3" s="1"/>
  <c r="O277" i="3" s="1"/>
  <c r="M376" i="3"/>
  <c r="N376" i="3" s="1"/>
  <c r="O376" i="3" s="1"/>
  <c r="M365" i="3"/>
  <c r="N365" i="3" s="1"/>
  <c r="O365" i="3" s="1"/>
  <c r="M207" i="3"/>
  <c r="N207" i="3" s="1"/>
  <c r="O207" i="3" s="1"/>
  <c r="M367" i="3"/>
  <c r="N367" i="3" s="1"/>
  <c r="O367" i="3" s="1"/>
  <c r="M78" i="3"/>
  <c r="N78" i="3" s="1"/>
  <c r="O78" i="3" s="1"/>
  <c r="M143" i="3"/>
  <c r="N143" i="3" s="1"/>
  <c r="O143" i="3" s="1"/>
  <c r="M155" i="3"/>
  <c r="N155" i="3" s="1"/>
  <c r="O155" i="3" s="1"/>
  <c r="M409" i="3"/>
  <c r="N409" i="3" s="1"/>
  <c r="O409" i="3" s="1"/>
  <c r="M307" i="3"/>
  <c r="N307" i="3" s="1"/>
  <c r="O307" i="3" s="1"/>
  <c r="M120" i="3"/>
  <c r="N120" i="3" s="1"/>
  <c r="O120" i="3" s="1"/>
  <c r="M373" i="3"/>
  <c r="N373" i="3" s="1"/>
  <c r="O373" i="3" s="1"/>
  <c r="M280" i="3"/>
  <c r="N280" i="3" s="1"/>
  <c r="O280" i="3" s="1"/>
  <c r="M109" i="3"/>
  <c r="N109" i="3" s="1"/>
  <c r="O109" i="3" s="1"/>
  <c r="M76" i="3"/>
  <c r="N76" i="3" s="1"/>
  <c r="O76" i="3" s="1"/>
  <c r="M22" i="3"/>
  <c r="N22" i="3" s="1"/>
  <c r="O22" i="3" s="1"/>
  <c r="M152" i="3"/>
  <c r="N152" i="3" s="1"/>
  <c r="O152" i="3" s="1"/>
  <c r="M82" i="3"/>
  <c r="N82" i="3" s="1"/>
  <c r="O82" i="3" s="1"/>
  <c r="M323" i="3"/>
  <c r="N323" i="3" s="1"/>
  <c r="O323" i="3" s="1"/>
  <c r="M397" i="3"/>
  <c r="N397" i="3" s="1"/>
  <c r="O397" i="3" s="1"/>
  <c r="M425" i="3"/>
  <c r="N425" i="3" s="1"/>
  <c r="O425" i="3" s="1"/>
  <c r="M44" i="3"/>
  <c r="N44" i="3" s="1"/>
  <c r="O44" i="3" s="1"/>
  <c r="M162" i="3"/>
  <c r="N162" i="3" s="1"/>
  <c r="O162" i="3" s="1"/>
  <c r="M341" i="3"/>
  <c r="N341" i="3" s="1"/>
  <c r="O341" i="3" s="1"/>
  <c r="M54" i="3"/>
  <c r="N54" i="3" s="1"/>
  <c r="O54" i="3" s="1"/>
  <c r="M142" i="3"/>
  <c r="N142" i="3" s="1"/>
  <c r="O142" i="3" s="1"/>
  <c r="M217" i="3"/>
  <c r="N217" i="3" s="1"/>
  <c r="O217" i="3" s="1"/>
  <c r="M209" i="3"/>
  <c r="N209" i="3" s="1"/>
  <c r="O209" i="3" s="1"/>
  <c r="M168" i="3"/>
  <c r="N168" i="3" s="1"/>
  <c r="O168" i="3" s="1"/>
  <c r="M6" i="3"/>
  <c r="N6" i="3" s="1"/>
  <c r="O6" i="3" s="1"/>
  <c r="M265" i="3"/>
  <c r="N265" i="3" s="1"/>
  <c r="O265" i="3" s="1"/>
  <c r="M374" i="3"/>
  <c r="N374" i="3" s="1"/>
  <c r="O374" i="3" s="1"/>
  <c r="M261" i="3"/>
  <c r="N261" i="3" s="1"/>
  <c r="O261" i="3" s="1"/>
  <c r="M213" i="3"/>
  <c r="N213" i="3" s="1"/>
  <c r="O213" i="3" s="1"/>
  <c r="M312" i="3"/>
  <c r="N312" i="3" s="1"/>
  <c r="O312" i="3" s="1"/>
  <c r="M346" i="3"/>
  <c r="N346" i="3" s="1"/>
  <c r="O346" i="3" s="1"/>
  <c r="M23" i="3"/>
  <c r="N23" i="3" s="1"/>
  <c r="O23" i="3" s="1"/>
  <c r="M197" i="3"/>
  <c r="N197" i="3" s="1"/>
  <c r="O197" i="3" s="1"/>
  <c r="M251" i="3"/>
  <c r="N251" i="3" s="1"/>
  <c r="O251" i="3" s="1"/>
  <c r="M342" i="3"/>
  <c r="N342" i="3" s="1"/>
  <c r="O342" i="3" s="1"/>
  <c r="M309" i="3"/>
  <c r="N309" i="3" s="1"/>
  <c r="O309" i="3" s="1"/>
  <c r="M238" i="3"/>
  <c r="N238" i="3" s="1"/>
  <c r="O238" i="3" s="1"/>
  <c r="M64" i="3"/>
  <c r="N64" i="3" s="1"/>
  <c r="O64" i="3" s="1"/>
  <c r="M413" i="3"/>
  <c r="N413" i="3" s="1"/>
  <c r="O413" i="3" s="1"/>
  <c r="M34" i="3"/>
  <c r="N34" i="3" s="1"/>
  <c r="O34" i="3" s="1"/>
  <c r="M216" i="3"/>
  <c r="N216" i="3" s="1"/>
  <c r="O216" i="3" s="1"/>
  <c r="M43" i="3"/>
  <c r="N43" i="3" s="1"/>
  <c r="O43" i="3" s="1"/>
  <c r="M314" i="3"/>
  <c r="N314" i="3" s="1"/>
  <c r="O314" i="3" s="1"/>
  <c r="M86" i="3"/>
  <c r="N86" i="3" s="1"/>
  <c r="O86" i="3" s="1"/>
  <c r="M258" i="3"/>
  <c r="N258" i="3" s="1"/>
  <c r="O258" i="3" s="1"/>
  <c r="M72" i="3"/>
  <c r="N72" i="3" s="1"/>
  <c r="O72" i="3" s="1"/>
  <c r="M48" i="3"/>
  <c r="N48" i="3" s="1"/>
  <c r="O48" i="3" s="1"/>
  <c r="M139" i="3"/>
  <c r="N139" i="3" s="1"/>
  <c r="O139" i="3" s="1"/>
  <c r="M233" i="3"/>
  <c r="N233" i="3" s="1"/>
  <c r="O233" i="3" s="1"/>
  <c r="M369" i="3"/>
  <c r="N369" i="3" s="1"/>
  <c r="O369" i="3" s="1"/>
  <c r="M136" i="3"/>
  <c r="N136" i="3" s="1"/>
  <c r="O136" i="3" s="1"/>
  <c r="M471" i="3"/>
  <c r="N471" i="3" s="1"/>
  <c r="O471" i="3" s="1"/>
  <c r="M185" i="3"/>
  <c r="N185" i="3" s="1"/>
  <c r="O185" i="3" s="1"/>
  <c r="M438" i="3"/>
  <c r="N438" i="3" s="1"/>
  <c r="O438" i="3" s="1"/>
  <c r="M28" i="3"/>
  <c r="N28" i="3" s="1"/>
  <c r="O28" i="3" s="1"/>
  <c r="M405" i="3"/>
  <c r="N405" i="3" s="1"/>
  <c r="O405" i="3" s="1"/>
  <c r="M201" i="3"/>
  <c r="N201" i="3" s="1"/>
  <c r="O201" i="3" s="1"/>
  <c r="M378" i="3"/>
  <c r="N378" i="3" s="1"/>
  <c r="O378" i="3" s="1"/>
  <c r="M87" i="3"/>
  <c r="N87" i="3" s="1"/>
  <c r="O87" i="3" s="1"/>
  <c r="M335" i="3"/>
  <c r="N335" i="3" s="1"/>
  <c r="O335" i="3" s="1"/>
  <c r="M105" i="3"/>
  <c r="N105" i="3" s="1"/>
  <c r="O105" i="3" s="1"/>
  <c r="M391" i="3"/>
  <c r="N391" i="3" s="1"/>
  <c r="O391" i="3" s="1"/>
  <c r="M362" i="3"/>
  <c r="N362" i="3" s="1"/>
  <c r="O362" i="3" s="1"/>
  <c r="M392" i="3"/>
  <c r="N392" i="3" s="1"/>
  <c r="O392" i="3" s="1"/>
  <c r="M24" i="3"/>
  <c r="N24" i="3" s="1"/>
  <c r="O24" i="3" s="1"/>
  <c r="M51" i="3"/>
  <c r="N51" i="3" s="1"/>
  <c r="O51" i="3" s="1"/>
  <c r="M182" i="3"/>
  <c r="N182" i="3" s="1"/>
  <c r="O182" i="3" s="1"/>
  <c r="M115" i="3"/>
  <c r="N115" i="3" s="1"/>
  <c r="O115" i="3" s="1"/>
  <c r="M300" i="3"/>
  <c r="N300" i="3" s="1"/>
  <c r="O300" i="3" s="1"/>
  <c r="M242" i="3"/>
  <c r="N242" i="3" s="1"/>
  <c r="O242" i="3" s="1"/>
  <c r="M402" i="3"/>
  <c r="N402" i="3" s="1"/>
  <c r="O402" i="3" s="1"/>
  <c r="M50" i="3"/>
  <c r="N50" i="3" s="1"/>
  <c r="O50" i="3" s="1"/>
  <c r="M81" i="3"/>
  <c r="N81" i="3" s="1"/>
  <c r="O81" i="3" s="1"/>
  <c r="M339" i="3"/>
  <c r="N339" i="3" s="1"/>
  <c r="O339" i="3" s="1"/>
  <c r="M371" i="3"/>
  <c r="N371" i="3" s="1"/>
  <c r="O371" i="3" s="1"/>
  <c r="M108" i="3"/>
  <c r="N108" i="3" s="1"/>
  <c r="O108" i="3" s="1"/>
  <c r="M324" i="3"/>
  <c r="N324" i="3" s="1"/>
  <c r="O324" i="3" s="1"/>
  <c r="M250" i="3"/>
  <c r="N250" i="3" s="1"/>
  <c r="O250" i="3" s="1"/>
  <c r="M56" i="3"/>
  <c r="N56" i="3" s="1"/>
  <c r="O56" i="3" s="1"/>
  <c r="M132" i="3"/>
  <c r="N132" i="3" s="1"/>
  <c r="O132" i="3" s="1"/>
  <c r="M240" i="3"/>
  <c r="N240" i="3" s="1"/>
  <c r="O240" i="3" s="1"/>
  <c r="M414" i="3"/>
  <c r="N414" i="3" s="1"/>
  <c r="O414" i="3" s="1"/>
  <c r="M27" i="3"/>
  <c r="N27" i="3" s="1"/>
  <c r="O27" i="3" s="1"/>
  <c r="M74" i="3"/>
  <c r="N74" i="3" s="1"/>
  <c r="O74" i="3" s="1"/>
  <c r="M387" i="3"/>
  <c r="N387" i="3" s="1"/>
  <c r="O387" i="3" s="1"/>
  <c r="M384" i="3"/>
  <c r="N384" i="3" s="1"/>
  <c r="O384" i="3" s="1"/>
  <c r="M210" i="3"/>
  <c r="N210" i="3" s="1"/>
  <c r="O210" i="3" s="1"/>
  <c r="M289" i="3"/>
  <c r="N289" i="3" s="1"/>
  <c r="O289" i="3" s="1"/>
  <c r="M130" i="3"/>
  <c r="N130" i="3" s="1"/>
  <c r="O130" i="3" s="1"/>
  <c r="M61" i="3"/>
  <c r="N61" i="3" s="1"/>
  <c r="O61" i="3" s="1"/>
  <c r="M453" i="3"/>
  <c r="N453" i="3" s="1"/>
  <c r="O453" i="3" s="1"/>
  <c r="M121" i="3"/>
  <c r="N121" i="3" s="1"/>
  <c r="O121" i="3" s="1"/>
  <c r="M133" i="3"/>
  <c r="N133" i="3" s="1"/>
  <c r="O133" i="3" s="1"/>
  <c r="M316" i="3"/>
  <c r="N316" i="3" s="1"/>
  <c r="O316" i="3" s="1"/>
  <c r="M447" i="3"/>
  <c r="N447" i="3" s="1"/>
  <c r="O447" i="3" s="1"/>
  <c r="M401" i="3"/>
  <c r="N401" i="3" s="1"/>
  <c r="O401" i="3" s="1"/>
  <c r="M89" i="3"/>
  <c r="N89" i="3" s="1"/>
  <c r="O89" i="3" s="1"/>
  <c r="M128" i="3"/>
  <c r="N128" i="3" s="1"/>
  <c r="O128" i="3" s="1"/>
  <c r="M135" i="3"/>
  <c r="N135" i="3" s="1"/>
  <c r="O135" i="3" s="1"/>
  <c r="M274" i="3"/>
  <c r="N274" i="3" s="1"/>
  <c r="O274" i="3" s="1"/>
  <c r="M297" i="3"/>
  <c r="N297" i="3" s="1"/>
  <c r="O297" i="3" s="1"/>
  <c r="M126" i="3"/>
  <c r="N126" i="3" s="1"/>
  <c r="O126" i="3" s="1"/>
  <c r="M14" i="3"/>
  <c r="N14" i="3" s="1"/>
  <c r="O14" i="3" s="1"/>
  <c r="M329" i="3"/>
  <c r="N329" i="3" s="1"/>
  <c r="O329" i="3" s="1"/>
  <c r="M383" i="3"/>
  <c r="N383" i="3" s="1"/>
  <c r="O383" i="3" s="1"/>
  <c r="M305" i="3"/>
  <c r="N305" i="3" s="1"/>
  <c r="O305" i="3" s="1"/>
  <c r="M160" i="3"/>
  <c r="N160" i="3" s="1"/>
  <c r="O160" i="3" s="1"/>
  <c r="M60" i="3"/>
  <c r="N60" i="3" s="1"/>
  <c r="O60" i="3" s="1"/>
  <c r="M349" i="3"/>
  <c r="N349" i="3" s="1"/>
  <c r="O349" i="3" s="1"/>
  <c r="M481" i="3"/>
  <c r="N481" i="3" s="1"/>
  <c r="O481" i="3" s="1"/>
  <c r="M337" i="3"/>
  <c r="N337" i="3" s="1"/>
  <c r="O337" i="3" s="1"/>
  <c r="M104" i="3"/>
  <c r="N104" i="3" s="1"/>
  <c r="O104" i="3" s="1"/>
  <c r="M98" i="3"/>
  <c r="N98" i="3" s="1"/>
  <c r="O98" i="3" s="1"/>
  <c r="M169" i="3"/>
  <c r="N169" i="3" s="1"/>
  <c r="O169" i="3" s="1"/>
  <c r="M272" i="3"/>
  <c r="N272" i="3" s="1"/>
  <c r="O272" i="3" s="1"/>
  <c r="M434" i="3"/>
  <c r="N434" i="3" s="1"/>
  <c r="O434" i="3" s="1"/>
  <c r="M417" i="3"/>
  <c r="N417" i="3" s="1"/>
  <c r="O417" i="3" s="1"/>
  <c r="M404" i="3"/>
  <c r="N404" i="3" s="1"/>
  <c r="O404" i="3" s="1"/>
  <c r="M230" i="3"/>
  <c r="N230" i="3" s="1"/>
  <c r="O230" i="3" s="1"/>
  <c r="M80" i="3"/>
  <c r="N80" i="3" s="1"/>
  <c r="O80" i="3" s="1"/>
  <c r="M310" i="3"/>
  <c r="N310" i="3" s="1"/>
  <c r="O310" i="3" s="1"/>
  <c r="M479" i="3"/>
  <c r="N479" i="3" s="1"/>
  <c r="O479" i="3" s="1"/>
  <c r="M157" i="3"/>
  <c r="N157" i="3" s="1"/>
  <c r="O157" i="3" s="1"/>
  <c r="M32" i="3"/>
  <c r="N32" i="3" s="1"/>
  <c r="O32" i="3" s="1"/>
  <c r="M377" i="3"/>
  <c r="N377" i="3" s="1"/>
  <c r="O377" i="3" s="1"/>
  <c r="M31" i="3"/>
  <c r="N31" i="3" s="1"/>
  <c r="O31" i="3" s="1"/>
  <c r="M39" i="3"/>
  <c r="N39" i="3" s="1"/>
  <c r="O39" i="3" s="1"/>
  <c r="M286" i="3"/>
  <c r="N286" i="3" s="1"/>
  <c r="O286" i="3" s="1"/>
  <c r="M293" i="3"/>
  <c r="N293" i="3" s="1"/>
  <c r="O293" i="3" s="1"/>
  <c r="M203" i="3"/>
  <c r="N203" i="3" s="1"/>
  <c r="O203" i="3" s="1"/>
  <c r="M382" i="3"/>
  <c r="N382" i="3" s="1"/>
  <c r="O382" i="3" s="1"/>
  <c r="M199" i="3"/>
  <c r="N199" i="3" s="1"/>
  <c r="O199" i="3" s="1"/>
  <c r="M149" i="3"/>
  <c r="N149" i="3" s="1"/>
  <c r="O149" i="3" s="1"/>
  <c r="M71" i="3"/>
  <c r="N71" i="3" s="1"/>
  <c r="O71" i="3" s="1"/>
  <c r="M452" i="3"/>
  <c r="N452" i="3" s="1"/>
  <c r="O452" i="3" s="1"/>
  <c r="M232" i="3"/>
  <c r="N232" i="3" s="1"/>
  <c r="O232" i="3" s="1"/>
  <c r="M352" i="3"/>
  <c r="N352" i="3" s="1"/>
  <c r="O352" i="3" s="1"/>
  <c r="M195" i="3"/>
  <c r="N195" i="3" s="1"/>
  <c r="O195" i="3" s="1"/>
  <c r="M423" i="3"/>
  <c r="N423" i="3" s="1"/>
  <c r="O423" i="3" s="1"/>
  <c r="M200" i="3"/>
  <c r="N200" i="3" s="1"/>
  <c r="O200" i="3" s="1"/>
  <c r="M118" i="3"/>
  <c r="N118" i="3" s="1"/>
  <c r="O118" i="3" s="1"/>
  <c r="M211" i="3"/>
  <c r="N211" i="3" s="1"/>
  <c r="O211" i="3" s="1"/>
  <c r="M59" i="3"/>
  <c r="N59" i="3" s="1"/>
  <c r="O59" i="3" s="1"/>
  <c r="M264" i="3"/>
  <c r="N264" i="3" s="1"/>
  <c r="O264" i="3" s="1"/>
  <c r="M291" i="3"/>
  <c r="N291" i="3" s="1"/>
  <c r="O291" i="3" s="1"/>
  <c r="M410" i="3"/>
  <c r="N410" i="3" s="1"/>
  <c r="O410" i="3" s="1"/>
  <c r="M256" i="3"/>
  <c r="N256" i="3" s="1"/>
  <c r="O256" i="3" s="1"/>
  <c r="M189" i="3"/>
  <c r="N189" i="3" s="1"/>
  <c r="O189" i="3" s="1"/>
  <c r="M304" i="3"/>
  <c r="N304" i="3" s="1"/>
  <c r="O304" i="3" s="1"/>
  <c r="M127" i="3"/>
  <c r="N127" i="3" s="1"/>
  <c r="O127" i="3" s="1"/>
  <c r="M129" i="3"/>
  <c r="N129" i="3" s="1"/>
  <c r="O129" i="3" s="1"/>
  <c r="M196" i="3"/>
  <c r="N196" i="3" s="1"/>
  <c r="O196" i="3" s="1"/>
  <c r="M487" i="3"/>
  <c r="N487" i="3" s="1"/>
  <c r="O487" i="3" s="1"/>
  <c r="M181" i="3"/>
  <c r="N181" i="3" s="1"/>
  <c r="O181" i="3" s="1"/>
  <c r="M400" i="3"/>
  <c r="N400" i="3" s="1"/>
  <c r="O400" i="3" s="1"/>
  <c r="M262" i="3"/>
  <c r="N262" i="3" s="1"/>
  <c r="O262" i="3" s="1"/>
  <c r="M15" i="3"/>
  <c r="N15" i="3" s="1"/>
  <c r="O15" i="3" s="1"/>
  <c r="M275" i="3"/>
  <c r="N275" i="3" s="1"/>
  <c r="O275" i="3" s="1"/>
  <c r="M90" i="3"/>
  <c r="N90" i="3" s="1"/>
  <c r="O90" i="3" s="1"/>
  <c r="M445" i="3"/>
  <c r="N445" i="3" s="1"/>
  <c r="O445" i="3" s="1"/>
  <c r="M107" i="3"/>
  <c r="N107" i="3" s="1"/>
  <c r="O107" i="3" s="1"/>
  <c r="M170" i="3"/>
  <c r="N170" i="3" s="1"/>
  <c r="O170" i="3" s="1"/>
  <c r="M255" i="3"/>
  <c r="N255" i="3" s="1"/>
  <c r="O255" i="3" s="1"/>
  <c r="M219" i="3"/>
  <c r="N219" i="3" s="1"/>
  <c r="O219" i="3" s="1"/>
  <c r="M253" i="3"/>
  <c r="N253" i="3" s="1"/>
  <c r="O253" i="3" s="1"/>
  <c r="M408" i="3"/>
  <c r="N408" i="3" s="1"/>
  <c r="O408" i="3" s="1"/>
  <c r="M20" i="3"/>
  <c r="N20" i="3" s="1"/>
  <c r="O20" i="3" s="1"/>
  <c r="M125" i="3"/>
  <c r="N125" i="3" s="1"/>
  <c r="O125" i="3" s="1"/>
  <c r="M241" i="3"/>
  <c r="N241" i="3" s="1"/>
  <c r="O241" i="3" s="1"/>
  <c r="M351" i="3"/>
  <c r="N351" i="3" s="1"/>
  <c r="O351" i="3" s="1"/>
  <c r="M458" i="3"/>
  <c r="N458" i="3" s="1"/>
  <c r="O458" i="3" s="1"/>
  <c r="M154" i="3"/>
  <c r="N154" i="3" s="1"/>
  <c r="O154" i="3" s="1"/>
  <c r="M468" i="3"/>
  <c r="N468" i="3" s="1"/>
  <c r="O468" i="3" s="1"/>
  <c r="M288" i="3"/>
  <c r="N288" i="3" s="1"/>
  <c r="O288" i="3" s="1"/>
  <c r="M156" i="3"/>
  <c r="N156" i="3" s="1"/>
  <c r="O156" i="3" s="1"/>
  <c r="M42" i="3"/>
  <c r="N42" i="3" s="1"/>
  <c r="O42" i="3" s="1"/>
  <c r="M263" i="3"/>
  <c r="N263" i="3" s="1"/>
  <c r="O263" i="3" s="1"/>
  <c r="M271" i="3"/>
  <c r="N271" i="3" s="1"/>
  <c r="O271" i="3" s="1"/>
  <c r="M340" i="3"/>
  <c r="N340" i="3" s="1"/>
  <c r="O340" i="3" s="1"/>
  <c r="M52" i="3"/>
  <c r="N52" i="3" s="1"/>
  <c r="O52" i="3" s="1"/>
  <c r="M270" i="3"/>
  <c r="N270" i="3" s="1"/>
  <c r="O270" i="3" s="1"/>
  <c r="M466" i="3"/>
  <c r="N466" i="3" s="1"/>
  <c r="O466" i="3" s="1"/>
  <c r="M407" i="3"/>
  <c r="N407" i="3" s="1"/>
  <c r="O407" i="3" s="1"/>
  <c r="M432" i="3"/>
  <c r="N432" i="3" s="1"/>
  <c r="O432" i="3" s="1"/>
  <c r="M137" i="3"/>
  <c r="N137" i="3" s="1"/>
  <c r="O137" i="3" s="1"/>
  <c r="M454" i="3"/>
  <c r="N454" i="3" s="1"/>
  <c r="O454" i="3" s="1"/>
  <c r="M350" i="3"/>
  <c r="N350" i="3" s="1"/>
  <c r="O350" i="3" s="1"/>
  <c r="M295" i="3"/>
  <c r="N295" i="3" s="1"/>
  <c r="O295" i="3" s="1"/>
  <c r="M415" i="3"/>
  <c r="N415" i="3" s="1"/>
  <c r="O415" i="3" s="1"/>
  <c r="M173" i="3"/>
  <c r="N173" i="3" s="1"/>
  <c r="O173" i="3" s="1"/>
  <c r="M77" i="3"/>
  <c r="N77" i="3" s="1"/>
  <c r="O77" i="3" s="1"/>
  <c r="M49" i="3"/>
  <c r="N49" i="3" s="1"/>
  <c r="O49" i="3" s="1"/>
  <c r="M394" i="3"/>
  <c r="N394" i="3" s="1"/>
  <c r="O394" i="3" s="1"/>
  <c r="M187" i="3"/>
  <c r="N187" i="3" s="1"/>
  <c r="O187" i="3" s="1"/>
  <c r="M114" i="3"/>
  <c r="N114" i="3" s="1"/>
  <c r="O114" i="3" s="1"/>
  <c r="M183" i="3"/>
  <c r="N183" i="3" s="1"/>
  <c r="O183" i="3" s="1"/>
  <c r="M99" i="3"/>
  <c r="N99" i="3" s="1"/>
  <c r="O99" i="3" s="1"/>
  <c r="M190" i="3"/>
  <c r="N190" i="3" s="1"/>
  <c r="O190" i="3" s="1"/>
  <c r="M260" i="3"/>
  <c r="N260" i="3" s="1"/>
  <c r="O260" i="3" s="1"/>
  <c r="M215" i="3"/>
  <c r="N215" i="3" s="1"/>
  <c r="O215" i="3" s="1"/>
  <c r="M489" i="3"/>
  <c r="N489" i="3" s="1"/>
  <c r="O489" i="3" s="1"/>
  <c r="M144" i="3"/>
  <c r="N144" i="3" s="1"/>
  <c r="O144" i="3" s="1"/>
  <c r="M480" i="3"/>
  <c r="N480" i="3" s="1"/>
  <c r="O480" i="3" s="1"/>
  <c r="M224" i="3"/>
  <c r="N224" i="3" s="1"/>
  <c r="O224" i="3" s="1"/>
  <c r="M202" i="3"/>
  <c r="N202" i="3" s="1"/>
  <c r="O202" i="3" s="1"/>
  <c r="M106" i="3"/>
  <c r="N106" i="3" s="1"/>
  <c r="O106" i="3" s="1"/>
  <c r="M461" i="3"/>
  <c r="N461" i="3" s="1"/>
  <c r="O461" i="3" s="1"/>
  <c r="M254" i="3"/>
  <c r="N254" i="3" s="1"/>
  <c r="O254" i="3" s="1"/>
  <c r="M36" i="3"/>
  <c r="N36" i="3" s="1"/>
  <c r="O36" i="3" s="1"/>
  <c r="M37" i="3"/>
  <c r="N37" i="3" s="1"/>
  <c r="O37" i="3" s="1"/>
  <c r="M239" i="3"/>
  <c r="N239" i="3" s="1"/>
  <c r="O239" i="3" s="1"/>
  <c r="M457" i="3"/>
  <c r="N457" i="3" s="1"/>
  <c r="O457" i="3" s="1"/>
  <c r="M25" i="3"/>
  <c r="N25" i="3" s="1"/>
  <c r="O25" i="3" s="1"/>
  <c r="M436" i="3"/>
  <c r="N436" i="3" s="1"/>
  <c r="O436" i="3" s="1"/>
  <c r="M249" i="3"/>
  <c r="N249" i="3" s="1"/>
  <c r="O249" i="3" s="1"/>
  <c r="M5" i="3"/>
  <c r="N5" i="3" s="1"/>
  <c r="O5" i="3" s="1"/>
  <c r="M470" i="3"/>
  <c r="N470" i="3" s="1"/>
  <c r="O470" i="3" s="1"/>
  <c r="M188" i="3"/>
  <c r="N188" i="3" s="1"/>
  <c r="O188" i="3" s="1"/>
  <c r="M30" i="3"/>
  <c r="N30" i="3" s="1"/>
  <c r="O30" i="3" s="1"/>
  <c r="M311" i="3"/>
  <c r="N311" i="3" s="1"/>
  <c r="O311" i="3" s="1"/>
  <c r="M248" i="3"/>
  <c r="N248" i="3" s="1"/>
  <c r="O248" i="3" s="1"/>
  <c r="M68" i="3"/>
  <c r="N68" i="3" s="1"/>
  <c r="O68" i="3" s="1"/>
  <c r="M92" i="3"/>
  <c r="N92" i="3" s="1"/>
  <c r="O92" i="3" s="1"/>
  <c r="M359" i="3"/>
  <c r="N359" i="3" s="1"/>
  <c r="O359" i="3" s="1"/>
  <c r="M94" i="3"/>
  <c r="N94" i="3" s="1"/>
  <c r="O94" i="3" s="1"/>
  <c r="M245" i="3"/>
  <c r="N245" i="3" s="1"/>
  <c r="O245" i="3" s="1"/>
  <c r="M243" i="3"/>
  <c r="N243" i="3" s="1"/>
  <c r="O243" i="3" s="1"/>
  <c r="M57" i="3"/>
  <c r="N57" i="3" s="1"/>
  <c r="O57" i="3" s="1"/>
  <c r="M285" i="3"/>
  <c r="N285" i="3" s="1"/>
  <c r="O285" i="3" s="1"/>
  <c r="M208" i="3"/>
  <c r="N208" i="3" s="1"/>
  <c r="O208" i="3" s="1"/>
  <c r="M463" i="3"/>
  <c r="N463" i="3" s="1"/>
  <c r="O463" i="3" s="1"/>
  <c r="M223" i="3"/>
  <c r="N223" i="3" s="1"/>
  <c r="O223" i="3" s="1"/>
  <c r="M386" i="3"/>
  <c r="N386" i="3" s="1"/>
  <c r="O386" i="3" s="1"/>
  <c r="M278" i="3"/>
  <c r="N278" i="3" s="1"/>
  <c r="O278" i="3" s="1"/>
  <c r="M95" i="3"/>
  <c r="N95" i="3" s="1"/>
  <c r="O95" i="3" s="1"/>
  <c r="M462" i="3"/>
  <c r="N462" i="3" s="1"/>
  <c r="O462" i="3" s="1"/>
  <c r="M33" i="3"/>
  <c r="N33" i="3" s="1"/>
  <c r="O33" i="3" s="1"/>
  <c r="M84" i="3"/>
  <c r="N84" i="3" s="1"/>
  <c r="O84" i="3" s="1"/>
  <c r="M353" i="3"/>
  <c r="N353" i="3" s="1"/>
  <c r="O353" i="3" s="1"/>
  <c r="M296" i="3"/>
  <c r="N296" i="3" s="1"/>
  <c r="O296" i="3" s="1"/>
  <c r="M117" i="3"/>
  <c r="N117" i="3" s="1"/>
  <c r="O117" i="3" s="1"/>
  <c r="M13" i="3"/>
  <c r="N13" i="3" s="1"/>
  <c r="O13" i="3" s="1"/>
  <c r="M390" i="3"/>
  <c r="N390" i="3" s="1"/>
  <c r="O390" i="3" s="1"/>
  <c r="M269" i="3"/>
  <c r="N269" i="3" s="1"/>
  <c r="O269" i="3" s="1"/>
  <c r="M455" i="3"/>
  <c r="N455" i="3" s="1"/>
  <c r="O455" i="3" s="1"/>
  <c r="M334" i="3"/>
  <c r="N334" i="3" s="1"/>
  <c r="O334" i="3" s="1"/>
  <c r="M123" i="3"/>
  <c r="N123" i="3" s="1"/>
  <c r="O123" i="3" s="1"/>
  <c r="M420" i="3"/>
  <c r="N420" i="3" s="1"/>
  <c r="O420" i="3" s="1"/>
  <c r="M389" i="3"/>
  <c r="N389" i="3" s="1"/>
  <c r="O389" i="3" s="1"/>
  <c r="M226" i="3"/>
  <c r="N226" i="3" s="1"/>
  <c r="O226" i="3" s="1"/>
  <c r="M2" i="3"/>
  <c r="N2" i="3" s="1"/>
  <c r="O2" i="3" s="1"/>
  <c r="M96" i="3"/>
  <c r="N96" i="3" s="1"/>
  <c r="O96" i="3" s="1"/>
  <c r="M456" i="3"/>
  <c r="N456" i="3" s="1"/>
  <c r="O456" i="3" s="1"/>
  <c r="M174" i="3"/>
  <c r="N174" i="3" s="1"/>
  <c r="O174" i="3" s="1"/>
  <c r="M147" i="3"/>
  <c r="N147" i="3" s="1"/>
  <c r="O147" i="3" s="1"/>
  <c r="M266" i="3"/>
  <c r="N266" i="3" s="1"/>
  <c r="O266" i="3" s="1"/>
  <c r="M122" i="3"/>
  <c r="N122" i="3" s="1"/>
  <c r="O122" i="3" s="1"/>
  <c r="M294" i="3"/>
  <c r="N294" i="3" s="1"/>
  <c r="O294" i="3" s="1"/>
  <c r="M317" i="3"/>
  <c r="N317" i="3" s="1"/>
  <c r="O317" i="3" s="1"/>
  <c r="M444" i="3"/>
  <c r="N444" i="3" s="1"/>
  <c r="O444" i="3" s="1"/>
  <c r="M141" i="3"/>
  <c r="N141" i="3" s="1"/>
  <c r="O141" i="3" s="1"/>
  <c r="M41" i="3"/>
  <c r="N41" i="3" s="1"/>
  <c r="O41" i="3" s="1"/>
  <c r="M332" i="3"/>
  <c r="N332" i="3" s="1"/>
  <c r="O332" i="3" s="1"/>
  <c r="M235" i="3"/>
  <c r="N235" i="3" s="1"/>
  <c r="O235" i="3" s="1"/>
  <c r="M138" i="3"/>
  <c r="N138" i="3" s="1"/>
  <c r="O138" i="3" s="1"/>
  <c r="M333" i="3"/>
  <c r="N333" i="3" s="1"/>
  <c r="O333" i="3" s="1"/>
  <c r="M357" i="3"/>
  <c r="N357" i="3" s="1"/>
  <c r="O357" i="3" s="1"/>
  <c r="M18" i="3"/>
  <c r="N18" i="3" s="1"/>
  <c r="O18" i="3" s="1"/>
  <c r="M343" i="3"/>
  <c r="N343" i="3" s="1"/>
  <c r="O343" i="3" s="1"/>
  <c r="M302" i="3"/>
  <c r="N302" i="3" s="1"/>
  <c r="O302" i="3" s="1"/>
  <c r="M91" i="3"/>
  <c r="N91" i="3" s="1"/>
  <c r="O91" i="3" s="1"/>
  <c r="M67" i="3"/>
  <c r="N67" i="3" s="1"/>
  <c r="O67" i="3" s="1"/>
  <c r="M450" i="3"/>
  <c r="N450" i="3" s="1"/>
  <c r="O450" i="3" s="1"/>
  <c r="M192" i="3"/>
  <c r="N192" i="3" s="1"/>
  <c r="O192" i="3" s="1"/>
  <c r="M172" i="3"/>
  <c r="N172" i="3" s="1"/>
  <c r="O172" i="3" s="1"/>
  <c r="M62" i="3"/>
  <c r="N62" i="3" s="1"/>
  <c r="O62" i="3" s="1"/>
  <c r="M267" i="3"/>
  <c r="N267" i="3" s="1"/>
  <c r="O267" i="3" s="1"/>
  <c r="M422" i="3"/>
  <c r="N422" i="3" s="1"/>
  <c r="O422" i="3" s="1"/>
  <c r="M411" i="3"/>
  <c r="N411" i="3" s="1"/>
  <c r="O411" i="3" s="1"/>
  <c r="M119" i="3"/>
  <c r="N119" i="3" s="1"/>
  <c r="O119" i="3" s="1"/>
  <c r="M8" i="3"/>
  <c r="N8" i="3" s="1"/>
  <c r="O8" i="3" s="1"/>
  <c r="M205" i="3"/>
  <c r="N205" i="3" s="1"/>
  <c r="O205" i="3" s="1"/>
  <c r="M473" i="3"/>
  <c r="N473" i="3" s="1"/>
  <c r="O473" i="3" s="1"/>
  <c r="M55" i="3"/>
  <c r="N55" i="3" s="1"/>
  <c r="O55" i="3" s="1"/>
  <c r="M299" i="3"/>
  <c r="N299" i="3" s="1"/>
  <c r="O299" i="3" s="1"/>
  <c r="M46" i="3"/>
  <c r="N46" i="3" s="1"/>
  <c r="O46" i="3" s="1"/>
  <c r="M313" i="3"/>
  <c r="N313" i="3" s="1"/>
  <c r="O313" i="3" s="1"/>
  <c r="M165" i="3"/>
  <c r="N165" i="3" s="1"/>
  <c r="O165" i="3" s="1"/>
  <c r="M148" i="3"/>
  <c r="N148" i="3" s="1"/>
  <c r="O148" i="3" s="1"/>
  <c r="M70" i="3"/>
  <c r="N70" i="3" s="1"/>
  <c r="O70" i="3" s="1"/>
  <c r="M476" i="3"/>
  <c r="N476" i="3" s="1"/>
  <c r="O476" i="3" s="1"/>
  <c r="M16" i="3"/>
  <c r="N16" i="3" s="1"/>
  <c r="O16" i="3" s="1"/>
  <c r="M158" i="3"/>
  <c r="N158" i="3" s="1"/>
  <c r="O158" i="3" s="1"/>
  <c r="M113" i="3"/>
  <c r="N113" i="3" s="1"/>
  <c r="O113" i="3" s="1"/>
  <c r="M12" i="3"/>
  <c r="N12" i="3" s="1"/>
  <c r="O12" i="3" s="1"/>
  <c r="M320" i="3"/>
  <c r="N320" i="3" s="1"/>
  <c r="O320" i="3" s="1"/>
  <c r="M93" i="3"/>
  <c r="N93" i="3" s="1"/>
  <c r="O93" i="3" s="1"/>
  <c r="M83" i="3"/>
  <c r="N83" i="3" s="1"/>
  <c r="O83" i="3" s="1"/>
  <c r="M437" i="3"/>
  <c r="N437" i="3" s="1"/>
  <c r="O437" i="3" s="1"/>
  <c r="M212" i="3"/>
  <c r="N212" i="3" s="1"/>
  <c r="O212" i="3" s="1"/>
  <c r="M368" i="3"/>
  <c r="N368" i="3" s="1"/>
  <c r="O368" i="3" s="1"/>
  <c r="M429" i="3"/>
  <c r="N429" i="3" s="1"/>
  <c r="O429" i="3" s="1"/>
  <c r="M292" i="3"/>
  <c r="N292" i="3" s="1"/>
  <c r="O292" i="3" s="1"/>
  <c r="M375" i="3"/>
  <c r="N375" i="3" s="1"/>
  <c r="O375" i="3" s="1"/>
  <c r="M204" i="3"/>
  <c r="N204" i="3" s="1"/>
  <c r="O204" i="3" s="1"/>
  <c r="M179" i="3"/>
  <c r="N179" i="3" s="1"/>
  <c r="O179" i="3" s="1"/>
  <c r="M356" i="3"/>
  <c r="N356" i="3" s="1"/>
  <c r="O356" i="3" s="1"/>
  <c r="M385" i="3"/>
  <c r="N385" i="3" s="1"/>
  <c r="O385" i="3" s="1"/>
  <c r="M459" i="3"/>
  <c r="N459" i="3" s="1"/>
  <c r="O459" i="3" s="1"/>
  <c r="M358" i="3"/>
  <c r="N358" i="3" s="1"/>
  <c r="O358" i="3" s="1"/>
  <c r="M281" i="3"/>
  <c r="N281" i="3" s="1"/>
  <c r="O281" i="3" s="1"/>
  <c r="M110" i="3"/>
  <c r="N110" i="3" s="1"/>
  <c r="O110" i="3" s="1"/>
  <c r="M398" i="3"/>
  <c r="N398" i="3" s="1"/>
  <c r="O398" i="3" s="1"/>
  <c r="M439" i="3"/>
  <c r="N439" i="3" s="1"/>
  <c r="O439" i="3" s="1"/>
  <c r="M328" i="3"/>
  <c r="N328" i="3" s="1"/>
  <c r="O328" i="3" s="1"/>
  <c r="M381" i="3"/>
  <c r="N381" i="3" s="1"/>
  <c r="O381" i="3" s="1"/>
  <c r="M131" i="3"/>
  <c r="N131" i="3" s="1"/>
  <c r="O131" i="3" s="1"/>
  <c r="M244" i="3"/>
  <c r="N244" i="3" s="1"/>
  <c r="O244" i="3" s="1"/>
  <c r="M206" i="3"/>
  <c r="N206" i="3" s="1"/>
  <c r="O206" i="3" s="1"/>
  <c r="M11" i="3"/>
  <c r="N11" i="3" s="1"/>
  <c r="O11" i="3" s="1"/>
  <c r="M116" i="3"/>
  <c r="N116" i="3" s="1"/>
  <c r="O116" i="3" s="1"/>
  <c r="M193" i="3"/>
  <c r="N193" i="3" s="1"/>
  <c r="O193" i="3" s="1"/>
  <c r="M85" i="3"/>
  <c r="N85" i="3" s="1"/>
  <c r="O85" i="3" s="1"/>
  <c r="M303" i="3"/>
  <c r="N303" i="3" s="1"/>
  <c r="O303" i="3" s="1"/>
  <c r="M435" i="3"/>
  <c r="N435" i="3" s="1"/>
  <c r="O435" i="3" s="1"/>
  <c r="M403" i="3"/>
  <c r="N403" i="3" s="1"/>
  <c r="O403" i="3" s="1"/>
  <c r="M418" i="3"/>
  <c r="N418" i="3" s="1"/>
  <c r="O418" i="3" s="1"/>
  <c r="M164" i="3"/>
  <c r="N164" i="3" s="1"/>
  <c r="O164" i="3" s="1"/>
  <c r="M370" i="3"/>
  <c r="N370" i="3" s="1"/>
  <c r="O370" i="3" s="1"/>
  <c r="M464" i="3"/>
  <c r="N464" i="3" s="1"/>
  <c r="O464" i="3" s="1"/>
  <c r="M259" i="3"/>
  <c r="N259" i="3" s="1"/>
  <c r="O259" i="3" s="1"/>
  <c r="M102" i="3"/>
  <c r="N102" i="3" s="1"/>
  <c r="O102" i="3" s="1"/>
  <c r="M427" i="3"/>
  <c r="N427" i="3" s="1"/>
  <c r="O427" i="3" s="1"/>
  <c r="M283" i="3"/>
  <c r="N283" i="3" s="1"/>
  <c r="O283" i="3" s="1"/>
  <c r="M396" i="3"/>
  <c r="N396" i="3" s="1"/>
  <c r="O396" i="3" s="1"/>
  <c r="M101" i="3"/>
  <c r="N101" i="3" s="1"/>
  <c r="O101" i="3" s="1"/>
  <c r="M360" i="3"/>
  <c r="N360" i="3" s="1"/>
  <c r="O360" i="3" s="1"/>
  <c r="M345" i="3"/>
  <c r="N345" i="3" s="1"/>
  <c r="O345" i="3" s="1"/>
  <c r="M319" i="3"/>
  <c r="N319" i="3" s="1"/>
  <c r="O319" i="3" s="1"/>
  <c r="M40" i="3"/>
  <c r="N40" i="3" s="1"/>
  <c r="O40" i="3" s="1"/>
  <c r="M9" i="3"/>
  <c r="N9" i="3" s="1"/>
  <c r="O9" i="3" s="1"/>
  <c r="M325" i="3"/>
  <c r="N325" i="3" s="1"/>
  <c r="O325" i="3" s="1"/>
  <c r="M308" i="3"/>
  <c r="N308" i="3" s="1"/>
  <c r="O308" i="3" s="1"/>
  <c r="M161" i="3"/>
  <c r="N161" i="3" s="1"/>
  <c r="O161" i="3" s="1"/>
  <c r="M69" i="3"/>
  <c r="N69" i="3" s="1"/>
  <c r="O69" i="3" s="1"/>
  <c r="M338" i="3"/>
  <c r="N338" i="3" s="1"/>
  <c r="O338" i="3" s="1"/>
  <c r="M234" i="3"/>
  <c r="N234" i="3" s="1"/>
  <c r="O234" i="3" s="1"/>
  <c r="M53" i="3"/>
  <c r="N53" i="3" s="1"/>
  <c r="O53" i="3" s="1"/>
  <c r="M178" i="3"/>
  <c r="N178" i="3" s="1"/>
  <c r="O178" i="3" s="1"/>
  <c r="M47" i="3"/>
  <c r="N47" i="3" s="1"/>
  <c r="O47" i="3" s="1"/>
  <c r="M424" i="3"/>
  <c r="N424" i="3" s="1"/>
  <c r="O424" i="3" s="1"/>
  <c r="M483" i="3"/>
  <c r="N483" i="3" s="1"/>
  <c r="O483" i="3" s="1"/>
  <c r="M171" i="3"/>
  <c r="N171" i="3" s="1"/>
  <c r="O171" i="3" s="1"/>
  <c r="M88" i="3"/>
  <c r="N88" i="3" s="1"/>
  <c r="O88" i="3" s="1"/>
  <c r="M484" i="3"/>
  <c r="N484" i="3" s="1"/>
  <c r="O484" i="3" s="1"/>
  <c r="M279" i="3"/>
  <c r="N279" i="3" s="1"/>
  <c r="O279" i="3" s="1"/>
  <c r="M440" i="3"/>
  <c r="N440" i="3" s="1"/>
  <c r="O440" i="3" s="1"/>
  <c r="M426" i="3"/>
  <c r="N426" i="3" s="1"/>
  <c r="O426" i="3" s="1"/>
  <c r="M336" i="3"/>
  <c r="N336" i="3" s="1"/>
  <c r="O336" i="3" s="1"/>
  <c r="M451" i="3"/>
  <c r="N451" i="3" s="1"/>
  <c r="O451" i="3" s="1"/>
  <c r="M273" i="3"/>
  <c r="N273" i="3" s="1"/>
  <c r="O273" i="3" s="1"/>
  <c r="M486" i="3"/>
  <c r="N486" i="3" s="1"/>
  <c r="O486" i="3" s="1"/>
  <c r="M474" i="3"/>
  <c r="N474" i="3" s="1"/>
  <c r="O474" i="3" s="1"/>
  <c r="M465" i="3"/>
  <c r="N465" i="3" s="1"/>
  <c r="O465" i="3" s="1"/>
  <c r="M163" i="3"/>
  <c r="N163" i="3" s="1"/>
  <c r="O163" i="3" s="1"/>
  <c r="M225" i="3"/>
  <c r="N225" i="3" s="1"/>
  <c r="O225" i="3" s="1"/>
  <c r="M180" i="3"/>
  <c r="N180" i="3" s="1"/>
  <c r="O180" i="3" s="1"/>
  <c r="M482" i="3"/>
  <c r="N482" i="3" s="1"/>
  <c r="O482" i="3" s="1"/>
  <c r="M140" i="3"/>
  <c r="N140" i="3" s="1"/>
  <c r="O140" i="3" s="1"/>
  <c r="M26" i="3"/>
  <c r="N26" i="3" s="1"/>
  <c r="O26" i="3" s="1"/>
  <c r="M428" i="3"/>
  <c r="N428" i="3" s="1"/>
  <c r="O428" i="3" s="1"/>
  <c r="M63" i="3"/>
  <c r="N63" i="3" s="1"/>
  <c r="O63" i="3" s="1"/>
  <c r="M433" i="3"/>
  <c r="N433" i="3" s="1"/>
  <c r="O433" i="3" s="1"/>
  <c r="M184" i="3"/>
  <c r="N184" i="3" s="1"/>
  <c r="O184" i="3" s="1"/>
  <c r="M393" i="3"/>
  <c r="N393" i="3" s="1"/>
  <c r="O393" i="3" s="1"/>
  <c r="M35" i="3"/>
  <c r="N35" i="3" s="1"/>
  <c r="O35" i="3" s="1"/>
  <c r="M3" i="3"/>
  <c r="N3" i="3" s="1"/>
  <c r="O3" i="3" s="1"/>
  <c r="M318" i="3"/>
  <c r="N318" i="3" s="1"/>
  <c r="O318" i="3" s="1"/>
  <c r="M477" i="3"/>
  <c r="N477" i="3" s="1"/>
  <c r="O477" i="3" s="1"/>
  <c r="M475" i="3"/>
  <c r="N475" i="3" s="1"/>
  <c r="O475" i="3" s="1"/>
  <c r="M327" i="3"/>
  <c r="N327" i="3" s="1"/>
  <c r="O327" i="3" s="1"/>
  <c r="M145" i="3"/>
  <c r="N145" i="3" s="1"/>
  <c r="O145" i="3" s="1"/>
  <c r="M344" i="3"/>
  <c r="N344" i="3" s="1"/>
  <c r="O344" i="3" s="1"/>
  <c r="M220" i="3"/>
  <c r="N220" i="3" s="1"/>
  <c r="O220" i="3" s="1"/>
  <c r="M218" i="3"/>
  <c r="N218" i="3" s="1"/>
  <c r="O218" i="3" s="1"/>
  <c r="M75" i="3"/>
  <c r="N75" i="3" s="1"/>
  <c r="O75" i="3" s="1"/>
  <c r="M361" i="3"/>
  <c r="N361" i="3" s="1"/>
  <c r="O361" i="3" s="1"/>
  <c r="M257" i="3"/>
  <c r="N257" i="3" s="1"/>
  <c r="O257" i="3" s="1"/>
  <c r="M186" i="3"/>
  <c r="N186" i="3" s="1"/>
  <c r="O186" i="3" s="1"/>
  <c r="M282" i="3"/>
  <c r="N282" i="3" s="1"/>
  <c r="O282" i="3" s="1"/>
  <c r="M175" i="3"/>
  <c r="N175" i="3" s="1"/>
  <c r="O175" i="3" s="1"/>
  <c r="M380" i="3"/>
  <c r="N380" i="3" s="1"/>
  <c r="O380" i="3" s="1"/>
  <c r="M228" i="3"/>
  <c r="N228" i="3" s="1"/>
  <c r="O228" i="3" s="1"/>
  <c r="M488" i="3"/>
  <c r="N488" i="3" s="1"/>
  <c r="O488" i="3" s="1"/>
  <c r="M395" i="3"/>
  <c r="N395" i="3" s="1"/>
  <c r="O395" i="3" s="1"/>
  <c r="M355" i="3"/>
  <c r="N355" i="3" s="1"/>
  <c r="O355" i="3" s="1"/>
  <c r="M214" i="3"/>
  <c r="N214" i="3" s="1"/>
  <c r="O214" i="3" s="1"/>
  <c r="M287" i="3"/>
  <c r="N287" i="3" s="1"/>
  <c r="O287" i="3" s="1"/>
  <c r="M194" i="3"/>
  <c r="N194" i="3" s="1"/>
  <c r="O194" i="3" s="1"/>
  <c r="M472" i="3"/>
  <c r="N472" i="3" s="1"/>
  <c r="O472" i="3" s="1"/>
  <c r="M227" i="3"/>
  <c r="N227" i="3" s="1"/>
  <c r="O227" i="3" s="1"/>
  <c r="M79" i="3"/>
  <c r="N79" i="3" s="1"/>
  <c r="O79" i="3" s="1"/>
  <c r="M330" i="3"/>
  <c r="N330" i="3" s="1"/>
  <c r="O330" i="3" s="1"/>
  <c r="M441" i="3"/>
  <c r="N441" i="3" s="1"/>
  <c r="O441" i="3" s="1"/>
  <c r="M176" i="3"/>
  <c r="N176" i="3" s="1"/>
  <c r="O176" i="3" s="1"/>
  <c r="M221" i="3"/>
  <c r="N221" i="3" s="1"/>
  <c r="O221" i="3" s="1"/>
  <c r="M124" i="3"/>
  <c r="N124" i="3" s="1"/>
  <c r="O124" i="3" s="1"/>
  <c r="M306" i="3"/>
  <c r="N306" i="3" s="1"/>
  <c r="O306" i="3" s="1"/>
  <c r="M347" i="3"/>
  <c r="N347" i="3" s="1"/>
  <c r="O347" i="3" s="1"/>
  <c r="M100" i="3"/>
  <c r="N100" i="3" s="1"/>
  <c r="O100" i="3" s="1"/>
  <c r="M159" i="3"/>
  <c r="N159" i="3" s="1"/>
  <c r="O159" i="3" s="1"/>
  <c r="M419" i="3"/>
  <c r="N419" i="3" s="1"/>
  <c r="O419" i="3" s="1"/>
  <c r="M399" i="3"/>
  <c r="N399" i="3" s="1"/>
  <c r="O399" i="3" s="1"/>
  <c r="M379" i="3"/>
  <c r="N379" i="3" s="1"/>
  <c r="O379" i="3" s="1"/>
  <c r="M177" i="3"/>
  <c r="N177" i="3" s="1"/>
  <c r="O177" i="3" s="1"/>
  <c r="M229" i="3"/>
  <c r="N229" i="3" s="1"/>
  <c r="O229" i="3" s="1"/>
  <c r="M29" i="3"/>
  <c r="N29" i="3" s="1"/>
  <c r="O29" i="3" s="1"/>
  <c r="M7" i="3"/>
  <c r="N7" i="3" s="1"/>
  <c r="O7" i="3" s="1"/>
  <c r="J6" i="3" l="1"/>
  <c r="J10" i="3" s="1"/>
  <c r="J9" i="3"/>
  <c r="J11" i="3" l="1"/>
  <c r="P472" i="3" s="1"/>
  <c r="H473" i="1" s="1"/>
  <c r="L473" i="1" s="1"/>
  <c r="P421" i="3"/>
  <c r="H422" i="1" s="1"/>
  <c r="L422" i="1" s="1"/>
  <c r="P451" i="3"/>
  <c r="H452" i="1" s="1"/>
  <c r="L452" i="1" s="1"/>
  <c r="P467" i="3"/>
  <c r="H468" i="1" s="1"/>
  <c r="L468" i="1" s="1"/>
  <c r="P292" i="3"/>
  <c r="H293" i="1" s="1"/>
  <c r="L293" i="1" s="1"/>
  <c r="P478" i="3"/>
  <c r="H479" i="1" s="1"/>
  <c r="L479" i="1" s="1"/>
  <c r="P4" i="3"/>
  <c r="H5" i="1" s="1"/>
  <c r="L5" i="1" s="1"/>
  <c r="P196" i="3"/>
  <c r="H197" i="1" s="1"/>
  <c r="L197" i="1" s="1"/>
  <c r="P216" i="3"/>
  <c r="H217" i="1" s="1"/>
  <c r="L217" i="1" s="1"/>
  <c r="P258" i="3"/>
  <c r="H259" i="1" s="1"/>
  <c r="L259" i="1" s="1"/>
  <c r="P321" i="3"/>
  <c r="H322" i="1" s="1"/>
  <c r="L322" i="1" s="1"/>
  <c r="P45" i="3"/>
  <c r="H46" i="1" s="1"/>
  <c r="L46" i="1" s="1"/>
  <c r="P181" i="3"/>
  <c r="H182" i="1" s="1"/>
  <c r="L182" i="1" s="1"/>
  <c r="P107" i="3"/>
  <c r="H108" i="1" s="1"/>
  <c r="L108" i="1" s="1"/>
  <c r="P189" i="3"/>
  <c r="H190" i="1" s="1"/>
  <c r="L190" i="1" s="1"/>
  <c r="P376" i="3"/>
  <c r="H377" i="1" s="1"/>
  <c r="L377" i="1" s="1"/>
  <c r="P56" i="3"/>
  <c r="H57" i="1" s="1"/>
  <c r="L57" i="1" s="1"/>
  <c r="P27" i="3"/>
  <c r="H28" i="1" s="1"/>
  <c r="L28" i="1" s="1"/>
  <c r="P342" i="3"/>
  <c r="H343" i="1" s="1"/>
  <c r="L343" i="1" s="1"/>
  <c r="P398" i="3"/>
  <c r="H399" i="1" s="1"/>
  <c r="L399" i="1" s="1"/>
  <c r="P450" i="3"/>
  <c r="H451" i="1" s="1"/>
  <c r="L451" i="1" s="1"/>
  <c r="P296" i="3"/>
  <c r="H297" i="1" s="1"/>
  <c r="L297" i="1" s="1"/>
  <c r="P147" i="3"/>
  <c r="H148" i="1" s="1"/>
  <c r="L148" i="1" s="1"/>
  <c r="P47" i="3"/>
  <c r="H48" i="1" s="1"/>
  <c r="L48" i="1" s="1"/>
  <c r="P157" i="3"/>
  <c r="H158" i="1" s="1"/>
  <c r="L158" i="1" s="1"/>
  <c r="P39" i="3"/>
  <c r="H40" i="1" s="1"/>
  <c r="L40" i="1" s="1"/>
  <c r="P144" i="3"/>
  <c r="H145" i="1" s="1"/>
  <c r="L145" i="1" s="1"/>
  <c r="P106" i="3"/>
  <c r="H107" i="1" s="1"/>
  <c r="L107" i="1" s="1"/>
  <c r="P360" i="3"/>
  <c r="H361" i="1" s="1"/>
  <c r="L361" i="1" s="1"/>
  <c r="P9" i="3"/>
  <c r="H10" i="1" s="1"/>
  <c r="L10" i="1" s="1"/>
  <c r="P221" i="3"/>
  <c r="H222" i="1" s="1"/>
  <c r="L222" i="1" s="1"/>
  <c r="P100" i="3"/>
  <c r="H101" i="1" s="1"/>
  <c r="L101" i="1" s="1"/>
  <c r="P215" i="3"/>
  <c r="H216" i="1" s="1"/>
  <c r="L216" i="1" s="1"/>
  <c r="P392" i="3"/>
  <c r="H393" i="1" s="1"/>
  <c r="L393" i="1" s="1"/>
  <c r="P454" i="3"/>
  <c r="H455" i="1" s="1"/>
  <c r="L455" i="1" s="1"/>
  <c r="P24" i="3"/>
  <c r="H25" i="1" s="1"/>
  <c r="L25" i="1" s="1"/>
  <c r="P268" i="3"/>
  <c r="H269" i="1" s="1"/>
  <c r="L269" i="1" s="1"/>
  <c r="P325" i="3"/>
  <c r="H326" i="1" s="1"/>
  <c r="L326" i="1" s="1"/>
  <c r="P161" i="3"/>
  <c r="H162" i="1" s="1"/>
  <c r="L162" i="1" s="1"/>
  <c r="P234" i="3"/>
  <c r="H235" i="1" s="1"/>
  <c r="L235" i="1" s="1"/>
  <c r="P83" i="3"/>
  <c r="H84" i="1" s="1"/>
  <c r="L84" i="1" s="1"/>
  <c r="P212" i="3"/>
  <c r="H213" i="1" s="1"/>
  <c r="L213" i="1" s="1"/>
  <c r="P21" i="3"/>
  <c r="H22" i="1" s="1"/>
  <c r="L22" i="1" s="1"/>
  <c r="P400" i="3"/>
  <c r="H401" i="1" s="1"/>
  <c r="L401" i="1" s="1"/>
  <c r="P78" i="3"/>
  <c r="H79" i="1" s="1"/>
  <c r="L79" i="1" s="1"/>
  <c r="P280" i="3"/>
  <c r="H281" i="1" s="1"/>
  <c r="L281" i="1" s="1"/>
  <c r="P222" i="3"/>
  <c r="H223" i="1" s="1"/>
  <c r="L223" i="1" s="1"/>
  <c r="P326" i="3"/>
  <c r="H327" i="1" s="1"/>
  <c r="L327" i="1" s="1"/>
  <c r="P64" i="3"/>
  <c r="H65" i="1" s="1"/>
  <c r="L65" i="1" s="1"/>
  <c r="P43" i="3"/>
  <c r="H44" i="1" s="1"/>
  <c r="L44" i="1" s="1"/>
  <c r="P72" i="3"/>
  <c r="H73" i="1" s="1"/>
  <c r="L73" i="1" s="1"/>
  <c r="P369" i="3"/>
  <c r="H370" i="1" s="1"/>
  <c r="L370" i="1" s="1"/>
  <c r="P323" i="3"/>
  <c r="H324" i="1" s="1"/>
  <c r="L324" i="1" s="1"/>
  <c r="P150" i="3"/>
  <c r="H151" i="1" s="1"/>
  <c r="L151" i="1" s="1"/>
  <c r="P242" i="3"/>
  <c r="H243" i="1" s="1"/>
  <c r="L243" i="1" s="1"/>
  <c r="P366" i="3"/>
  <c r="H367" i="1" s="1"/>
  <c r="L367" i="1" s="1"/>
  <c r="P261" i="3"/>
  <c r="H262" i="1" s="1"/>
  <c r="L262" i="1" s="1"/>
  <c r="P66" i="3"/>
  <c r="H67" i="1" s="1"/>
  <c r="L67" i="1" s="1"/>
  <c r="P134" i="3"/>
  <c r="H135" i="1" s="1"/>
  <c r="L135" i="1" s="1"/>
  <c r="P397" i="3"/>
  <c r="H398" i="1" s="1"/>
  <c r="L398" i="1" s="1"/>
  <c r="P349" i="3"/>
  <c r="H350" i="1" s="1"/>
  <c r="L350" i="1" s="1"/>
  <c r="P98" i="3"/>
  <c r="H99" i="1" s="1"/>
  <c r="L99" i="1" s="1"/>
  <c r="P417" i="3"/>
  <c r="H418" i="1" s="1"/>
  <c r="L418" i="1" s="1"/>
  <c r="P310" i="3"/>
  <c r="H311" i="1" s="1"/>
  <c r="L311" i="1" s="1"/>
  <c r="P38" i="3"/>
  <c r="H39" i="1" s="1"/>
  <c r="L39" i="1" s="1"/>
  <c r="P262" i="3"/>
  <c r="H263" i="1" s="1"/>
  <c r="L263" i="1" s="1"/>
  <c r="P170" i="3"/>
  <c r="H171" i="1" s="1"/>
  <c r="L171" i="1" s="1"/>
  <c r="P408" i="3"/>
  <c r="H409" i="1" s="1"/>
  <c r="L409" i="1" s="1"/>
  <c r="P351" i="3"/>
  <c r="H352" i="1" s="1"/>
  <c r="L352" i="1" s="1"/>
  <c r="P288" i="3"/>
  <c r="H289" i="1" s="1"/>
  <c r="L289" i="1" s="1"/>
  <c r="P149" i="3"/>
  <c r="H150" i="1" s="1"/>
  <c r="L150" i="1" s="1"/>
  <c r="P232" i="3"/>
  <c r="H233" i="1" s="1"/>
  <c r="L233" i="1" s="1"/>
  <c r="P348" i="3"/>
  <c r="H349" i="1" s="1"/>
  <c r="L349" i="1" s="1"/>
  <c r="P127" i="3"/>
  <c r="H128" i="1" s="1"/>
  <c r="L128" i="1" s="1"/>
  <c r="P367" i="3"/>
  <c r="H368" i="1" s="1"/>
  <c r="L368" i="1" s="1"/>
  <c r="P22" i="3"/>
  <c r="H23" i="1" s="1"/>
  <c r="L23" i="1" s="1"/>
  <c r="P197" i="3"/>
  <c r="H198" i="1" s="1"/>
  <c r="L198" i="1" s="1"/>
  <c r="P58" i="3"/>
  <c r="H59" i="1" s="1"/>
  <c r="L59" i="1" s="1"/>
  <c r="P231" i="3"/>
  <c r="H232" i="1" s="1"/>
  <c r="L232" i="1" s="1"/>
  <c r="P276" i="3"/>
  <c r="H277" i="1" s="1"/>
  <c r="L277" i="1" s="1"/>
  <c r="P108" i="3"/>
  <c r="H109" i="1" s="1"/>
  <c r="L109" i="1" s="1"/>
  <c r="P132" i="3"/>
  <c r="H133" i="1" s="1"/>
  <c r="L133" i="1" s="1"/>
  <c r="P74" i="3"/>
  <c r="H75" i="1" s="1"/>
  <c r="L75" i="1" s="1"/>
  <c r="P289" i="3"/>
  <c r="H290" i="1" s="1"/>
  <c r="L290" i="1" s="1"/>
  <c r="P271" i="3"/>
  <c r="H272" i="1" s="1"/>
  <c r="L272" i="1" s="1"/>
  <c r="P358" i="3"/>
  <c r="H359" i="1" s="1"/>
  <c r="L359" i="1" s="1"/>
  <c r="P439" i="3"/>
  <c r="H440" i="1" s="1"/>
  <c r="L440" i="1" s="1"/>
  <c r="P244" i="3"/>
  <c r="H245" i="1" s="1"/>
  <c r="L245" i="1" s="1"/>
  <c r="P193" i="3"/>
  <c r="H194" i="1" s="1"/>
  <c r="L194" i="1" s="1"/>
  <c r="P192" i="3"/>
  <c r="H193" i="1" s="1"/>
  <c r="L193" i="1" s="1"/>
  <c r="P422" i="3"/>
  <c r="H423" i="1" s="1"/>
  <c r="L423" i="1" s="1"/>
  <c r="P8" i="3"/>
  <c r="H9" i="1" s="1"/>
  <c r="L9" i="1" s="1"/>
  <c r="P299" i="3"/>
  <c r="H300" i="1" s="1"/>
  <c r="L300" i="1" s="1"/>
  <c r="P308" i="3"/>
  <c r="H309" i="1" s="1"/>
  <c r="L309" i="1" s="1"/>
  <c r="P69" i="3"/>
  <c r="H70" i="1" s="1"/>
  <c r="L70" i="1" s="1"/>
  <c r="P53" i="3"/>
  <c r="H54" i="1" s="1"/>
  <c r="L54" i="1" s="1"/>
  <c r="P389" i="3"/>
  <c r="H390" i="1" s="1"/>
  <c r="L390" i="1" s="1"/>
  <c r="P226" i="3"/>
  <c r="H227" i="1" s="1"/>
  <c r="L227" i="1" s="1"/>
  <c r="P355" i="3"/>
  <c r="H356" i="1" s="1"/>
  <c r="L356" i="1" s="1"/>
  <c r="P227" i="3"/>
  <c r="H228" i="1" s="1"/>
  <c r="L228" i="1" s="1"/>
  <c r="P32" i="3"/>
  <c r="H33" i="1" s="1"/>
  <c r="L33" i="1" s="1"/>
  <c r="P286" i="3"/>
  <c r="H287" i="1" s="1"/>
  <c r="L287" i="1" s="1"/>
  <c r="P199" i="3"/>
  <c r="H200" i="1" s="1"/>
  <c r="L200" i="1" s="1"/>
  <c r="P452" i="3"/>
  <c r="H453" i="1" s="1"/>
  <c r="L453" i="1" s="1"/>
  <c r="P352" i="3"/>
  <c r="H353" i="1" s="1"/>
  <c r="L353" i="1" s="1"/>
  <c r="P407" i="3"/>
  <c r="H408" i="1" s="1"/>
  <c r="L408" i="1" s="1"/>
  <c r="P432" i="3"/>
  <c r="H433" i="1" s="1"/>
  <c r="L433" i="1" s="1"/>
  <c r="P137" i="3"/>
  <c r="H138" i="1" s="1"/>
  <c r="L138" i="1" s="1"/>
  <c r="P164" i="3"/>
  <c r="H165" i="1" s="1"/>
  <c r="L165" i="1" s="1"/>
  <c r="P259" i="3"/>
  <c r="H260" i="1" s="1"/>
  <c r="L260" i="1" s="1"/>
  <c r="P396" i="3"/>
  <c r="H397" i="1" s="1"/>
  <c r="L397" i="1" s="1"/>
  <c r="P345" i="3"/>
  <c r="H346" i="1" s="1"/>
  <c r="L346" i="1" s="1"/>
  <c r="P313" i="3"/>
  <c r="H314" i="1" s="1"/>
  <c r="L314" i="1" s="1"/>
  <c r="P70" i="3"/>
  <c r="H71" i="1" s="1"/>
  <c r="L71" i="1" s="1"/>
  <c r="P158" i="3"/>
  <c r="H159" i="1" s="1"/>
  <c r="L159" i="1" s="1"/>
  <c r="P330" i="3"/>
  <c r="H331" i="1" s="1"/>
  <c r="L331" i="1" s="1"/>
  <c r="P124" i="3"/>
  <c r="H125" i="1" s="1"/>
  <c r="L125" i="1" s="1"/>
  <c r="P159" i="3"/>
  <c r="H160" i="1" s="1"/>
  <c r="L160" i="1" s="1"/>
  <c r="P177" i="3"/>
  <c r="H178" i="1" s="1"/>
  <c r="L178" i="1" s="1"/>
  <c r="P474" i="3"/>
  <c r="H475" i="1" s="1"/>
  <c r="L475" i="1" s="1"/>
  <c r="P168" i="3"/>
  <c r="H169" i="1" s="1"/>
  <c r="L169" i="1" s="1"/>
  <c r="P208" i="3"/>
  <c r="H209" i="1" s="1"/>
  <c r="L209" i="1" s="1"/>
  <c r="P223" i="3"/>
  <c r="H224" i="1" s="1"/>
  <c r="L224" i="1" s="1"/>
  <c r="P278" i="3"/>
  <c r="H279" i="1" s="1"/>
  <c r="L279" i="1" s="1"/>
  <c r="P36" i="3"/>
  <c r="H37" i="1" s="1"/>
  <c r="L37" i="1" s="1"/>
  <c r="P84" i="3"/>
  <c r="H85" i="1" s="1"/>
  <c r="L85" i="1" s="1"/>
  <c r="P126" i="3"/>
  <c r="H127" i="1" s="1"/>
  <c r="L127" i="1" s="1"/>
  <c r="P291" i="3"/>
  <c r="H292" i="1" s="1"/>
  <c r="L292" i="1" s="1"/>
  <c r="P165" i="3"/>
  <c r="H166" i="1" s="1"/>
  <c r="L166" i="1" s="1"/>
  <c r="P476" i="3"/>
  <c r="H477" i="1" s="1"/>
  <c r="L477" i="1" s="1"/>
  <c r="P113" i="3"/>
  <c r="H114" i="1" s="1"/>
  <c r="L114" i="1" s="1"/>
  <c r="P68" i="3"/>
  <c r="H69" i="1" s="1"/>
  <c r="L69" i="1" s="1"/>
  <c r="P92" i="3"/>
  <c r="H93" i="1" s="1"/>
  <c r="L93" i="1" s="1"/>
  <c r="P88" i="3"/>
  <c r="H89" i="1" s="1"/>
  <c r="L89" i="1" s="1"/>
  <c r="P2" i="3"/>
  <c r="P309" i="3"/>
  <c r="H310" i="1" s="1"/>
  <c r="L310" i="1" s="1"/>
  <c r="P111" i="3"/>
  <c r="H112" i="1" s="1"/>
  <c r="L112" i="1" s="1"/>
  <c r="P183" i="3"/>
  <c r="H184" i="1" s="1"/>
  <c r="L184" i="1" s="1"/>
  <c r="P447" i="3"/>
  <c r="H448" i="1" s="1"/>
  <c r="L448" i="1" s="1"/>
  <c r="P444" i="3"/>
  <c r="H445" i="1" s="1"/>
  <c r="L445" i="1" s="1"/>
  <c r="P235" i="3"/>
  <c r="H236" i="1" s="1"/>
  <c r="L236" i="1" s="1"/>
  <c r="P18" i="3"/>
  <c r="H19" i="1" s="1"/>
  <c r="L19" i="1" s="1"/>
  <c r="P95" i="3"/>
  <c r="H96" i="1" s="1"/>
  <c r="L96" i="1" s="1"/>
  <c r="P350" i="3"/>
  <c r="H351" i="1" s="1"/>
  <c r="L351" i="1" s="1"/>
  <c r="P295" i="3"/>
  <c r="H296" i="1" s="1"/>
  <c r="L296" i="1" s="1"/>
  <c r="P249" i="3"/>
  <c r="H250" i="1" s="1"/>
  <c r="L250" i="1" s="1"/>
  <c r="P163" i="3"/>
  <c r="H164" i="1" s="1"/>
  <c r="L164" i="1" s="1"/>
  <c r="P140" i="3"/>
  <c r="H141" i="1" s="1"/>
  <c r="L141" i="1" s="1"/>
  <c r="P433" i="3"/>
  <c r="H434" i="1" s="1"/>
  <c r="L434" i="1" s="1"/>
  <c r="P3" i="3"/>
  <c r="H4" i="1" s="1"/>
  <c r="L4" i="1" s="1"/>
  <c r="P327" i="3"/>
  <c r="H328" i="1" s="1"/>
  <c r="L328" i="1" s="1"/>
  <c r="P218" i="3"/>
  <c r="H219" i="1" s="1"/>
  <c r="L219" i="1" s="1"/>
  <c r="P228" i="3"/>
  <c r="H229" i="1" s="1"/>
  <c r="L229" i="1" s="1"/>
  <c r="P354" i="3"/>
  <c r="H355" i="1" s="1"/>
  <c r="L355" i="1" s="1"/>
  <c r="P247" i="3"/>
  <c r="H248" i="1" s="1"/>
  <c r="L248" i="1" s="1"/>
  <c r="P90" i="3"/>
  <c r="H91" i="1" s="1"/>
  <c r="L91" i="1" s="1"/>
  <c r="P155" i="3"/>
  <c r="H156" i="1" s="1"/>
  <c r="L156" i="1" s="1"/>
  <c r="P109" i="3"/>
  <c r="H110" i="1" s="1"/>
  <c r="L110" i="1" s="1"/>
  <c r="P23" i="3"/>
  <c r="H24" i="1" s="1"/>
  <c r="L24" i="1" s="1"/>
  <c r="P201" i="3"/>
  <c r="H202" i="1" s="1"/>
  <c r="L202" i="1" s="1"/>
  <c r="P341" i="3"/>
  <c r="H342" i="1" s="1"/>
  <c r="L342" i="1" s="1"/>
  <c r="P413" i="3"/>
  <c r="H414" i="1" s="1"/>
  <c r="L414" i="1" s="1"/>
  <c r="P314" i="3"/>
  <c r="H315" i="1" s="1"/>
  <c r="L315" i="1" s="1"/>
  <c r="P48" i="3"/>
  <c r="H49" i="1" s="1"/>
  <c r="L49" i="1" s="1"/>
  <c r="P136" i="3"/>
  <c r="H137" i="1" s="1"/>
  <c r="L137" i="1" s="1"/>
  <c r="P252" i="3"/>
  <c r="H253" i="1" s="1"/>
  <c r="L253" i="1" s="1"/>
  <c r="P182" i="3"/>
  <c r="H183" i="1" s="1"/>
  <c r="L183" i="1" s="1"/>
  <c r="P402" i="3"/>
  <c r="H403" i="1" s="1"/>
  <c r="L403" i="1" s="1"/>
  <c r="P374" i="3"/>
  <c r="H375" i="1" s="1"/>
  <c r="L375" i="1" s="1"/>
  <c r="P469" i="3"/>
  <c r="H470" i="1" s="1"/>
  <c r="L470" i="1" s="1"/>
  <c r="P312" i="3"/>
  <c r="H313" i="1" s="1"/>
  <c r="L313" i="1" s="1"/>
  <c r="P346" i="3"/>
  <c r="H347" i="1" s="1"/>
  <c r="L347" i="1" s="1"/>
  <c r="P305" i="3"/>
  <c r="H306" i="1" s="1"/>
  <c r="L306" i="1" s="1"/>
  <c r="P481" i="3"/>
  <c r="H482" i="1" s="1"/>
  <c r="L482" i="1" s="1"/>
  <c r="P169" i="3"/>
  <c r="H170" i="1" s="1"/>
  <c r="L170" i="1" s="1"/>
  <c r="P404" i="3"/>
  <c r="H405" i="1" s="1"/>
  <c r="L405" i="1" s="1"/>
  <c r="P416" i="3"/>
  <c r="H417" i="1" s="1"/>
  <c r="L417" i="1" s="1"/>
  <c r="P406" i="3"/>
  <c r="H407" i="1" s="1"/>
  <c r="L407" i="1" s="1"/>
  <c r="P275" i="3"/>
  <c r="H276" i="1" s="1"/>
  <c r="L276" i="1" s="1"/>
  <c r="P255" i="3"/>
  <c r="H256" i="1" s="1"/>
  <c r="L256" i="1" s="1"/>
  <c r="P20" i="3"/>
  <c r="H21" i="1" s="1"/>
  <c r="L21" i="1" s="1"/>
  <c r="P458" i="3"/>
  <c r="H459" i="1" s="1"/>
  <c r="L459" i="1" s="1"/>
  <c r="P156" i="3"/>
  <c r="H157" i="1" s="1"/>
  <c r="L157" i="1" s="1"/>
  <c r="P121" i="3"/>
  <c r="H122" i="1" s="1"/>
  <c r="L122" i="1" s="1"/>
  <c r="P277" i="3"/>
  <c r="H278" i="1" s="1"/>
  <c r="L278" i="1" s="1"/>
  <c r="P290" i="3"/>
  <c r="H291" i="1" s="1"/>
  <c r="L291" i="1" s="1"/>
  <c r="P487" i="3"/>
  <c r="H488" i="1" s="1"/>
  <c r="L488" i="1" s="1"/>
  <c r="P143" i="3"/>
  <c r="H144" i="1" s="1"/>
  <c r="L144" i="1" s="1"/>
  <c r="P442" i="3"/>
  <c r="H443" i="1" s="1"/>
  <c r="L443" i="1" s="1"/>
  <c r="P378" i="3"/>
  <c r="H379" i="1" s="1"/>
  <c r="L379" i="1" s="1"/>
  <c r="P54" i="3"/>
  <c r="H55" i="1" s="1"/>
  <c r="L55" i="1" s="1"/>
  <c r="P142" i="3"/>
  <c r="H143" i="1" s="1"/>
  <c r="L143" i="1" s="1"/>
  <c r="P81" i="3"/>
  <c r="H82" i="1" s="1"/>
  <c r="L82" i="1" s="1"/>
  <c r="P324" i="3"/>
  <c r="H325" i="1" s="1"/>
  <c r="L325" i="1" s="1"/>
  <c r="P240" i="3"/>
  <c r="H241" i="1" s="1"/>
  <c r="L241" i="1" s="1"/>
  <c r="P387" i="3"/>
  <c r="H388" i="1" s="1"/>
  <c r="L388" i="1" s="1"/>
  <c r="P130" i="3"/>
  <c r="H131" i="1" s="1"/>
  <c r="L131" i="1" s="1"/>
  <c r="P71" i="3"/>
  <c r="H72" i="1" s="1"/>
  <c r="L72" i="1" s="1"/>
  <c r="P281" i="3"/>
  <c r="H282" i="1" s="1"/>
  <c r="L282" i="1" s="1"/>
  <c r="P328" i="3"/>
  <c r="H329" i="1" s="1"/>
  <c r="L329" i="1" s="1"/>
  <c r="P206" i="3"/>
  <c r="H207" i="1" s="1"/>
  <c r="L207" i="1" s="1"/>
  <c r="P85" i="3"/>
  <c r="H86" i="1" s="1"/>
  <c r="L86" i="1" s="1"/>
  <c r="P91" i="3"/>
  <c r="H92" i="1" s="1"/>
  <c r="L92" i="1" s="1"/>
  <c r="P172" i="3"/>
  <c r="H173" i="1" s="1"/>
  <c r="L173" i="1" s="1"/>
  <c r="P411" i="3"/>
  <c r="H412" i="1" s="1"/>
  <c r="L412" i="1" s="1"/>
  <c r="P205" i="3"/>
  <c r="H206" i="1" s="1"/>
  <c r="L206" i="1" s="1"/>
  <c r="P46" i="3"/>
  <c r="H47" i="1" s="1"/>
  <c r="L47" i="1" s="1"/>
  <c r="P148" i="3"/>
  <c r="H149" i="1" s="1"/>
  <c r="L149" i="1" s="1"/>
  <c r="P16" i="3"/>
  <c r="H17" i="1" s="1"/>
  <c r="L17" i="1" s="1"/>
  <c r="P12" i="3"/>
  <c r="H13" i="1" s="1"/>
  <c r="L13" i="1" s="1"/>
  <c r="P424" i="3"/>
  <c r="H425" i="1" s="1"/>
  <c r="L425" i="1" s="1"/>
  <c r="P171" i="3"/>
  <c r="H172" i="1" s="1"/>
  <c r="L172" i="1" s="1"/>
  <c r="P214" i="3"/>
  <c r="H215" i="1" s="1"/>
  <c r="L215" i="1" s="1"/>
  <c r="P79" i="3"/>
  <c r="H80" i="1" s="1"/>
  <c r="L80" i="1" s="1"/>
  <c r="P377" i="3"/>
  <c r="H378" i="1" s="1"/>
  <c r="L378" i="1" s="1"/>
  <c r="P293" i="3"/>
  <c r="H294" i="1" s="1"/>
  <c r="L294" i="1" s="1"/>
  <c r="P453" i="3"/>
  <c r="H454" i="1" s="1"/>
  <c r="L454" i="1" s="1"/>
  <c r="P316" i="3"/>
  <c r="H317" i="1" s="1"/>
  <c r="L317" i="1" s="1"/>
  <c r="P466" i="3"/>
  <c r="H467" i="1" s="1"/>
  <c r="L467" i="1" s="1"/>
  <c r="P480" i="3"/>
  <c r="H481" i="1" s="1"/>
  <c r="L481" i="1" s="1"/>
  <c r="P202" i="3"/>
  <c r="H203" i="1" s="1"/>
  <c r="L203" i="1" s="1"/>
  <c r="P461" i="3"/>
  <c r="H462" i="1" s="1"/>
  <c r="L462" i="1" s="1"/>
  <c r="P370" i="3"/>
  <c r="H371" i="1" s="1"/>
  <c r="L371" i="1" s="1"/>
  <c r="P102" i="3"/>
  <c r="H103" i="1" s="1"/>
  <c r="L103" i="1" s="1"/>
  <c r="P101" i="3"/>
  <c r="H102" i="1" s="1"/>
  <c r="L102" i="1" s="1"/>
  <c r="P319" i="3"/>
  <c r="H320" i="1" s="1"/>
  <c r="L320" i="1" s="1"/>
  <c r="P96" i="3"/>
  <c r="H97" i="1" s="1"/>
  <c r="L97" i="1" s="1"/>
  <c r="P334" i="3"/>
  <c r="H335" i="1" s="1"/>
  <c r="L335" i="1" s="1"/>
  <c r="P51" i="3"/>
  <c r="H52" i="1" s="1"/>
  <c r="L52" i="1" s="1"/>
  <c r="P441" i="3"/>
  <c r="H442" i="1" s="1"/>
  <c r="L442" i="1" s="1"/>
  <c r="P306" i="3"/>
  <c r="H307" i="1" s="1"/>
  <c r="L307" i="1" s="1"/>
  <c r="P419" i="3"/>
  <c r="H420" i="1" s="1"/>
  <c r="L420" i="1" s="1"/>
  <c r="P229" i="3"/>
  <c r="H230" i="1" s="1"/>
  <c r="L230" i="1" s="1"/>
  <c r="P270" i="3"/>
  <c r="H271" i="1" s="1"/>
  <c r="L271" i="1" s="1"/>
  <c r="P401" i="3"/>
  <c r="H402" i="1" s="1"/>
  <c r="L402" i="1" s="1"/>
  <c r="P423" i="3"/>
  <c r="H424" i="1" s="1"/>
  <c r="L424" i="1" s="1"/>
  <c r="P200" i="3"/>
  <c r="H201" i="1" s="1"/>
  <c r="L201" i="1" s="1"/>
  <c r="P135" i="3"/>
  <c r="H136" i="1" s="1"/>
  <c r="L136" i="1" s="1"/>
  <c r="P274" i="3"/>
  <c r="H275" i="1" s="1"/>
  <c r="L275" i="1" s="1"/>
  <c r="P59" i="3"/>
  <c r="H60" i="1" s="1"/>
  <c r="L60" i="1" s="1"/>
  <c r="P117" i="3"/>
  <c r="H118" i="1" s="1"/>
  <c r="L118" i="1" s="1"/>
  <c r="P390" i="3"/>
  <c r="H391" i="1" s="1"/>
  <c r="L391" i="1" s="1"/>
  <c r="P188" i="3"/>
  <c r="H189" i="1" s="1"/>
  <c r="L189" i="1" s="1"/>
  <c r="P77" i="3"/>
  <c r="H78" i="1" s="1"/>
  <c r="L78" i="1" s="1"/>
  <c r="P420" i="3"/>
  <c r="H421" i="1" s="1"/>
  <c r="L421" i="1" s="1"/>
  <c r="P93" i="3"/>
  <c r="H94" i="1" s="1"/>
  <c r="L94" i="1" s="1"/>
  <c r="P437" i="3"/>
  <c r="H438" i="1" s="1"/>
  <c r="L438" i="1" s="1"/>
  <c r="P359" i="3"/>
  <c r="H360" i="1" s="1"/>
  <c r="L360" i="1" s="1"/>
  <c r="P368" i="3"/>
  <c r="H369" i="1" s="1"/>
  <c r="L369" i="1" s="1"/>
  <c r="P429" i="3"/>
  <c r="H430" i="1" s="1"/>
  <c r="L430" i="1" s="1"/>
  <c r="P394" i="3"/>
  <c r="H395" i="1" s="1"/>
  <c r="L395" i="1" s="1"/>
  <c r="P99" i="3"/>
  <c r="H100" i="1" s="1"/>
  <c r="L100" i="1" s="1"/>
  <c r="P243" i="3"/>
  <c r="H244" i="1" s="1"/>
  <c r="L244" i="1" s="1"/>
  <c r="P141" i="3"/>
  <c r="H142" i="1" s="1"/>
  <c r="L142" i="1" s="1"/>
  <c r="P138" i="3"/>
  <c r="H139" i="1" s="1"/>
  <c r="L139" i="1" s="1"/>
  <c r="P343" i="3"/>
  <c r="H344" i="1" s="1"/>
  <c r="L344" i="1" s="1"/>
  <c r="P6" i="3"/>
  <c r="H7" i="1" s="1"/>
  <c r="L7" i="1" s="1"/>
  <c r="P239" i="3"/>
  <c r="H240" i="1" s="1"/>
  <c r="L240" i="1" s="1"/>
  <c r="P25" i="3"/>
  <c r="H26" i="1" s="1"/>
  <c r="L26" i="1" s="1"/>
  <c r="P14" i="3"/>
  <c r="H15" i="1" s="1"/>
  <c r="L15" i="1" s="1"/>
  <c r="P225" i="3"/>
  <c r="H226" i="1" s="1"/>
  <c r="L226" i="1" s="1"/>
  <c r="P26" i="3"/>
  <c r="H27" i="1" s="1"/>
  <c r="L27" i="1" s="1"/>
  <c r="P184" i="3"/>
  <c r="H185" i="1" s="1"/>
  <c r="L185" i="1" s="1"/>
  <c r="P318" i="3"/>
  <c r="H319" i="1" s="1"/>
  <c r="L319" i="1" s="1"/>
  <c r="P145" i="3"/>
  <c r="H146" i="1" s="1"/>
  <c r="L146" i="1" s="1"/>
  <c r="P75" i="3"/>
  <c r="H76" i="1" s="1"/>
  <c r="L76" i="1" s="1"/>
  <c r="P282" i="3"/>
  <c r="H283" i="1" s="1"/>
  <c r="L283" i="1" s="1"/>
  <c r="P488" i="3"/>
  <c r="H489" i="1" s="1"/>
  <c r="L489" i="1" s="1"/>
  <c r="P484" i="3"/>
  <c r="H485" i="1" s="1"/>
  <c r="L485" i="1" s="1"/>
  <c r="P217" i="3"/>
  <c r="H218" i="1" s="1"/>
  <c r="L218" i="1" s="1"/>
  <c r="P187" i="3"/>
  <c r="H188" i="1" s="1"/>
  <c r="L188" i="1" s="1"/>
  <c r="P190" i="3"/>
  <c r="H191" i="1" s="1"/>
  <c r="L191" i="1" s="1"/>
  <c r="P489" i="3"/>
  <c r="H490" i="1" s="1"/>
  <c r="L490" i="1" s="1"/>
  <c r="P41" i="3"/>
  <c r="H42" i="1" s="1"/>
  <c r="L42" i="1" s="1"/>
  <c r="P333" i="3"/>
  <c r="H334" i="1" s="1"/>
  <c r="L334" i="1" s="1"/>
  <c r="P302" i="3"/>
  <c r="H303" i="1" s="1"/>
  <c r="L303" i="1" s="1"/>
  <c r="P462" i="3"/>
  <c r="H463" i="1" s="1"/>
  <c r="L463" i="1" s="1"/>
  <c r="P297" i="3"/>
  <c r="H298" i="1" s="1"/>
  <c r="L298" i="1" s="1"/>
  <c r="P264" i="3"/>
  <c r="H265" i="1" s="1"/>
  <c r="L265" i="1" s="1"/>
  <c r="P5" i="3"/>
  <c r="H6" i="1" s="1"/>
  <c r="L6" i="1" s="1"/>
  <c r="P180" i="3"/>
  <c r="H181" i="1" s="1"/>
  <c r="L181" i="1" s="1"/>
  <c r="P428" i="3"/>
  <c r="H429" i="1" s="1"/>
  <c r="L429" i="1" s="1"/>
  <c r="P393" i="3"/>
  <c r="H394" i="1" s="1"/>
  <c r="L394" i="1" s="1"/>
  <c r="P477" i="3"/>
  <c r="H478" i="1" s="1"/>
  <c r="L478" i="1" s="1"/>
  <c r="P344" i="3"/>
  <c r="H345" i="1" s="1"/>
  <c r="L345" i="1" s="1"/>
  <c r="P361" i="3"/>
  <c r="H362" i="1" s="1"/>
  <c r="L362" i="1" s="1"/>
  <c r="P175" i="3"/>
  <c r="H176" i="1" s="1"/>
  <c r="L176" i="1" s="1"/>
  <c r="P317" i="3"/>
  <c r="H318" i="1" s="1"/>
  <c r="L318" i="1" s="1"/>
  <c r="P391" i="3"/>
  <c r="H392" i="1" s="1"/>
  <c r="L392" i="1" s="1"/>
  <c r="P114" i="3"/>
  <c r="H115" i="1" s="1"/>
  <c r="L115" i="1" s="1"/>
  <c r="P198" i="3"/>
  <c r="H199" i="1" s="1"/>
  <c r="L199" i="1" s="1"/>
  <c r="P195" i="3"/>
  <c r="H196" i="1" s="1"/>
  <c r="L196" i="1" s="1"/>
  <c r="P332" i="3"/>
  <c r="H333" i="1" s="1"/>
  <c r="L333" i="1" s="1"/>
  <c r="P357" i="3"/>
  <c r="H358" i="1" s="1"/>
  <c r="L358" i="1" s="1"/>
  <c r="P118" i="3"/>
  <c r="H119" i="1" s="1"/>
  <c r="L119" i="1" s="1"/>
  <c r="P211" i="3"/>
  <c r="H212" i="1" s="1"/>
  <c r="L212" i="1" s="1"/>
  <c r="P457" i="3"/>
  <c r="H458" i="1" s="1"/>
  <c r="L458" i="1" s="1"/>
  <c r="P415" i="3"/>
  <c r="H416" i="1" s="1"/>
  <c r="L416" i="1" s="1"/>
  <c r="P173" i="3"/>
  <c r="H174" i="1" s="1"/>
  <c r="L174" i="1" s="1"/>
  <c r="P482" i="3"/>
  <c r="H483" i="1" s="1"/>
  <c r="L483" i="1" s="1"/>
  <c r="P63" i="3"/>
  <c r="H64" i="1" s="1"/>
  <c r="L64" i="1" s="1"/>
  <c r="P35" i="3"/>
  <c r="H36" i="1" s="1"/>
  <c r="L36" i="1" s="1"/>
  <c r="P475" i="3"/>
  <c r="H476" i="1" s="1"/>
  <c r="L476" i="1" s="1"/>
  <c r="P220" i="3"/>
  <c r="H221" i="1" s="1"/>
  <c r="L221" i="1" s="1"/>
  <c r="P257" i="3"/>
  <c r="H258" i="1" s="1"/>
  <c r="L258" i="1" s="1"/>
  <c r="P380" i="3"/>
  <c r="H381" i="1" s="1"/>
  <c r="L381" i="1" s="1"/>
  <c r="P186" i="3"/>
  <c r="H187" i="1" s="1"/>
  <c r="L187" i="1" s="1"/>
  <c r="P167" i="3"/>
  <c r="H168" i="1" s="1"/>
  <c r="L168" i="1" s="1"/>
  <c r="P304" i="3"/>
  <c r="H305" i="1" s="1"/>
  <c r="L305" i="1" s="1"/>
  <c r="P365" i="3"/>
  <c r="H366" i="1" s="1"/>
  <c r="L366" i="1" s="1"/>
  <c r="P409" i="3"/>
  <c r="H410" i="1" s="1"/>
  <c r="L410" i="1" s="1"/>
  <c r="P76" i="3"/>
  <c r="H77" i="1" s="1"/>
  <c r="L77" i="1" s="1"/>
  <c r="P28" i="3"/>
  <c r="H29" i="1" s="1"/>
  <c r="L29" i="1" s="1"/>
  <c r="P412" i="3"/>
  <c r="H413" i="1" s="1"/>
  <c r="L413" i="1" s="1"/>
  <c r="P430" i="3"/>
  <c r="H431" i="1" s="1"/>
  <c r="L431" i="1" s="1"/>
  <c r="P34" i="3"/>
  <c r="H35" i="1" s="1"/>
  <c r="L35" i="1" s="1"/>
  <c r="P86" i="3"/>
  <c r="H87" i="1" s="1"/>
  <c r="L87" i="1" s="1"/>
  <c r="P139" i="3"/>
  <c r="H140" i="1" s="1"/>
  <c r="L140" i="1" s="1"/>
  <c r="P471" i="3"/>
  <c r="H472" i="1" s="1"/>
  <c r="L472" i="1" s="1"/>
  <c r="P363" i="3"/>
  <c r="H364" i="1" s="1"/>
  <c r="L364" i="1" s="1"/>
  <c r="P115" i="3"/>
  <c r="H116" i="1" s="1"/>
  <c r="L116" i="1" s="1"/>
  <c r="P50" i="3"/>
  <c r="H51" i="1" s="1"/>
  <c r="L51" i="1" s="1"/>
  <c r="P166" i="3"/>
  <c r="H167" i="1" s="1"/>
  <c r="L167" i="1" s="1"/>
  <c r="P213" i="3"/>
  <c r="H214" i="1" s="1"/>
  <c r="L214" i="1" s="1"/>
  <c r="P146" i="3"/>
  <c r="H147" i="1" s="1"/>
  <c r="L147" i="1" s="1"/>
  <c r="P446" i="3"/>
  <c r="H447" i="1" s="1"/>
  <c r="L447" i="1" s="1"/>
  <c r="P160" i="3"/>
  <c r="H161" i="1" s="1"/>
  <c r="L161" i="1" s="1"/>
  <c r="P337" i="3"/>
  <c r="H338" i="1" s="1"/>
  <c r="L338" i="1" s="1"/>
  <c r="P272" i="3"/>
  <c r="H273" i="1" s="1"/>
  <c r="L273" i="1" s="1"/>
  <c r="P230" i="3"/>
  <c r="H231" i="1" s="1"/>
  <c r="L231" i="1" s="1"/>
  <c r="P151" i="3"/>
  <c r="H152" i="1" s="1"/>
  <c r="L152" i="1" s="1"/>
  <c r="P129" i="3"/>
  <c r="H130" i="1" s="1"/>
  <c r="L130" i="1" s="1"/>
  <c r="P445" i="3"/>
  <c r="H446" i="1" s="1"/>
  <c r="L446" i="1" s="1"/>
  <c r="P219" i="3"/>
  <c r="H220" i="1" s="1"/>
  <c r="L220" i="1" s="1"/>
  <c r="P125" i="3"/>
  <c r="H126" i="1" s="1"/>
  <c r="L126" i="1" s="1"/>
  <c r="P154" i="3"/>
  <c r="H155" i="1" s="1"/>
  <c r="L155" i="1" s="1"/>
  <c r="P42" i="3"/>
  <c r="H43" i="1" s="1"/>
  <c r="L43" i="1" s="1"/>
  <c r="P362" i="3"/>
  <c r="H363" i="1" s="1"/>
  <c r="L363" i="1" s="1"/>
  <c r="P103" i="3"/>
  <c r="H104" i="1" s="1"/>
  <c r="L104" i="1" s="1"/>
  <c r="P65" i="3"/>
  <c r="H66" i="1" s="1"/>
  <c r="L66" i="1" s="1"/>
  <c r="P15" i="3"/>
  <c r="H16" i="1" s="1"/>
  <c r="L16" i="1" s="1"/>
  <c r="P307" i="3"/>
  <c r="H308" i="1" s="1"/>
  <c r="L308" i="1" s="1"/>
  <c r="P405" i="3"/>
  <c r="H406" i="1" s="1"/>
  <c r="L406" i="1" s="1"/>
  <c r="P153" i="3"/>
  <c r="H154" i="1" s="1"/>
  <c r="L154" i="1" s="1"/>
  <c r="P335" i="3"/>
  <c r="H336" i="1" s="1"/>
  <c r="L336" i="1" s="1"/>
  <c r="P105" i="3"/>
  <c r="H106" i="1" s="1"/>
  <c r="L106" i="1" s="1"/>
  <c r="P339" i="3"/>
  <c r="H340" i="1" s="1"/>
  <c r="L340" i="1" s="1"/>
  <c r="P250" i="3"/>
  <c r="H251" i="1" s="1"/>
  <c r="L251" i="1" s="1"/>
  <c r="P414" i="3"/>
  <c r="H415" i="1" s="1"/>
  <c r="L415" i="1" s="1"/>
  <c r="P384" i="3"/>
  <c r="H385" i="1" s="1"/>
  <c r="L385" i="1" s="1"/>
  <c r="P61" i="3"/>
  <c r="H62" i="1" s="1"/>
  <c r="L62" i="1" s="1"/>
  <c r="P133" i="3"/>
  <c r="H134" i="1" s="1"/>
  <c r="L134" i="1" s="1"/>
  <c r="P110" i="3"/>
  <c r="H111" i="1" s="1"/>
  <c r="L111" i="1" s="1"/>
  <c r="P381" i="3"/>
  <c r="H382" i="1" s="1"/>
  <c r="L382" i="1" s="1"/>
  <c r="P11" i="3"/>
  <c r="H12" i="1" s="1"/>
  <c r="L12" i="1" s="1"/>
  <c r="P303" i="3"/>
  <c r="H304" i="1" s="1"/>
  <c r="L304" i="1" s="1"/>
  <c r="P67" i="3"/>
  <c r="H68" i="1" s="1"/>
  <c r="L68" i="1" s="1"/>
  <c r="P62" i="3"/>
  <c r="H63" i="1" s="1"/>
  <c r="L63" i="1" s="1"/>
  <c r="P119" i="3"/>
  <c r="H120" i="1" s="1"/>
  <c r="L120" i="1" s="1"/>
  <c r="P473" i="3"/>
  <c r="H474" i="1" s="1"/>
  <c r="L474" i="1" s="1"/>
  <c r="P470" i="3"/>
  <c r="H471" i="1" s="1"/>
  <c r="L471" i="1" s="1"/>
  <c r="P410" i="3"/>
  <c r="H411" i="1" s="1"/>
  <c r="L411" i="1" s="1"/>
  <c r="P123" i="3"/>
  <c r="H124" i="1" s="1"/>
  <c r="L124" i="1" s="1"/>
  <c r="P383" i="3"/>
  <c r="H384" i="1" s="1"/>
  <c r="L384" i="1" s="1"/>
  <c r="P256" i="3"/>
  <c r="H257" i="1" s="1"/>
  <c r="L257" i="1" s="1"/>
  <c r="P49" i="3"/>
  <c r="H50" i="1" s="1"/>
  <c r="L50" i="1" s="1"/>
  <c r="P287" i="3"/>
  <c r="H288" i="1" s="1"/>
  <c r="L288" i="1" s="1"/>
  <c r="P479" i="3"/>
  <c r="H480" i="1" s="1"/>
  <c r="L480" i="1" s="1"/>
  <c r="P31" i="3"/>
  <c r="H32" i="1" s="1"/>
  <c r="L32" i="1" s="1"/>
  <c r="P203" i="3"/>
  <c r="H204" i="1" s="1"/>
  <c r="L204" i="1" s="1"/>
  <c r="P209" i="3"/>
  <c r="H210" i="1" s="1"/>
  <c r="L210" i="1" s="1"/>
  <c r="P94" i="3"/>
  <c r="H95" i="1" s="1"/>
  <c r="L95" i="1" s="1"/>
  <c r="P57" i="3"/>
  <c r="H58" i="1" s="1"/>
  <c r="L58" i="1" s="1"/>
  <c r="P89" i="3"/>
  <c r="H90" i="1" s="1"/>
  <c r="L90" i="1" s="1"/>
  <c r="P128" i="3"/>
  <c r="H129" i="1" s="1"/>
  <c r="L129" i="1" s="1"/>
  <c r="P403" i="3"/>
  <c r="H404" i="1" s="1"/>
  <c r="L404" i="1" s="1"/>
  <c r="P464" i="3"/>
  <c r="H465" i="1" s="1"/>
  <c r="L465" i="1" s="1"/>
  <c r="P427" i="3"/>
  <c r="H428" i="1" s="1"/>
  <c r="L428" i="1" s="1"/>
  <c r="P436" i="3"/>
  <c r="H437" i="1" s="1"/>
  <c r="L437" i="1" s="1"/>
  <c r="P40" i="3"/>
  <c r="H41" i="1" s="1"/>
  <c r="L41" i="1" s="1"/>
  <c r="P329" i="3"/>
  <c r="H330" i="1" s="1"/>
  <c r="L330" i="1" s="1"/>
  <c r="P174" i="3"/>
  <c r="H175" i="1" s="1"/>
  <c r="L175" i="1" s="1"/>
  <c r="P248" i="3"/>
  <c r="H249" i="1" s="1"/>
  <c r="L249" i="1" s="1"/>
  <c r="P176" i="3"/>
  <c r="H177" i="1" s="1"/>
  <c r="L177" i="1" s="1"/>
  <c r="P347" i="3"/>
  <c r="H348" i="1" s="1"/>
  <c r="L348" i="1" s="1"/>
  <c r="P399" i="3"/>
  <c r="H400" i="1" s="1"/>
  <c r="L400" i="1" s="1"/>
  <c r="P29" i="3"/>
  <c r="H30" i="1" s="1"/>
  <c r="L30" i="1" s="1"/>
  <c r="P245" i="3"/>
  <c r="H246" i="1" s="1"/>
  <c r="L246" i="1" s="1"/>
  <c r="P285" i="3"/>
  <c r="H286" i="1" s="1"/>
  <c r="L286" i="1" s="1"/>
  <c r="P463" i="3"/>
  <c r="H464" i="1" s="1"/>
  <c r="L464" i="1" s="1"/>
  <c r="P386" i="3"/>
  <c r="H387" i="1" s="1"/>
  <c r="L387" i="1" s="1"/>
  <c r="P254" i="3"/>
  <c r="H255" i="1" s="1"/>
  <c r="L255" i="1" s="1"/>
  <c r="P33" i="3"/>
  <c r="H34" i="1" s="1"/>
  <c r="L34" i="1" s="1"/>
  <c r="P353" i="3"/>
  <c r="H354" i="1" s="1"/>
  <c r="L354" i="1" s="1"/>
  <c r="P372" i="3"/>
  <c r="H373" i="1" s="1"/>
  <c r="L373" i="1" s="1"/>
  <c r="P265" i="3"/>
  <c r="H266" i="1" s="1"/>
  <c r="L266" i="1" s="1"/>
  <c r="P456" i="3"/>
  <c r="H457" i="1" s="1"/>
  <c r="L457" i="1" s="1"/>
  <c r="P311" i="3"/>
  <c r="H312" i="1" s="1"/>
  <c r="L312" i="1" s="1"/>
  <c r="P266" i="3"/>
  <c r="H267" i="1" s="1"/>
  <c r="L267" i="1" s="1"/>
  <c r="P122" i="3"/>
  <c r="H123" i="1" s="1"/>
  <c r="L123" i="1" s="1"/>
  <c r="P294" i="3"/>
  <c r="H295" i="1" s="1"/>
  <c r="L295" i="1" s="1"/>
  <c r="P486" i="3" l="1"/>
  <c r="H487" i="1" s="1"/>
  <c r="L487" i="1" s="1"/>
  <c r="P298" i="3"/>
  <c r="H299" i="1" s="1"/>
  <c r="L299" i="1" s="1"/>
  <c r="L3" i="1"/>
  <c r="H3" i="1"/>
  <c r="P82" i="3"/>
  <c r="H83" i="1" s="1"/>
  <c r="L83" i="1" s="1"/>
  <c r="P191" i="3"/>
  <c r="H192" i="1" s="1"/>
  <c r="L192" i="1" s="1"/>
  <c r="P320" i="3"/>
  <c r="H321" i="1" s="1"/>
  <c r="L321" i="1" s="1"/>
  <c r="P13" i="3"/>
  <c r="H14" i="1" s="1"/>
  <c r="L14" i="1" s="1"/>
  <c r="P431" i="3"/>
  <c r="H432" i="1" s="1"/>
  <c r="L432" i="1" s="1"/>
  <c r="P7" i="3"/>
  <c r="H8" i="1" s="1"/>
  <c r="L8" i="1" s="1"/>
  <c r="P178" i="3"/>
  <c r="H179" i="1" s="1"/>
  <c r="L179" i="1" s="1"/>
  <c r="P37" i="3"/>
  <c r="H38" i="1" s="1"/>
  <c r="L38" i="1" s="1"/>
  <c r="P260" i="3"/>
  <c r="H261" i="1" s="1"/>
  <c r="L261" i="1" s="1"/>
  <c r="P194" i="3"/>
  <c r="H195" i="1" s="1"/>
  <c r="L195" i="1" s="1"/>
  <c r="P269" i="3"/>
  <c r="H270" i="1" s="1"/>
  <c r="L270" i="1" s="1"/>
  <c r="P435" i="3"/>
  <c r="H436" i="1" s="1"/>
  <c r="L436" i="1" s="1"/>
  <c r="P449" i="3"/>
  <c r="H450" i="1" s="1"/>
  <c r="L450" i="1" s="1"/>
  <c r="P251" i="3"/>
  <c r="H252" i="1" s="1"/>
  <c r="L252" i="1" s="1"/>
  <c r="P263" i="3"/>
  <c r="H264" i="1" s="1"/>
  <c r="L264" i="1" s="1"/>
  <c r="P434" i="3"/>
  <c r="H435" i="1" s="1"/>
  <c r="L435" i="1" s="1"/>
  <c r="P300" i="3"/>
  <c r="H301" i="1" s="1"/>
  <c r="L301" i="1" s="1"/>
  <c r="P112" i="3"/>
  <c r="H113" i="1" s="1"/>
  <c r="L113" i="1" s="1"/>
  <c r="P273" i="3"/>
  <c r="H274" i="1" s="1"/>
  <c r="L274" i="1" s="1"/>
  <c r="P331" i="3"/>
  <c r="H332" i="1" s="1"/>
  <c r="L332" i="1" s="1"/>
  <c r="P279" i="3"/>
  <c r="H280" i="1" s="1"/>
  <c r="L280" i="1" s="1"/>
  <c r="P322" i="3"/>
  <c r="H323" i="1" s="1"/>
  <c r="L323" i="1" s="1"/>
  <c r="P17" i="3"/>
  <c r="H18" i="1" s="1"/>
  <c r="L18" i="1" s="1"/>
  <c r="P379" i="3"/>
  <c r="H380" i="1" s="1"/>
  <c r="L380" i="1" s="1"/>
  <c r="P455" i="3"/>
  <c r="H456" i="1" s="1"/>
  <c r="L456" i="1" s="1"/>
  <c r="P418" i="3"/>
  <c r="H419" i="1" s="1"/>
  <c r="L419" i="1" s="1"/>
  <c r="P340" i="3"/>
  <c r="H341" i="1" s="1"/>
  <c r="L341" i="1" s="1"/>
  <c r="P483" i="3"/>
  <c r="H484" i="1" s="1"/>
  <c r="L484" i="1" s="1"/>
  <c r="P55" i="3"/>
  <c r="H56" i="1" s="1"/>
  <c r="L56" i="1" s="1"/>
  <c r="P116" i="3"/>
  <c r="H117" i="1" s="1"/>
  <c r="L117" i="1" s="1"/>
  <c r="P210" i="3"/>
  <c r="H211" i="1" s="1"/>
  <c r="L211" i="1" s="1"/>
  <c r="P87" i="3"/>
  <c r="H88" i="1" s="1"/>
  <c r="L88" i="1" s="1"/>
  <c r="P468" i="3"/>
  <c r="H469" i="1" s="1"/>
  <c r="L469" i="1" s="1"/>
  <c r="P104" i="3"/>
  <c r="H105" i="1" s="1"/>
  <c r="L105" i="1" s="1"/>
  <c r="P425" i="3"/>
  <c r="H426" i="1" s="1"/>
  <c r="L426" i="1" s="1"/>
  <c r="P152" i="3"/>
  <c r="H153" i="1" s="1"/>
  <c r="L153" i="1" s="1"/>
  <c r="P440" i="3"/>
  <c r="H441" i="1" s="1"/>
  <c r="L441" i="1" s="1"/>
  <c r="P385" i="3"/>
  <c r="H386" i="1" s="1"/>
  <c r="L386" i="1" s="1"/>
  <c r="P460" i="3"/>
  <c r="H461" i="1" s="1"/>
  <c r="L461" i="1" s="1"/>
  <c r="P204" i="3"/>
  <c r="H205" i="1" s="1"/>
  <c r="L205" i="1" s="1"/>
  <c r="P237" i="3"/>
  <c r="H238" i="1" s="1"/>
  <c r="L238" i="1" s="1"/>
  <c r="P459" i="3"/>
  <c r="H460" i="1" s="1"/>
  <c r="L460" i="1" s="1"/>
  <c r="P371" i="3"/>
  <c r="H372" i="1" s="1"/>
  <c r="L372" i="1" s="1"/>
  <c r="P44" i="3"/>
  <c r="H45" i="1" s="1"/>
  <c r="L45" i="1" s="1"/>
  <c r="P10" i="3"/>
  <c r="H11" i="1" s="1"/>
  <c r="L11" i="1" s="1"/>
  <c r="P241" i="3"/>
  <c r="H242" i="1" s="1"/>
  <c r="L242" i="1" s="1"/>
  <c r="P284" i="3"/>
  <c r="H285" i="1" s="1"/>
  <c r="L285" i="1" s="1"/>
  <c r="P60" i="3"/>
  <c r="H61" i="1" s="1"/>
  <c r="L61" i="1" s="1"/>
  <c r="P315" i="3"/>
  <c r="H316" i="1" s="1"/>
  <c r="L316" i="1" s="1"/>
  <c r="P185" i="3"/>
  <c r="H186" i="1" s="1"/>
  <c r="L186" i="1" s="1"/>
  <c r="P238" i="3"/>
  <c r="H239" i="1" s="1"/>
  <c r="L239" i="1" s="1"/>
  <c r="P120" i="3"/>
  <c r="H121" i="1" s="1"/>
  <c r="L121" i="1" s="1"/>
  <c r="P448" i="3"/>
  <c r="H449" i="1" s="1"/>
  <c r="L449" i="1" s="1"/>
  <c r="P73" i="3"/>
  <c r="H74" i="1" s="1"/>
  <c r="L74" i="1" s="1"/>
  <c r="P485" i="3"/>
  <c r="H486" i="1" s="1"/>
  <c r="L486" i="1" s="1"/>
  <c r="P246" i="3"/>
  <c r="H247" i="1" s="1"/>
  <c r="L247" i="1" s="1"/>
  <c r="P388" i="3"/>
  <c r="H389" i="1" s="1"/>
  <c r="L389" i="1" s="1"/>
  <c r="P443" i="3"/>
  <c r="H444" i="1" s="1"/>
  <c r="L444" i="1" s="1"/>
  <c r="P338" i="3"/>
  <c r="H339" i="1" s="1"/>
  <c r="L339" i="1" s="1"/>
  <c r="P283" i="3"/>
  <c r="H284" i="1" s="1"/>
  <c r="L284" i="1" s="1"/>
  <c r="P224" i="3"/>
  <c r="H225" i="1" s="1"/>
  <c r="L225" i="1" s="1"/>
  <c r="P382" i="3"/>
  <c r="H383" i="1" s="1"/>
  <c r="L383" i="1" s="1"/>
  <c r="P395" i="3"/>
  <c r="H396" i="1" s="1"/>
  <c r="L396" i="1" s="1"/>
  <c r="P30" i="3"/>
  <c r="H31" i="1" s="1"/>
  <c r="L31" i="1" s="1"/>
  <c r="P267" i="3"/>
  <c r="H268" i="1" s="1"/>
  <c r="L268" i="1" s="1"/>
  <c r="P131" i="3"/>
  <c r="H132" i="1" s="1"/>
  <c r="L132" i="1" s="1"/>
  <c r="P97" i="3"/>
  <c r="H98" i="1" s="1"/>
  <c r="L98" i="1" s="1"/>
  <c r="P373" i="3"/>
  <c r="H374" i="1" s="1"/>
  <c r="L374" i="1" s="1"/>
  <c r="P52" i="3"/>
  <c r="H53" i="1" s="1"/>
  <c r="L53" i="1" s="1"/>
  <c r="P253" i="3"/>
  <c r="H254" i="1" s="1"/>
  <c r="L254" i="1" s="1"/>
  <c r="P80" i="3"/>
  <c r="H81" i="1" s="1"/>
  <c r="L81" i="1" s="1"/>
  <c r="P438" i="3"/>
  <c r="H439" i="1" s="1"/>
  <c r="L439" i="1" s="1"/>
  <c r="P364" i="3"/>
  <c r="H365" i="1" s="1"/>
  <c r="L365" i="1" s="1"/>
  <c r="P233" i="3"/>
  <c r="H234" i="1" s="1"/>
  <c r="L234" i="1" s="1"/>
  <c r="P162" i="3"/>
  <c r="H163" i="1" s="1"/>
  <c r="L163" i="1" s="1"/>
  <c r="P207" i="3"/>
  <c r="H208" i="1" s="1"/>
  <c r="L208" i="1" s="1"/>
  <c r="P236" i="3"/>
  <c r="H237" i="1" s="1"/>
  <c r="L237" i="1" s="1"/>
  <c r="P356" i="3"/>
  <c r="H357" i="1" s="1"/>
  <c r="L357" i="1" s="1"/>
  <c r="P426" i="3"/>
  <c r="H427" i="1" s="1"/>
  <c r="L427" i="1" s="1"/>
  <c r="P301" i="3"/>
  <c r="H302" i="1" s="1"/>
  <c r="L302" i="1" s="1"/>
  <c r="P179" i="3"/>
  <c r="H180" i="1" s="1"/>
  <c r="L180" i="1" s="1"/>
  <c r="P375" i="3"/>
  <c r="H376" i="1" s="1"/>
  <c r="L376" i="1" s="1"/>
  <c r="P336" i="3"/>
  <c r="H337" i="1" s="1"/>
  <c r="L337" i="1" s="1"/>
  <c r="P465" i="3"/>
  <c r="H466" i="1" s="1"/>
  <c r="L466" i="1" s="1"/>
  <c r="P19" i="3"/>
  <c r="H20" i="1" s="1"/>
  <c r="L20" i="1" s="1"/>
  <c r="J299" i="1"/>
  <c r="J312" i="1"/>
  <c r="J400" i="1"/>
  <c r="J90" i="1"/>
  <c r="J411" i="1"/>
  <c r="J385" i="1"/>
  <c r="J363" i="1"/>
  <c r="J447" i="1"/>
  <c r="J413" i="1"/>
  <c r="J36" i="1"/>
  <c r="J115" i="1"/>
  <c r="J298" i="1"/>
  <c r="J218" i="1"/>
  <c r="J240" i="1"/>
  <c r="J94" i="1"/>
  <c r="J271" i="1"/>
  <c r="J462" i="1"/>
  <c r="J13" i="1"/>
  <c r="J325" i="1"/>
  <c r="J459" i="1"/>
  <c r="J470" i="1"/>
  <c r="J110" i="1"/>
  <c r="J250" i="1"/>
  <c r="J89" i="1"/>
  <c r="J209" i="1"/>
  <c r="J260" i="1"/>
  <c r="J227" i="1"/>
  <c r="J440" i="1"/>
  <c r="J368" i="1"/>
  <c r="J418" i="1"/>
  <c r="J73" i="1"/>
  <c r="J84" i="1"/>
  <c r="J222" i="1"/>
  <c r="J261" i="1"/>
  <c r="J56" i="1"/>
  <c r="J57" i="1"/>
  <c r="J190" i="1"/>
  <c r="J105" i="1"/>
  <c r="J322" i="1"/>
  <c r="J426" i="1"/>
  <c r="J217" i="1"/>
  <c r="J274" i="1"/>
  <c r="J293" i="1"/>
  <c r="J386" i="1"/>
  <c r="J452" i="1"/>
  <c r="J473" i="1"/>
  <c r="J34" i="1"/>
  <c r="J330" i="1"/>
  <c r="J465" i="1"/>
  <c r="J58" i="1"/>
  <c r="J32" i="1"/>
  <c r="J257" i="1"/>
  <c r="J471" i="1"/>
  <c r="J68" i="1"/>
  <c r="J111" i="1"/>
  <c r="J415" i="1"/>
  <c r="J336" i="1"/>
  <c r="J16" i="1"/>
  <c r="J43" i="1"/>
  <c r="J446" i="1"/>
  <c r="J273" i="1"/>
  <c r="J147" i="1"/>
  <c r="J116" i="1"/>
  <c r="J87" i="1"/>
  <c r="J29" i="1"/>
  <c r="J305" i="1"/>
  <c r="J258" i="1"/>
  <c r="J64" i="1"/>
  <c r="J458" i="1"/>
  <c r="J333" i="1"/>
  <c r="J392" i="1"/>
  <c r="J345" i="1"/>
  <c r="J181" i="1"/>
  <c r="J463" i="1"/>
  <c r="J490" i="1"/>
  <c r="J485" i="1"/>
  <c r="J146" i="1"/>
  <c r="J226" i="1"/>
  <c r="J7" i="1"/>
  <c r="J244" i="1"/>
  <c r="J369" i="1"/>
  <c r="J421" i="1"/>
  <c r="J118" i="1"/>
  <c r="J201" i="1"/>
  <c r="J230" i="1"/>
  <c r="J52" i="1"/>
  <c r="J102" i="1"/>
  <c r="J203" i="1"/>
  <c r="J454" i="1"/>
  <c r="J215" i="1"/>
  <c r="J17" i="1"/>
  <c r="J412" i="1"/>
  <c r="J207" i="1"/>
  <c r="J131" i="1"/>
  <c r="J82" i="1"/>
  <c r="J443" i="1"/>
  <c r="J278" i="1"/>
  <c r="J21" i="1"/>
  <c r="J417" i="1"/>
  <c r="J306" i="1"/>
  <c r="J375" i="1"/>
  <c r="J137" i="1"/>
  <c r="J342" i="1"/>
  <c r="J156" i="1"/>
  <c r="J229" i="1"/>
  <c r="J434" i="1"/>
  <c r="J296" i="1"/>
  <c r="J236" i="1"/>
  <c r="J112" i="1"/>
  <c r="J93" i="1"/>
  <c r="J166" i="1"/>
  <c r="J37" i="1"/>
  <c r="J169" i="1"/>
  <c r="J125" i="1"/>
  <c r="J314" i="1"/>
  <c r="J165" i="1"/>
  <c r="J353" i="1"/>
  <c r="J33" i="1"/>
  <c r="J390" i="1"/>
  <c r="J300" i="1"/>
  <c r="J359" i="1"/>
  <c r="J133" i="1"/>
  <c r="J59" i="1"/>
  <c r="J128" i="1"/>
  <c r="J289" i="1"/>
  <c r="J263" i="1"/>
  <c r="J99" i="1"/>
  <c r="J67" i="1"/>
  <c r="J151" i="1"/>
  <c r="J44" i="1"/>
  <c r="J83" i="1"/>
  <c r="J192" i="1"/>
  <c r="J321" i="1"/>
  <c r="J14" i="1"/>
  <c r="J432" i="1"/>
  <c r="J8" i="1"/>
  <c r="J179" i="1"/>
  <c r="J361" i="1"/>
  <c r="J107" i="1"/>
  <c r="J341" i="1"/>
  <c r="J195" i="1"/>
  <c r="J148" i="1"/>
  <c r="J297" i="1"/>
  <c r="J117" i="1"/>
  <c r="J450" i="1"/>
  <c r="J372" i="1"/>
  <c r="J11" i="1"/>
  <c r="J242" i="1"/>
  <c r="J316" i="1"/>
  <c r="J186" i="1"/>
  <c r="J5" i="1"/>
  <c r="J441" i="1"/>
  <c r="J332" i="1"/>
  <c r="J238" i="1"/>
  <c r="J280" i="1"/>
  <c r="J487" i="1"/>
  <c r="J323" i="1"/>
  <c r="J460" i="1"/>
  <c r="J354" i="1"/>
  <c r="J175" i="1"/>
  <c r="J204" i="1"/>
  <c r="J382" i="1"/>
  <c r="J308" i="1"/>
  <c r="J231" i="1"/>
  <c r="J140" i="1"/>
  <c r="J381" i="1"/>
  <c r="J358" i="1"/>
  <c r="J429" i="1"/>
  <c r="J76" i="1"/>
  <c r="J430" i="1"/>
  <c r="J136" i="1"/>
  <c r="J320" i="1"/>
  <c r="J80" i="1"/>
  <c r="J206" i="1"/>
  <c r="J72" i="1"/>
  <c r="J291" i="1"/>
  <c r="J482" i="1"/>
  <c r="J414" i="1"/>
  <c r="J4" i="1"/>
  <c r="J184" i="1"/>
  <c r="J85" i="1"/>
  <c r="J71" i="1"/>
  <c r="J287" i="1"/>
  <c r="J193" i="1"/>
  <c r="J232" i="1"/>
  <c r="J150" i="1"/>
  <c r="J135" i="1"/>
  <c r="J223" i="1"/>
  <c r="J326" i="1"/>
  <c r="J216" i="1"/>
  <c r="J158" i="1"/>
  <c r="J436" i="1"/>
  <c r="J88" i="1"/>
  <c r="J182" i="1"/>
  <c r="J461" i="1"/>
  <c r="J295" i="1"/>
  <c r="J348" i="1"/>
  <c r="J266" i="1"/>
  <c r="J246" i="1"/>
  <c r="J41" i="1"/>
  <c r="J404" i="1"/>
  <c r="J95" i="1"/>
  <c r="J480" i="1"/>
  <c r="J384" i="1"/>
  <c r="J474" i="1"/>
  <c r="J304" i="1"/>
  <c r="J134" i="1"/>
  <c r="J251" i="1"/>
  <c r="J154" i="1"/>
  <c r="J66" i="1"/>
  <c r="J155" i="1"/>
  <c r="J130" i="1"/>
  <c r="J338" i="1"/>
  <c r="J214" i="1"/>
  <c r="J364" i="1"/>
  <c r="J35" i="1"/>
  <c r="J77" i="1"/>
  <c r="J168" i="1"/>
  <c r="J221" i="1"/>
  <c r="J483" i="1"/>
  <c r="J212" i="1"/>
  <c r="J196" i="1"/>
  <c r="J318" i="1"/>
  <c r="J478" i="1"/>
  <c r="J6" i="1"/>
  <c r="J303" i="1"/>
  <c r="J191" i="1"/>
  <c r="J489" i="1"/>
  <c r="J319" i="1"/>
  <c r="J15" i="1"/>
  <c r="J344" i="1"/>
  <c r="J100" i="1"/>
  <c r="J360" i="1"/>
  <c r="J78" i="1"/>
  <c r="J60" i="1"/>
  <c r="J424" i="1"/>
  <c r="J420" i="1"/>
  <c r="J335" i="1"/>
  <c r="J103" i="1"/>
  <c r="J481" i="1"/>
  <c r="J294" i="1"/>
  <c r="J172" i="1"/>
  <c r="J149" i="1"/>
  <c r="J173" i="1"/>
  <c r="J329" i="1"/>
  <c r="J388" i="1"/>
  <c r="J143" i="1"/>
  <c r="J144" i="1"/>
  <c r="J122" i="1"/>
  <c r="J256" i="1"/>
  <c r="J405" i="1"/>
  <c r="J347" i="1"/>
  <c r="J403" i="1"/>
  <c r="J49" i="1"/>
  <c r="J202" i="1"/>
  <c r="J91" i="1"/>
  <c r="J219" i="1"/>
  <c r="J141" i="1"/>
  <c r="J351" i="1"/>
  <c r="J445" i="1"/>
  <c r="J310" i="1"/>
  <c r="J69" i="1"/>
  <c r="J292" i="1"/>
  <c r="J279" i="1"/>
  <c r="J475" i="1"/>
  <c r="J331" i="1"/>
  <c r="J346" i="1"/>
  <c r="J138" i="1"/>
  <c r="J453" i="1"/>
  <c r="J228" i="1"/>
  <c r="J54" i="1"/>
  <c r="J9" i="1"/>
  <c r="J194" i="1"/>
  <c r="J272" i="1"/>
  <c r="J109" i="1"/>
  <c r="J198" i="1"/>
  <c r="J349" i="1"/>
  <c r="J352" i="1"/>
  <c r="J39" i="1"/>
  <c r="J350" i="1"/>
  <c r="J262" i="1"/>
  <c r="J324" i="1"/>
  <c r="J65" i="1"/>
  <c r="J281" i="1"/>
  <c r="J22" i="1"/>
  <c r="J235" i="1"/>
  <c r="J269" i="1"/>
  <c r="J18" i="1"/>
  <c r="J380" i="1"/>
  <c r="J339" i="1"/>
  <c r="J383" i="1"/>
  <c r="J396" i="1"/>
  <c r="J268" i="1"/>
  <c r="J211" i="1"/>
  <c r="J98" i="1"/>
  <c r="J53" i="1"/>
  <c r="J81" i="1"/>
  <c r="J234" i="1"/>
  <c r="J163" i="1"/>
  <c r="J449" i="1"/>
  <c r="J479" i="1"/>
  <c r="J74" i="1"/>
  <c r="J468" i="1"/>
  <c r="J247" i="1"/>
  <c r="J389" i="1"/>
  <c r="J464" i="1"/>
  <c r="J428" i="1"/>
  <c r="J50" i="1"/>
  <c r="J63" i="1"/>
  <c r="J106" i="1"/>
  <c r="J220" i="1"/>
  <c r="J51" i="1"/>
  <c r="J366" i="1"/>
  <c r="J416" i="1"/>
  <c r="J362" i="1"/>
  <c r="J42" i="1"/>
  <c r="J27" i="1"/>
  <c r="J142" i="1"/>
  <c r="J391" i="1"/>
  <c r="J442" i="1"/>
  <c r="J317" i="1"/>
  <c r="J86" i="1"/>
  <c r="J379" i="1"/>
  <c r="J407" i="1"/>
  <c r="J253" i="1"/>
  <c r="J355" i="1"/>
  <c r="J19" i="1"/>
  <c r="J477" i="1"/>
  <c r="J160" i="1"/>
  <c r="J408" i="1"/>
  <c r="J309" i="1"/>
  <c r="J75" i="1"/>
  <c r="J171" i="1"/>
  <c r="J243" i="1"/>
  <c r="J401" i="1"/>
  <c r="J455" i="1"/>
  <c r="J10" i="1"/>
  <c r="J419" i="1"/>
  <c r="J48" i="1"/>
  <c r="J343" i="1"/>
  <c r="J469" i="1"/>
  <c r="J422" i="1"/>
  <c r="J457" i="1"/>
  <c r="J286" i="1"/>
  <c r="J123" i="1"/>
  <c r="J255" i="1"/>
  <c r="J177" i="1"/>
  <c r="J267" i="1"/>
  <c r="J373" i="1"/>
  <c r="J387" i="1"/>
  <c r="J30" i="1"/>
  <c r="J249" i="1"/>
  <c r="J437" i="1"/>
  <c r="J129" i="1"/>
  <c r="J210" i="1"/>
  <c r="J288" i="1"/>
  <c r="J124" i="1"/>
  <c r="J120" i="1"/>
  <c r="J12" i="1"/>
  <c r="J62" i="1"/>
  <c r="J340" i="1"/>
  <c r="J406" i="1"/>
  <c r="J104" i="1"/>
  <c r="J126" i="1"/>
  <c r="J152" i="1"/>
  <c r="J161" i="1"/>
  <c r="J167" i="1"/>
  <c r="J472" i="1"/>
  <c r="J431" i="1"/>
  <c r="J410" i="1"/>
  <c r="J187" i="1"/>
  <c r="J476" i="1"/>
  <c r="J174" i="1"/>
  <c r="J119" i="1"/>
  <c r="J199" i="1"/>
  <c r="J176" i="1"/>
  <c r="J394" i="1"/>
  <c r="J265" i="1"/>
  <c r="J334" i="1"/>
  <c r="J188" i="1"/>
  <c r="J283" i="1"/>
  <c r="J185" i="1"/>
  <c r="J26" i="1"/>
  <c r="J139" i="1"/>
  <c r="J395" i="1"/>
  <c r="J438" i="1"/>
  <c r="J189" i="1"/>
  <c r="J275" i="1"/>
  <c r="J402" i="1"/>
  <c r="J307" i="1"/>
  <c r="J97" i="1"/>
  <c r="J371" i="1"/>
  <c r="J467" i="1"/>
  <c r="J378" i="1"/>
  <c r="J425" i="1"/>
  <c r="J47" i="1"/>
  <c r="J92" i="1"/>
  <c r="J282" i="1"/>
  <c r="J241" i="1"/>
  <c r="J55" i="1"/>
  <c r="J488" i="1"/>
  <c r="J157" i="1"/>
  <c r="J276" i="1"/>
  <c r="J170" i="1"/>
  <c r="J313" i="1"/>
  <c r="J183" i="1"/>
  <c r="J315" i="1"/>
  <c r="J24" i="1"/>
  <c r="J248" i="1"/>
  <c r="J328" i="1"/>
  <c r="J164" i="1"/>
  <c r="J96" i="1"/>
  <c r="J448" i="1"/>
  <c r="J3" i="1"/>
  <c r="J114" i="1"/>
  <c r="J127" i="1"/>
  <c r="J224" i="1"/>
  <c r="J178" i="1"/>
  <c r="J159" i="1"/>
  <c r="J397" i="1"/>
  <c r="J433" i="1"/>
  <c r="J200" i="1"/>
  <c r="J356" i="1"/>
  <c r="J70" i="1"/>
  <c r="J423" i="1"/>
  <c r="J245" i="1"/>
  <c r="J290" i="1"/>
  <c r="J277" i="1"/>
  <c r="J23" i="1"/>
  <c r="J233" i="1"/>
  <c r="J409" i="1"/>
  <c r="J311" i="1"/>
  <c r="J398" i="1"/>
  <c r="J367" i="1"/>
  <c r="J370" i="1"/>
  <c r="J327" i="1"/>
  <c r="J79" i="1"/>
  <c r="J213" i="1"/>
  <c r="J162" i="1"/>
  <c r="J25" i="1"/>
  <c r="J393" i="1"/>
  <c r="J101" i="1"/>
  <c r="J456" i="1"/>
  <c r="J38" i="1"/>
  <c r="J145" i="1"/>
  <c r="J40" i="1"/>
  <c r="J484" i="1"/>
  <c r="J270" i="1"/>
  <c r="J451" i="1"/>
  <c r="J399" i="1"/>
  <c r="J28" i="1"/>
  <c r="J252" i="1"/>
  <c r="J377" i="1"/>
  <c r="J264" i="1"/>
  <c r="J108" i="1"/>
  <c r="J435" i="1"/>
  <c r="J46" i="1"/>
  <c r="J301" i="1"/>
  <c r="J259" i="1"/>
  <c r="J113" i="1"/>
  <c r="J197" i="1"/>
  <c r="J237" i="1"/>
  <c r="J357" i="1"/>
  <c r="J427" i="1"/>
  <c r="J337" i="1"/>
  <c r="J444" i="1"/>
  <c r="I1" i="1" l="1"/>
  <c r="J153" i="1"/>
  <c r="J180" i="1"/>
  <c r="J205" i="1"/>
  <c r="J225" i="1"/>
  <c r="J121" i="1"/>
  <c r="J376" i="1"/>
  <c r="J486" i="1"/>
  <c r="J254" i="1"/>
  <c r="J132" i="1"/>
  <c r="J285" i="1"/>
  <c r="J20" i="1"/>
  <c r="J365" i="1"/>
  <c r="J31" i="1"/>
  <c r="J284" i="1"/>
  <c r="J61" i="1"/>
  <c r="J45" i="1"/>
  <c r="J239" i="1"/>
  <c r="J466" i="1"/>
  <c r="J302" i="1"/>
  <c r="J208" i="1"/>
  <c r="J439" i="1"/>
  <c r="J374" i="1"/>
  <c r="J14" i="3"/>
</calcChain>
</file>

<file path=xl/sharedStrings.xml><?xml version="1.0" encoding="utf-8"?>
<sst xmlns="http://schemas.openxmlformats.org/spreadsheetml/2006/main" count="2963" uniqueCount="1030">
  <si>
    <t>Rank</t>
  </si>
  <si>
    <t>Application Number</t>
  </si>
  <si>
    <t>Applicant Name</t>
  </si>
  <si>
    <t>County</t>
  </si>
  <si>
    <t>Request</t>
  </si>
  <si>
    <t>Funding Level</t>
  </si>
  <si>
    <t>Total Request</t>
  </si>
  <si>
    <t>Multiplier</t>
  </si>
  <si>
    <t>Score Rounded to 4 digits</t>
  </si>
  <si>
    <t>Adjusted Request</t>
  </si>
  <si>
    <t>Step One Funding Recommendation</t>
  </si>
  <si>
    <t># below $1000</t>
  </si>
  <si>
    <t>Recommended Funding</t>
  </si>
  <si>
    <t>Adjusted total award amount</t>
  </si>
  <si>
    <t>2nd stage award</t>
  </si>
  <si>
    <t>Adjusted Multiplier</t>
  </si>
  <si>
    <t>Step 2 adj award amount</t>
  </si>
  <si>
    <t># = $1000</t>
  </si>
  <si>
    <t>Total More than 1000</t>
  </si>
  <si>
    <t>Difference</t>
  </si>
  <si>
    <t>Add</t>
  </si>
  <si>
    <t>Final Total</t>
  </si>
  <si>
    <t>Award Amounts</t>
  </si>
  <si>
    <t>Score</t>
  </si>
  <si>
    <t>Percentage of request</t>
  </si>
  <si>
    <t>Variance still to be distributed</t>
  </si>
  <si>
    <t xml:space="preserve">20.c.ps.180.091 </t>
  </si>
  <si>
    <t xml:space="preserve">Performing Arts Center Trust, Inc. </t>
  </si>
  <si>
    <t xml:space="preserve">Miami-Dade </t>
  </si>
  <si>
    <t xml:space="preserve">20.c.ps.102.282 </t>
  </si>
  <si>
    <t xml:space="preserve">New World Symphony, Inc. </t>
  </si>
  <si>
    <t xml:space="preserve">20.c.ps.141.519 </t>
  </si>
  <si>
    <t xml:space="preserve">Venice Theatre, Inc. </t>
  </si>
  <si>
    <t xml:space="preserve">Sarasota </t>
  </si>
  <si>
    <t xml:space="preserve">20.c.ps.180.209 </t>
  </si>
  <si>
    <t xml:space="preserve">Performing Arts Center Authority </t>
  </si>
  <si>
    <t xml:space="preserve">Broward </t>
  </si>
  <si>
    <t xml:space="preserve">20.c.ps.102.241 </t>
  </si>
  <si>
    <t xml:space="preserve">Young Singers of the Palm Beaches, Inc. </t>
  </si>
  <si>
    <t xml:space="preserve">Palm Beach </t>
  </si>
  <si>
    <t xml:space="preserve">20.c.ps.200.672 </t>
  </si>
  <si>
    <t xml:space="preserve">Miami Music Project, Inc. </t>
  </si>
  <si>
    <t xml:space="preserve">20.c.ps.142.390 </t>
  </si>
  <si>
    <t xml:space="preserve">Florida Studio Theatre, Inc. </t>
  </si>
  <si>
    <t xml:space="preserve">20.c.ps.180.529 </t>
  </si>
  <si>
    <t xml:space="preserve">Miami Light Project, Inc. </t>
  </si>
  <si>
    <t xml:space="preserve">20.c.ps.180.594 </t>
  </si>
  <si>
    <t xml:space="preserve">City of Sarasota </t>
  </si>
  <si>
    <t xml:space="preserve">20.c.ps.200.326 </t>
  </si>
  <si>
    <t xml:space="preserve">Cathedral Arts Project, Inc. </t>
  </si>
  <si>
    <t xml:space="preserve">Duval </t>
  </si>
  <si>
    <t xml:space="preserve">20.c.ps.170.739 </t>
  </si>
  <si>
    <t xml:space="preserve">Miami Children's Museum, Inc. </t>
  </si>
  <si>
    <t xml:space="preserve">20.c.ps.142.565 </t>
  </si>
  <si>
    <t xml:space="preserve">Asolo Theatre, Inc. </t>
  </si>
  <si>
    <t xml:space="preserve">20.c.ps.180.376 </t>
  </si>
  <si>
    <t xml:space="preserve">Tampa Bay Performing Arts Center, Inc. </t>
  </si>
  <si>
    <t xml:space="preserve">Hillsborough </t>
  </si>
  <si>
    <t xml:space="preserve">20.c.ps.101.302 </t>
  </si>
  <si>
    <t xml:space="preserve">Miami City Ballet, Inc. </t>
  </si>
  <si>
    <t xml:space="preserve">20.c.ps.110.755 </t>
  </si>
  <si>
    <t xml:space="preserve">University of Wynwood, Inc. </t>
  </si>
  <si>
    <t xml:space="preserve">20.c.ps.105.227 </t>
  </si>
  <si>
    <t xml:space="preserve">Naples Art Association, Inc. </t>
  </si>
  <si>
    <t xml:space="preserve">Collier </t>
  </si>
  <si>
    <t xml:space="preserve">20.c.ps.114.681 </t>
  </si>
  <si>
    <t xml:space="preserve">Shands Teaching Hospital and Clinics, Inc. </t>
  </si>
  <si>
    <t xml:space="preserve">Alachua </t>
  </si>
  <si>
    <t xml:space="preserve">20.c.ps.141.746 </t>
  </si>
  <si>
    <t xml:space="preserve">The Marion Players, Inc. </t>
  </si>
  <si>
    <t xml:space="preserve">Marion </t>
  </si>
  <si>
    <t xml:space="preserve">20.c.ps.114.237 </t>
  </si>
  <si>
    <t xml:space="preserve">Atlantic Center for the Arts, Inc. </t>
  </si>
  <si>
    <t xml:space="preserve">Volusia </t>
  </si>
  <si>
    <t xml:space="preserve">20.c.ps.141.136 </t>
  </si>
  <si>
    <t xml:space="preserve">The Fort Lauderdale Children's Theatre, Inc. </t>
  </si>
  <si>
    <t xml:space="preserve">20.c.ps.114.508 </t>
  </si>
  <si>
    <t xml:space="preserve">ArtSouth, A Not-for-Profit Corporation </t>
  </si>
  <si>
    <t xml:space="preserve">20.c.ps.105.278 </t>
  </si>
  <si>
    <t xml:space="preserve">Arts Center Association, Inc. </t>
  </si>
  <si>
    <t xml:space="preserve">Pinellas </t>
  </si>
  <si>
    <t xml:space="preserve">20.c.ps.170.538 </t>
  </si>
  <si>
    <t xml:space="preserve">Jorge M. Pérez Art Museum of Miami-Dade County, Inc. </t>
  </si>
  <si>
    <t xml:space="preserve">20.c.ps.101.086 </t>
  </si>
  <si>
    <t xml:space="preserve">Dance Alive!, Inc. </t>
  </si>
  <si>
    <t xml:space="preserve">20.c.ps.102.333 </t>
  </si>
  <si>
    <t xml:space="preserve">The Bach Festival Society of Winter Park, Inc. </t>
  </si>
  <si>
    <t xml:space="preserve">Orange </t>
  </si>
  <si>
    <t xml:space="preserve">20.c.ps.141.541 </t>
  </si>
  <si>
    <t xml:space="preserve">The Historic Cocoa Village Playhouse, Inc. </t>
  </si>
  <si>
    <t xml:space="preserve">Brevard </t>
  </si>
  <si>
    <t xml:space="preserve">20.c.ps.141.351 </t>
  </si>
  <si>
    <t xml:space="preserve">Theatre Jacksonville, Inc. </t>
  </si>
  <si>
    <t xml:space="preserve">20.c.ps.102.263 </t>
  </si>
  <si>
    <t xml:space="preserve">Amelia Island Chamber Music Festival, Inc. </t>
  </si>
  <si>
    <t xml:space="preserve">Nassau </t>
  </si>
  <si>
    <t xml:space="preserve">20.c.ps.109.391 </t>
  </si>
  <si>
    <t xml:space="preserve">The Tampa Theatre, Inc. </t>
  </si>
  <si>
    <t xml:space="preserve">20.c.ps.141.579 </t>
  </si>
  <si>
    <t xml:space="preserve">Players by the Sea, Inc </t>
  </si>
  <si>
    <t xml:space="preserve">20.c.ps.141.236 </t>
  </si>
  <si>
    <t xml:space="preserve">Pensacola Little Theatre, Inc. </t>
  </si>
  <si>
    <t xml:space="preserve">Escambia </t>
  </si>
  <si>
    <t xml:space="preserve">20.c.ps.180.309 </t>
  </si>
  <si>
    <t xml:space="preserve">Raymond F. Kravis Center for the Performing Arts, Inc. </t>
  </si>
  <si>
    <t xml:space="preserve">20.c.ps.102.564 </t>
  </si>
  <si>
    <t xml:space="preserve">Ocala Symphony Orchestra, Inc. </t>
  </si>
  <si>
    <t xml:space="preserve">20.c.ps.170.679 </t>
  </si>
  <si>
    <t xml:space="preserve">Boca Raton Museum of Art, Inc. </t>
  </si>
  <si>
    <t xml:space="preserve">20.c.ps.142.343 </t>
  </si>
  <si>
    <t xml:space="preserve">Maltz Jupiter Theatre, Inc. </t>
  </si>
  <si>
    <t xml:space="preserve">20.c.ps.170.495 </t>
  </si>
  <si>
    <t xml:space="preserve">Museum of Discovery and Science, Inc. </t>
  </si>
  <si>
    <t xml:space="preserve">20.c.ps.141.378 </t>
  </si>
  <si>
    <t xml:space="preserve">Tallahassee Little Theatre, Inc. </t>
  </si>
  <si>
    <t xml:space="preserve">Leon </t>
  </si>
  <si>
    <t xml:space="preserve">20.c.ps.114.151 </t>
  </si>
  <si>
    <t xml:space="preserve">The Hermitage Artist Retreat, Inc. </t>
  </si>
  <si>
    <t xml:space="preserve">20.c.ps.180.046 </t>
  </si>
  <si>
    <t xml:space="preserve">Florida State University Foundation, Inc. </t>
  </si>
  <si>
    <t xml:space="preserve">20.c.ps.170.728 </t>
  </si>
  <si>
    <t xml:space="preserve">Orlando Science Center, Inc. </t>
  </si>
  <si>
    <t xml:space="preserve">20.c.ps.142.523 </t>
  </si>
  <si>
    <t xml:space="preserve">Florida Repertory Company, Inc. </t>
  </si>
  <si>
    <t xml:space="preserve">Lee </t>
  </si>
  <si>
    <t xml:space="preserve">20.c.ps.170.552 </t>
  </si>
  <si>
    <t xml:space="preserve">Great Explorations, Inc. </t>
  </si>
  <si>
    <t xml:space="preserve">20.c.ps.200.431 </t>
  </si>
  <si>
    <t xml:space="preserve">Central Florida Vocal Arts </t>
  </si>
  <si>
    <t xml:space="preserve">20.c.ps.105.233 </t>
  </si>
  <si>
    <t xml:space="preserve">Florida Craftsmen </t>
  </si>
  <si>
    <t xml:space="preserve">20.c.ps.141.607 </t>
  </si>
  <si>
    <t xml:space="preserve">The Manatee Players, Inc. </t>
  </si>
  <si>
    <t xml:space="preserve">Manatee </t>
  </si>
  <si>
    <t xml:space="preserve">20.c.ps.102.108 </t>
  </si>
  <si>
    <t xml:space="preserve">The Imperial Symphony Orchestra, Inc. </t>
  </si>
  <si>
    <t xml:space="preserve">Polk </t>
  </si>
  <si>
    <t xml:space="preserve">20.c.ps.170.707 </t>
  </si>
  <si>
    <t xml:space="preserve">Institute of Contemporary Art, Miami </t>
  </si>
  <si>
    <t xml:space="preserve">20.c.ps.170.576 </t>
  </si>
  <si>
    <t xml:space="preserve">Dunedin Museum, Inc. </t>
  </si>
  <si>
    <t xml:space="preserve">20.c.ps.500.507 </t>
  </si>
  <si>
    <t xml:space="preserve">United Arts of Central Florida </t>
  </si>
  <si>
    <t xml:space="preserve">20.c.ps.170.641 </t>
  </si>
  <si>
    <t xml:space="preserve">Vizcaya Museum and Gardens Trust, Inc. </t>
  </si>
  <si>
    <t xml:space="preserve">20.c.ps.102.689 </t>
  </si>
  <si>
    <t xml:space="preserve">Florida Symphony Youth Orchestra, Inc. </t>
  </si>
  <si>
    <t xml:space="preserve">20.c.ps.114.176 </t>
  </si>
  <si>
    <t xml:space="preserve">Hollywood Art and Culture Center, Inc. </t>
  </si>
  <si>
    <t xml:space="preserve">20.c.ps.109.634 </t>
  </si>
  <si>
    <t xml:space="preserve">Enzian Theatre, Inc. </t>
  </si>
  <si>
    <t xml:space="preserve">20.c.ps.102.164 </t>
  </si>
  <si>
    <t xml:space="preserve">Tallahassee Symphony Orchestra, Inc. </t>
  </si>
  <si>
    <t xml:space="preserve">20.c.ps.170.281 </t>
  </si>
  <si>
    <t xml:space="preserve">The DeEtte Holden Cummer Museum Foundation, Inc. </t>
  </si>
  <si>
    <t xml:space="preserve">20.c.ps.114.096 </t>
  </si>
  <si>
    <t xml:space="preserve">Artis—Naples, Inc. </t>
  </si>
  <si>
    <t xml:space="preserve">20.c.ps.114.453 </t>
  </si>
  <si>
    <t xml:space="preserve">ArtServe, Inc. </t>
  </si>
  <si>
    <t xml:space="preserve">20.c.ps.141.133 </t>
  </si>
  <si>
    <t xml:space="preserve">The Players, Inc. </t>
  </si>
  <si>
    <t xml:space="preserve">20.c.ps.170.243 </t>
  </si>
  <si>
    <t xml:space="preserve">The University of Tampa, Incorporated </t>
  </si>
  <si>
    <t xml:space="preserve">20.c.ps.102.427 </t>
  </si>
  <si>
    <t xml:space="preserve">FloriMezzo, Inc. </t>
  </si>
  <si>
    <t xml:space="preserve">20.c.ps.102.602 </t>
  </si>
  <si>
    <t xml:space="preserve">Seraphic Fire, Inc. </t>
  </si>
  <si>
    <t xml:space="preserve">20.c.ps.105.029 </t>
  </si>
  <si>
    <t xml:space="preserve">Gadsden Arts, Inc. </t>
  </si>
  <si>
    <t xml:space="preserve">Gadsden </t>
  </si>
  <si>
    <t xml:space="preserve">20.c.ps.142.647 </t>
  </si>
  <si>
    <t xml:space="preserve">Riverside Theatre, Inc. </t>
  </si>
  <si>
    <t xml:space="preserve">Indian River </t>
  </si>
  <si>
    <t xml:space="preserve">20.c.ps.102.242 </t>
  </si>
  <si>
    <t xml:space="preserve">Palm Beach Opera, Inc. </t>
  </si>
  <si>
    <t xml:space="preserve">20.c.ps.170.490 </t>
  </si>
  <si>
    <t xml:space="preserve">Holocaust Memorial Resource and Education Center of Florida, Inc. </t>
  </si>
  <si>
    <t xml:space="preserve">20.c.ps.141.249 </t>
  </si>
  <si>
    <t xml:space="preserve">Titusville Playhouse, Inc. </t>
  </si>
  <si>
    <t xml:space="preserve">20.c.ps.114.441 </t>
  </si>
  <si>
    <t xml:space="preserve">Central Florida Community Arts, Inc. </t>
  </si>
  <si>
    <t xml:space="preserve">20.c.ps.170.458 </t>
  </si>
  <si>
    <t xml:space="preserve">Conservancy of Southwest Florida, Inc. </t>
  </si>
  <si>
    <t xml:space="preserve">20.c.ps.170.398 </t>
  </si>
  <si>
    <t xml:space="preserve">Zoo Miami Foundation </t>
  </si>
  <si>
    <t xml:space="preserve">20.c.ps.170.116 </t>
  </si>
  <si>
    <t xml:space="preserve">University of Florida  </t>
  </si>
  <si>
    <t xml:space="preserve">20.c.ps.142.527 </t>
  </si>
  <si>
    <t xml:space="preserve">Palm Beach Dramaworks, Inc. </t>
  </si>
  <si>
    <t xml:space="preserve">20.c.ps.170.081 </t>
  </si>
  <si>
    <t xml:space="preserve">City of Lake Wales </t>
  </si>
  <si>
    <t xml:space="preserve">20.c.ps.170.092 </t>
  </si>
  <si>
    <t xml:space="preserve">Museum of Science and History of Jacksonville, Inc. </t>
  </si>
  <si>
    <t xml:space="preserve">20.c.ps.142.437 </t>
  </si>
  <si>
    <t xml:space="preserve">Fantasy Theatre Factory, Inc. </t>
  </si>
  <si>
    <t xml:space="preserve">20.c.ps.180.195 </t>
  </si>
  <si>
    <t xml:space="preserve">Gold Coast Jazz Society, Inc. </t>
  </si>
  <si>
    <t xml:space="preserve">20.c.ps.170.158 </t>
  </si>
  <si>
    <t xml:space="preserve">Friends of the Mennello Museum of American Art, Inc. </t>
  </si>
  <si>
    <t xml:space="preserve">20.c.ps.114.207 </t>
  </si>
  <si>
    <t xml:space="preserve">20.c.ps.170.345 </t>
  </si>
  <si>
    <t xml:space="preserve">The Henry Morrison Flagler Museum </t>
  </si>
  <si>
    <t xml:space="preserve">20.c.ps.114.410 </t>
  </si>
  <si>
    <t xml:space="preserve">City of Pembroke Pines </t>
  </si>
  <si>
    <t xml:space="preserve">20.c.ps.142.554 </t>
  </si>
  <si>
    <t xml:space="preserve">Orlando Repertory Theatre, Inc. </t>
  </si>
  <si>
    <t xml:space="preserve">20.c.ps.102.659 </t>
  </si>
  <si>
    <t xml:space="preserve">Gulf Coast Symphony Orchestra, Inc. </t>
  </si>
  <si>
    <t xml:space="preserve">20.c.ps.105.344 </t>
  </si>
  <si>
    <t xml:space="preserve">Images, A Festival of the Arts, Inc. </t>
  </si>
  <si>
    <t xml:space="preserve">20.c.ps.114.254 </t>
  </si>
  <si>
    <t xml:space="preserve">Village of Pinecrest </t>
  </si>
  <si>
    <t xml:space="preserve">20.c.ps.101.089 </t>
  </si>
  <si>
    <t xml:space="preserve">The Tallahassee Ballet, Inc. </t>
  </si>
  <si>
    <t xml:space="preserve">20.c.ps.170.664 </t>
  </si>
  <si>
    <t xml:space="preserve">Tallahassee Museum of History and Natural Science, Inc. </t>
  </si>
  <si>
    <t xml:space="preserve">20.c.ps.110.299 </t>
  </si>
  <si>
    <t xml:space="preserve">Miami Dade College </t>
  </si>
  <si>
    <t xml:space="preserve">20.c.ps.101.131 </t>
  </si>
  <si>
    <t xml:space="preserve">Orlando Ballet, Inc. </t>
  </si>
  <si>
    <t xml:space="preserve">20.c.ps.200.199 </t>
  </si>
  <si>
    <t xml:space="preserve">Musicall, Inc. </t>
  </si>
  <si>
    <t xml:space="preserve">20.c.ps.142.517 </t>
  </si>
  <si>
    <t xml:space="preserve">FreeFall Theatre, Inc. </t>
  </si>
  <si>
    <t xml:space="preserve">20.c.ps.200.446 </t>
  </si>
  <si>
    <t xml:space="preserve">Miami Theater Center, Inc. </t>
  </si>
  <si>
    <t xml:space="preserve">20.c.ps.114.733 </t>
  </si>
  <si>
    <t xml:space="preserve">National Foundation for Advancement in the Arts, Inc. </t>
  </si>
  <si>
    <t xml:space="preserve">20.c.ps.102.475 </t>
  </si>
  <si>
    <t xml:space="preserve">The Perlman Music Program/Suncoast, Inc. </t>
  </si>
  <si>
    <t xml:space="preserve">20.c.ps.180.584 </t>
  </si>
  <si>
    <t xml:space="preserve">Dr. Phillips Center for the Performing Arts, Inc. </t>
  </si>
  <si>
    <t xml:space="preserve">20.c.ps.101.464 </t>
  </si>
  <si>
    <t xml:space="preserve">Dimensions Dance Theater of Miami Inc. </t>
  </si>
  <si>
    <t xml:space="preserve">20.c.ps.105.487 </t>
  </si>
  <si>
    <t xml:space="preserve">ArtCenter Manatee </t>
  </si>
  <si>
    <t xml:space="preserve">20.c.ps.170.770 </t>
  </si>
  <si>
    <t xml:space="preserve">Norton Museum of Art, Inc. </t>
  </si>
  <si>
    <t xml:space="preserve">20.c.ps.180.349 </t>
  </si>
  <si>
    <t xml:space="preserve">Chopin Foundation of the United States, Inc. </t>
  </si>
  <si>
    <t xml:space="preserve">20.c.ps.170.268 </t>
  </si>
  <si>
    <t xml:space="preserve">Explorations V Children's Museum, Inc. </t>
  </si>
  <si>
    <t xml:space="preserve">20.c.ps.180.572 </t>
  </si>
  <si>
    <t xml:space="preserve">Florida State College at Jacksonville Foundation, Inc. </t>
  </si>
  <si>
    <t xml:space="preserve">20.c.ps.142.506 </t>
  </si>
  <si>
    <t xml:space="preserve">Orlando Shakespeare Theater, Inc. </t>
  </si>
  <si>
    <t xml:space="preserve">20.c.ps.114.357 </t>
  </si>
  <si>
    <t xml:space="preserve">Ruth Eckerd Hall, Inc. </t>
  </si>
  <si>
    <t xml:space="preserve">20.c.ps.170.337 </t>
  </si>
  <si>
    <t xml:space="preserve">Young At Art of Broward, Inc. </t>
  </si>
  <si>
    <t xml:space="preserve">20.c.ps.105.477 </t>
  </si>
  <si>
    <t xml:space="preserve">Florida Atlantic University </t>
  </si>
  <si>
    <t xml:space="preserve">20.c.ps.170.113 </t>
  </si>
  <si>
    <t xml:space="preserve">20.c.ps.170.418 </t>
  </si>
  <si>
    <t xml:space="preserve">The Stranahan House, Inc. </t>
  </si>
  <si>
    <t xml:space="preserve">20.c.ps.180.264 </t>
  </si>
  <si>
    <t xml:space="preserve">Broward Performing Arts Foundation, Inc. </t>
  </si>
  <si>
    <t xml:space="preserve">20.c.ps.102.383 </t>
  </si>
  <si>
    <t xml:space="preserve">The Jacksonville Children's Chorus, Inc. </t>
  </si>
  <si>
    <t xml:space="preserve">20.c.ps.114.339 </t>
  </si>
  <si>
    <t xml:space="preserve">Community Stepping Stones, Inc. </t>
  </si>
  <si>
    <t xml:space="preserve">20.c.ps.102.162 </t>
  </si>
  <si>
    <t xml:space="preserve">Brevard Symphony Orchestra, Inc. </t>
  </si>
  <si>
    <t xml:space="preserve">20.c.ps.102.174 </t>
  </si>
  <si>
    <t xml:space="preserve">Key Chorale, Inc. </t>
  </si>
  <si>
    <t xml:space="preserve">20.c.ps.102.421 </t>
  </si>
  <si>
    <t xml:space="preserve">Boca Raton Philharmonic Symphonia, Inc. </t>
  </si>
  <si>
    <t xml:space="preserve">20.c.ps.170.115 </t>
  </si>
  <si>
    <t xml:space="preserve">Museum of Science, Inc. </t>
  </si>
  <si>
    <t xml:space="preserve">20.c.ps.102.732 </t>
  </si>
  <si>
    <t xml:space="preserve">Gay Men's Chorus of South Florida </t>
  </si>
  <si>
    <t xml:space="preserve">20.c.ps.101.417 </t>
  </si>
  <si>
    <t xml:space="preserve">Sarasota Ballet of Florida, Inc. </t>
  </si>
  <si>
    <t xml:space="preserve">20.c.ps.200.035 </t>
  </si>
  <si>
    <t xml:space="preserve">All Florida Youth Orchestra, Incorporated </t>
  </si>
  <si>
    <t xml:space="preserve">20.c.ps.105.384 </t>
  </si>
  <si>
    <t xml:space="preserve">Crealde School of Art </t>
  </si>
  <si>
    <t xml:space="preserve">20.c.ps.105.239 </t>
  </si>
  <si>
    <t xml:space="preserve">Bakehouse Art Complex, Inc. </t>
  </si>
  <si>
    <t xml:space="preserve">20.c.ps.170.039 </t>
  </si>
  <si>
    <t xml:space="preserve">Albin Polasek Museum and Sculpture Gardens, Inc. </t>
  </si>
  <si>
    <t xml:space="preserve">20.c.ps.170.630 </t>
  </si>
  <si>
    <t xml:space="preserve">The Pensacola Mess Hall, Inc. </t>
  </si>
  <si>
    <t xml:space="preserve">20.c.ps.170.286 </t>
  </si>
  <si>
    <t xml:space="preserve">Historical Society of Central Florida, Inc. </t>
  </si>
  <si>
    <t xml:space="preserve">20.c.ps.142.057 </t>
  </si>
  <si>
    <t xml:space="preserve">Key West Players, Inc. </t>
  </si>
  <si>
    <t xml:space="preserve">Monroe </t>
  </si>
  <si>
    <t xml:space="preserve">20.c.ps.142.537 </t>
  </si>
  <si>
    <t xml:space="preserve">City Theatre </t>
  </si>
  <si>
    <t xml:space="preserve">20.c.ps.102.394 </t>
  </si>
  <si>
    <t xml:space="preserve">Florida West Coast Symphony, Inc. </t>
  </si>
  <si>
    <t xml:space="preserve">20.c.ps.102.628 </t>
  </si>
  <si>
    <t xml:space="preserve">Choral Masterworks Festival, Inc.  </t>
  </si>
  <si>
    <t xml:space="preserve">20.c.ps.105.657 </t>
  </si>
  <si>
    <t xml:space="preserve">South Florida Art Center, Inc. </t>
  </si>
  <si>
    <t xml:space="preserve">20.c.ps.102.619 </t>
  </si>
  <si>
    <t xml:space="preserve">Gainesville Youth Chorus, Inc. </t>
  </si>
  <si>
    <t xml:space="preserve">20.c.ps.102.250 </t>
  </si>
  <si>
    <t xml:space="preserve">The Tallahassee Bach Parley, Inc. </t>
  </si>
  <si>
    <t xml:space="preserve">20.c.ps.180.461 </t>
  </si>
  <si>
    <t xml:space="preserve">International Fringe Festival of Central Florida, Inc. </t>
  </si>
  <si>
    <t xml:space="preserve">20.c.ps.170.763 </t>
  </si>
  <si>
    <t xml:space="preserve">Central Florida Zoological Society, Inc. </t>
  </si>
  <si>
    <t xml:space="preserve">Seminole </t>
  </si>
  <si>
    <t xml:space="preserve">20.c.ps.180.356 </t>
  </si>
  <si>
    <t xml:space="preserve">Palm Beach State College </t>
  </si>
  <si>
    <t xml:space="preserve">20.c.ps.102.668 </t>
  </si>
  <si>
    <t xml:space="preserve">The Orlando Philharmonic Orchestra, Inc. </t>
  </si>
  <si>
    <t xml:space="preserve">20.c.ps.170.203 </t>
  </si>
  <si>
    <t xml:space="preserve">East Coast Zoological Society of Florida, Inc. </t>
  </si>
  <si>
    <t xml:space="preserve">20.c.ps.500.731 </t>
  </si>
  <si>
    <t xml:space="preserve">Miami-Dade County </t>
  </si>
  <si>
    <t xml:space="preserve">20.c.ps.142.022 </t>
  </si>
  <si>
    <t xml:space="preserve">The Winter Park Playhouse, Inc. </t>
  </si>
  <si>
    <t xml:space="preserve">20.c.ps.170.725 </t>
  </si>
  <si>
    <t xml:space="preserve">Matheson History Museum </t>
  </si>
  <si>
    <t xml:space="preserve">20.c.ps.142.306 </t>
  </si>
  <si>
    <t xml:space="preserve">Westcoast Black Theatre Troupe of Florida, Inc. </t>
  </si>
  <si>
    <t xml:space="preserve">20.c.ps.142.748 </t>
  </si>
  <si>
    <t xml:space="preserve">American Stage Company, Inc. </t>
  </si>
  <si>
    <t xml:space="preserve">20.c.ps.141.666 </t>
  </si>
  <si>
    <t xml:space="preserve">Spanish Lyric Theatre, Inc. </t>
  </si>
  <si>
    <t xml:space="preserve">20.c.ps.102.392 </t>
  </si>
  <si>
    <t xml:space="preserve">Florida Singing Sons, Inc. </t>
  </si>
  <si>
    <t xml:space="preserve">20.c.ps.180.156 </t>
  </si>
  <si>
    <t xml:space="preserve">Florida Theatre Performing Arts Center, Inc. </t>
  </si>
  <si>
    <t xml:space="preserve">20.c.ps.114.419 </t>
  </si>
  <si>
    <t xml:space="preserve">The Studios of Key West, Inc. </t>
  </si>
  <si>
    <t xml:space="preserve">20.c.ps.105.340 </t>
  </si>
  <si>
    <t xml:space="preserve">Nova Southeastern University </t>
  </si>
  <si>
    <t xml:space="preserve">20.c.ps.142.135 </t>
  </si>
  <si>
    <t xml:space="preserve">Mad Cow Theatre, Inc. </t>
  </si>
  <si>
    <t xml:space="preserve">20.c.ps.142.240 </t>
  </si>
  <si>
    <t xml:space="preserve">MicheLee Puppets, Inc. </t>
  </si>
  <si>
    <t xml:space="preserve">20.c.ps.142.083 </t>
  </si>
  <si>
    <t xml:space="preserve">Actors' Playhouse Productions </t>
  </si>
  <si>
    <t xml:space="preserve">20.c.ps.170.165 </t>
  </si>
  <si>
    <t xml:space="preserve">Museum of Fine Arts of St. Petersburg, Florida, Inc. </t>
  </si>
  <si>
    <t xml:space="preserve">20.c.ps.170.631 </t>
  </si>
  <si>
    <t xml:space="preserve">Naples Botanical Garden, Inc. </t>
  </si>
  <si>
    <t xml:space="preserve">20.c.ps.114.144 </t>
  </si>
  <si>
    <t xml:space="preserve">The Dave and Mary Alper Jewish Community Center, Inc. </t>
  </si>
  <si>
    <t xml:space="preserve">20.c.ps.141.493 </t>
  </si>
  <si>
    <t xml:space="preserve">Theatre Winter Haven, Inc. </t>
  </si>
  <si>
    <t xml:space="preserve">20.c.ps.102.504 </t>
  </si>
  <si>
    <t xml:space="preserve">Opera Orlando, Inc. </t>
  </si>
  <si>
    <t xml:space="preserve">20.c.ps.170.599 </t>
  </si>
  <si>
    <t xml:space="preserve">Lowry Park Zoological Society of Tampa, Inc. </t>
  </si>
  <si>
    <t xml:space="preserve">20.c.ps.170.078 </t>
  </si>
  <si>
    <t xml:space="preserve">Jacksonville Zoological Society, Inc. </t>
  </si>
  <si>
    <t xml:space="preserve">20.c.ps.105.208 </t>
  </si>
  <si>
    <t xml:space="preserve">Lighthouse ArtCenter, Inc. </t>
  </si>
  <si>
    <t xml:space="preserve">20.c.ps.170.319 </t>
  </si>
  <si>
    <t xml:space="preserve">World AIDS Museum, Incorporated </t>
  </si>
  <si>
    <t xml:space="preserve">20.c.ps.170.624 </t>
  </si>
  <si>
    <t xml:space="preserve">Clearwater Marine Aquarium </t>
  </si>
  <si>
    <t xml:space="preserve">20.c.ps.101.257 </t>
  </si>
  <si>
    <t xml:space="preserve">Northwest Florida Ballet, Inc. </t>
  </si>
  <si>
    <t xml:space="preserve">Okaloosa </t>
  </si>
  <si>
    <t xml:space="preserve">20.c.ps.114.644 </t>
  </si>
  <si>
    <t xml:space="preserve">Downtown Arts District, Inc. </t>
  </si>
  <si>
    <t xml:space="preserve">20.c.ps.180.593 </t>
  </si>
  <si>
    <t xml:space="preserve">The Rhythm Foundation, Inc. </t>
  </si>
  <si>
    <t xml:space="preserve">20.c.ps.114.496 </t>
  </si>
  <si>
    <t xml:space="preserve">City of Gainesville </t>
  </si>
  <si>
    <t xml:space="preserve">20.c.ps.170.234 </t>
  </si>
  <si>
    <t xml:space="preserve">Rollins College </t>
  </si>
  <si>
    <t xml:space="preserve">20.c.ps.105.782 </t>
  </si>
  <si>
    <t xml:space="preserve">Locust Projects, Inc. </t>
  </si>
  <si>
    <t xml:space="preserve">20.c.ps.102.228 </t>
  </si>
  <si>
    <t xml:space="preserve">Pensacola Opera </t>
  </si>
  <si>
    <t xml:space="preserve">20.c.ps.170.555 </t>
  </si>
  <si>
    <t xml:space="preserve">The Marie Selby Botanical Gardens, Inc. </t>
  </si>
  <si>
    <t xml:space="preserve">20.c.ps.142.704 </t>
  </si>
  <si>
    <t xml:space="preserve">Garden Theatre, Inc. </t>
  </si>
  <si>
    <t xml:space="preserve">20.c.ps.170.374 </t>
  </si>
  <si>
    <t xml:space="preserve">Stonewall Library &amp; Archives, Inc. </t>
  </si>
  <si>
    <t xml:space="preserve">20.c.ps.170.638 </t>
  </si>
  <si>
    <t xml:space="preserve">University of Miami </t>
  </si>
  <si>
    <t xml:space="preserve">20.c.ps.114.166 </t>
  </si>
  <si>
    <t xml:space="preserve">Miami Design Preservation League, Inc. </t>
  </si>
  <si>
    <t xml:space="preserve">20.c.ps.114.640 </t>
  </si>
  <si>
    <t xml:space="preserve">Creative City Collaborative of Delray Beach, Inc. </t>
  </si>
  <si>
    <t xml:space="preserve">20.c.ps.102.381 </t>
  </si>
  <si>
    <t xml:space="preserve">The Greater Pensacola Symphony Orchestra, Incorporated </t>
  </si>
  <si>
    <t xml:space="preserve">20.c.ps.114.655 </t>
  </si>
  <si>
    <t xml:space="preserve">Heathcote Botanical Gardens, Inc. </t>
  </si>
  <si>
    <t xml:space="preserve">St.Lucie </t>
  </si>
  <si>
    <t xml:space="preserve">20.c.ps.110.481 </t>
  </si>
  <si>
    <t xml:space="preserve">Hispanic Heritage Literature Organization Corp </t>
  </si>
  <si>
    <t xml:space="preserve">20.c.ps.110.544 </t>
  </si>
  <si>
    <t xml:space="preserve">Key West Literary Seminar, Inc. </t>
  </si>
  <si>
    <t xml:space="preserve">20.c.ps.142.127 </t>
  </si>
  <si>
    <t xml:space="preserve">Gablestage, Inc. </t>
  </si>
  <si>
    <t xml:space="preserve">20.c.ps.142.756 </t>
  </si>
  <si>
    <t xml:space="preserve">Emerald Coast Theatre Company </t>
  </si>
  <si>
    <t xml:space="preserve">Walton </t>
  </si>
  <si>
    <t xml:space="preserve">20.c.ps.142.308 </t>
  </si>
  <si>
    <t xml:space="preserve">The Jobsite Theater, Inc. </t>
  </si>
  <si>
    <t xml:space="preserve">20.c.ps.200.510 </t>
  </si>
  <si>
    <t xml:space="preserve">Bahama Village Music Program, Inc. </t>
  </si>
  <si>
    <t xml:space="preserve">20.c.ps.102.361 </t>
  </si>
  <si>
    <t xml:space="preserve">Jazz Society of Pensacola, Inc. </t>
  </si>
  <si>
    <t xml:space="preserve">20.c.ps.170.714 </t>
  </si>
  <si>
    <t xml:space="preserve">Save Our Seabirds, Inc. </t>
  </si>
  <si>
    <t xml:space="preserve">20.c.ps.142.528 </t>
  </si>
  <si>
    <t xml:space="preserve">Stage Works, Inc. </t>
  </si>
  <si>
    <t xml:space="preserve">20.c.ps.170.636 </t>
  </si>
  <si>
    <t xml:space="preserve">City of Sanford </t>
  </si>
  <si>
    <t xml:space="preserve">20.c.ps.102.626 </t>
  </si>
  <si>
    <t xml:space="preserve">Florida Grand Opera, Inc. </t>
  </si>
  <si>
    <t xml:space="preserve">20.c.ps.102.612 </t>
  </si>
  <si>
    <t xml:space="preserve">The Children's Voice Chorus, Inc. </t>
  </si>
  <si>
    <t xml:space="preserve">20.c.ps.114.716 </t>
  </si>
  <si>
    <t xml:space="preserve">The Circus Arts Conservatory, Inc. </t>
  </si>
  <si>
    <t xml:space="preserve">20.c.ps.101.169 </t>
  </si>
  <si>
    <t xml:space="preserve">The Dance Now! Ensemble, Inc. </t>
  </si>
  <si>
    <t xml:space="preserve">20.c.ps.114.472 </t>
  </si>
  <si>
    <t xml:space="preserve">20.c.ps.170.321 </t>
  </si>
  <si>
    <t xml:space="preserve">Shell Museum and Educational Foundation, Inc. </t>
  </si>
  <si>
    <t xml:space="preserve">20.c.ps.180.622 </t>
  </si>
  <si>
    <t xml:space="preserve">The Artist Series of Tallahassee, Inc. </t>
  </si>
  <si>
    <t xml:space="preserve">20.c.ps.142.132 </t>
  </si>
  <si>
    <t xml:space="preserve">Miami New Drama </t>
  </si>
  <si>
    <t xml:space="preserve">20.c.ps.102.457 </t>
  </si>
  <si>
    <t xml:space="preserve">The Choral Society of Pensacola, Inc. </t>
  </si>
  <si>
    <t xml:space="preserve">20.c.ps.600.040 </t>
  </si>
  <si>
    <t xml:space="preserve">VSA Florida, Inc. </t>
  </si>
  <si>
    <t xml:space="preserve">20.c.ps.142.526 </t>
  </si>
  <si>
    <t xml:space="preserve">Island City Stage, Inc. </t>
  </si>
  <si>
    <t xml:space="preserve">20.c.ps.170.232 </t>
  </si>
  <si>
    <t xml:space="preserve">Children's Museum of Tampa, Inc. </t>
  </si>
  <si>
    <t xml:space="preserve">20.c.ps.170.275 </t>
  </si>
  <si>
    <t xml:space="preserve">Daytona State College </t>
  </si>
  <si>
    <t xml:space="preserve">20.c.ps.170.601 </t>
  </si>
  <si>
    <t xml:space="preserve">Beaches Area Historical Society, Inc. </t>
  </si>
  <si>
    <t xml:space="preserve">20.c.ps.114.513 </t>
  </si>
  <si>
    <t xml:space="preserve">School of the Arts Foundation, Inc. </t>
  </si>
  <si>
    <t xml:space="preserve">20.c.ps.170.168 </t>
  </si>
  <si>
    <t xml:space="preserve">The Zoological Society of the Palm Beaches, Inc </t>
  </si>
  <si>
    <t xml:space="preserve">20.c.ps.102.104 </t>
  </si>
  <si>
    <t xml:space="preserve">Beaches Fine Arts Series, Inc. </t>
  </si>
  <si>
    <t xml:space="preserve">20.c.ps.105.652 </t>
  </si>
  <si>
    <t xml:space="preserve">Coral Springs Museum of Art, Inc. </t>
  </si>
  <si>
    <t xml:space="preserve">20.c.ps.170.028 </t>
  </si>
  <si>
    <t xml:space="preserve">Florida State University </t>
  </si>
  <si>
    <t xml:space="preserve">20.c.ps.500.109 </t>
  </si>
  <si>
    <t xml:space="preserve">Lee County Alliance of the Arts, Inc. </t>
  </si>
  <si>
    <t xml:space="preserve">20.c.ps.170.271 </t>
  </si>
  <si>
    <t xml:space="preserve">The Morikami, Inc. </t>
  </si>
  <si>
    <t xml:space="preserve">20.c.ps.170.428 </t>
  </si>
  <si>
    <t xml:space="preserve">Mel Fisher Maritime Heritage Society, Inc. </t>
  </si>
  <si>
    <t xml:space="preserve">20.c.ps.180.736 </t>
  </si>
  <si>
    <t xml:space="preserve">Miami-Dade County Auditorium </t>
  </si>
  <si>
    <t xml:space="preserve">20.c.ps.109.194 </t>
  </si>
  <si>
    <t xml:space="preserve">Center for the Advancement of Jewish Education, Inc. </t>
  </si>
  <si>
    <t xml:space="preserve">20.c.ps.105.642 </t>
  </si>
  <si>
    <t xml:space="preserve">The Armory Art Center, Inc. </t>
  </si>
  <si>
    <t xml:space="preserve">20.c.ps.114.200 </t>
  </si>
  <si>
    <t xml:space="preserve">Arts &amp; Business Council of Miami, Inc. </t>
  </si>
  <si>
    <t xml:space="preserve">20.c.ps.200.532 </t>
  </si>
  <si>
    <t xml:space="preserve">In Touch with Communities Around the World DBA Arts Conservatory for Teens </t>
  </si>
  <si>
    <t xml:space="preserve">20.c.ps.170.558 </t>
  </si>
  <si>
    <t xml:space="preserve">Key West Botanical Garden Society, Inc. </t>
  </si>
  <si>
    <t xml:space="preserve">20.c.ps.114.312 </t>
  </si>
  <si>
    <t xml:space="preserve">Ding Darling Wildlife Society, Inc. </t>
  </si>
  <si>
    <t xml:space="preserve">20.c.ps.180.123 </t>
  </si>
  <si>
    <t xml:space="preserve">South Florida State College </t>
  </si>
  <si>
    <t xml:space="preserve">Highlands </t>
  </si>
  <si>
    <t xml:space="preserve">20.c.ps.114.643 </t>
  </si>
  <si>
    <t xml:space="preserve">Florida Arts, Inc. </t>
  </si>
  <si>
    <t xml:space="preserve">20.c.ps.114.520 </t>
  </si>
  <si>
    <t xml:space="preserve">Broward College </t>
  </si>
  <si>
    <t xml:space="preserve">20.c.ps.141.547 </t>
  </si>
  <si>
    <t xml:space="preserve">Seminole Cultural Arts Theatre, Inc. </t>
  </si>
  <si>
    <t xml:space="preserve">20.c.ps.170.212 </t>
  </si>
  <si>
    <t xml:space="preserve">Amelia Island Museum of History, Inc. </t>
  </si>
  <si>
    <t xml:space="preserve">20.c.ps.102.238 </t>
  </si>
  <si>
    <t xml:space="preserve">South Florida Symphony Orchestra </t>
  </si>
  <si>
    <t xml:space="preserve">20.c.ps.114.605 </t>
  </si>
  <si>
    <t xml:space="preserve">Downtown Vision Alliance, Inc. </t>
  </si>
  <si>
    <t xml:space="preserve">20.c.ps.170.549 </t>
  </si>
  <si>
    <t xml:space="preserve">South Florida Museum and Bishop Planetarium, Inc. </t>
  </si>
  <si>
    <t xml:space="preserve">20.c.ps.170.106 </t>
  </si>
  <si>
    <t xml:space="preserve">Orlando Museum of Art, Inc. </t>
  </si>
  <si>
    <t xml:space="preserve">20.c.ps.142.740 </t>
  </si>
  <si>
    <t xml:space="preserve">The Hippodrome State Theatre, Inc. </t>
  </si>
  <si>
    <t xml:space="preserve">20.c.ps.180.608 </t>
  </si>
  <si>
    <t xml:space="preserve">Polk Theatre, Inc. </t>
  </si>
  <si>
    <t xml:space="preserve">20.c.ps.102.454 </t>
  </si>
  <si>
    <t xml:space="preserve">Atlantic Classical Orchestra, Inc. </t>
  </si>
  <si>
    <t xml:space="preserve">20.c.ps.114.502 </t>
  </si>
  <si>
    <t xml:space="preserve">Tallahassee Community College </t>
  </si>
  <si>
    <t xml:space="preserve">20.c.ps.114.436 </t>
  </si>
  <si>
    <t xml:space="preserve">Goodwood Museum and Gardens, Inc. </t>
  </si>
  <si>
    <t xml:space="preserve">20.c.ps.114.262 </t>
  </si>
  <si>
    <t xml:space="preserve">AmplifyMe, Inc </t>
  </si>
  <si>
    <t xml:space="preserve">20.c.ps.142.036 </t>
  </si>
  <si>
    <t xml:space="preserve">El Ingenio, Inc. </t>
  </si>
  <si>
    <t xml:space="preserve">20.c.ps.141.215 </t>
  </si>
  <si>
    <t xml:space="preserve">Young Actors Theatre of Tallahassee, Inc. </t>
  </si>
  <si>
    <t xml:space="preserve">20.c.ps.114.682 </t>
  </si>
  <si>
    <t xml:space="preserve">Marjory Stoneman Douglas Biscayne Nature Center, Inc. </t>
  </si>
  <si>
    <t xml:space="preserve">20.c.ps.105.042 </t>
  </si>
  <si>
    <t xml:space="preserve">Coexistence, Inc. </t>
  </si>
  <si>
    <t xml:space="preserve">20.c.ps.180.460 </t>
  </si>
  <si>
    <t xml:space="preserve">Clearwater Jazz Holiday Foundation, Inc. </t>
  </si>
  <si>
    <t xml:space="preserve">20.c.ps.170.387 </t>
  </si>
  <si>
    <t xml:space="preserve">Flagler Beach Historical Museum, Inc. </t>
  </si>
  <si>
    <t xml:space="preserve">Flagler </t>
  </si>
  <si>
    <t xml:space="preserve">20.c.ps.500.546 </t>
  </si>
  <si>
    <t xml:space="preserve">Broward County </t>
  </si>
  <si>
    <t xml:space="preserve">20.c.ps.105.709 </t>
  </si>
  <si>
    <t xml:space="preserve">Art Center Sarasota Inc. </t>
  </si>
  <si>
    <t xml:space="preserve">20.c.ps.102.548 </t>
  </si>
  <si>
    <t xml:space="preserve">Sarasota Opera Association, Inc. </t>
  </si>
  <si>
    <t xml:space="preserve">20.c.ps.170.323 </t>
  </si>
  <si>
    <t xml:space="preserve">Historical Association of Southern Florida, Inc. </t>
  </si>
  <si>
    <t xml:space="preserve">20.c.ps.102.489 </t>
  </si>
  <si>
    <t xml:space="preserve">Nu Deco Ensemble, Inc. </t>
  </si>
  <si>
    <t xml:space="preserve">20.c.ps.170.735 </t>
  </si>
  <si>
    <t xml:space="preserve">Museum of Contemporary Art Jacksonville, Inc. </t>
  </si>
  <si>
    <t xml:space="preserve">20.c.ps.105.705 </t>
  </si>
  <si>
    <t xml:space="preserve">The Dunedin Fine Art Center, Inc. </t>
  </si>
  <si>
    <t xml:space="preserve">20.c.ps.114.093 </t>
  </si>
  <si>
    <t xml:space="preserve">The Studio @ 620, Inc. </t>
  </si>
  <si>
    <t xml:space="preserve">20.c.ps.170.706 </t>
  </si>
  <si>
    <t xml:space="preserve">Polk Museum of Art, Inc. </t>
  </si>
  <si>
    <t xml:space="preserve">20.c.ps.170.750 </t>
  </si>
  <si>
    <t xml:space="preserve">U.S. Space Walk of Fame Museum, Inc. </t>
  </si>
  <si>
    <t xml:space="preserve">20.c.ps.600.276 </t>
  </si>
  <si>
    <t xml:space="preserve">The Florida Music Education Association, Inc. </t>
  </si>
  <si>
    <t xml:space="preserve">20.c.ps.109.225 </t>
  </si>
  <si>
    <t xml:space="preserve">The Broward County Film Society, Inc. </t>
  </si>
  <si>
    <t xml:space="preserve">20.c.ps.170.341 </t>
  </si>
  <si>
    <t xml:space="preserve">20.c.ps.141.030 </t>
  </si>
  <si>
    <t xml:space="preserve">Sands Theater Center, Inc. </t>
  </si>
  <si>
    <t xml:space="preserve">20.c.ps.114.567 </t>
  </si>
  <si>
    <t xml:space="preserve">Miami Center for Architecture &amp; Design, Inc. </t>
  </si>
  <si>
    <t xml:space="preserve">20.c.ps.180.468 </t>
  </si>
  <si>
    <t xml:space="preserve">Olympia Center, Inc. </t>
  </si>
  <si>
    <t xml:space="preserve">20.c.ps.114.295 </t>
  </si>
  <si>
    <t xml:space="preserve">Association to Preserve the Eatonville Community </t>
  </si>
  <si>
    <t xml:space="preserve">20.c.ps.114.315 </t>
  </si>
  <si>
    <t xml:space="preserve">The Hub on Canal, Inc. </t>
  </si>
  <si>
    <t xml:space="preserve">20.c.ps.170.708 </t>
  </si>
  <si>
    <t xml:space="preserve">Winter Garden Heritage Foundation, Inc. </t>
  </si>
  <si>
    <t xml:space="preserve">20.c.ps.114.050 </t>
  </si>
  <si>
    <t xml:space="preserve">City of Tarpon Springs </t>
  </si>
  <si>
    <t xml:space="preserve">20.c.ps.170.366 </t>
  </si>
  <si>
    <t xml:space="preserve">African American Museum of the Arts, Inc. </t>
  </si>
  <si>
    <t xml:space="preserve">20.c.ps.170.764 </t>
  </si>
  <si>
    <t xml:space="preserve">The University of South Florida </t>
  </si>
  <si>
    <t xml:space="preserve">20.c.ps.142.224 </t>
  </si>
  <si>
    <t xml:space="preserve">Slow Burn Theatre Company, Inc. </t>
  </si>
  <si>
    <t xml:space="preserve">20.c.ps.101.175 </t>
  </si>
  <si>
    <t xml:space="preserve">Thomas Armour Youth Ballet, Inc. </t>
  </si>
  <si>
    <t xml:space="preserve">20.c.ps.141.768 </t>
  </si>
  <si>
    <t xml:space="preserve">Marathon Community Theatre, Inc. </t>
  </si>
  <si>
    <t xml:space="preserve">20.c.ps.109.762 </t>
  </si>
  <si>
    <t xml:space="preserve">Borscht Corp </t>
  </si>
  <si>
    <t xml:space="preserve">20.c.ps.102.646 </t>
  </si>
  <si>
    <t xml:space="preserve">Sinfonia Gulf Coast, Inc. </t>
  </si>
  <si>
    <t xml:space="preserve">20.c.ps.500.757 </t>
  </si>
  <si>
    <t xml:space="preserve">Cultural Arts Alliance of Walton County, Inc. </t>
  </si>
  <si>
    <t xml:space="preserve">20.c.ps.170.038 </t>
  </si>
  <si>
    <t xml:space="preserve">Bonnet House, Inc. </t>
  </si>
  <si>
    <t xml:space="preserve">20.c.ps.102.423 </t>
  </si>
  <si>
    <t xml:space="preserve">The Girlchoir of South Florida, Inc. </t>
  </si>
  <si>
    <t xml:space="preserve">20.c.ps.114.635 </t>
  </si>
  <si>
    <t xml:space="preserve">Young Performing Artists Corporation </t>
  </si>
  <si>
    <t xml:space="preserve">Sumter </t>
  </si>
  <si>
    <t xml:space="preserve">20.c.ps.170.370 </t>
  </si>
  <si>
    <t xml:space="preserve">Museum of Arts and Sciences, Inc. </t>
  </si>
  <si>
    <t xml:space="preserve">20.c.ps.102.372 </t>
  </si>
  <si>
    <t xml:space="preserve">Gulfshore Opera, Inc. </t>
  </si>
  <si>
    <t xml:space="preserve">20.c.ps.170.045 </t>
  </si>
  <si>
    <t xml:space="preserve">Loxahatchee River Historical Society, Inc. </t>
  </si>
  <si>
    <t xml:space="preserve">20.c.ps.102.654 </t>
  </si>
  <si>
    <t xml:space="preserve">Symphony of the Americas, Inc. </t>
  </si>
  <si>
    <t xml:space="preserve">20.c.ps.114.465 </t>
  </si>
  <si>
    <t xml:space="preserve">Adolph &amp; Rose Levis Jewish Community Center, Inc. </t>
  </si>
  <si>
    <t xml:space="preserve">20.c.ps.114.364 </t>
  </si>
  <si>
    <t xml:space="preserve">Centro Cultural Español de Cooperación Iberoamericana, Inc. </t>
  </si>
  <si>
    <t xml:space="preserve">20.c.ps.109.359 </t>
  </si>
  <si>
    <t xml:space="preserve">Living Arts Trust, Inc. </t>
  </si>
  <si>
    <t xml:space="preserve">20.c.ps.109.715 </t>
  </si>
  <si>
    <t xml:space="preserve">Sarasota Film Festival, Inc. </t>
  </si>
  <si>
    <t xml:space="preserve">20.c.ps.141.375 </t>
  </si>
  <si>
    <t xml:space="preserve">Lakeland Community Theatre, Inc. </t>
  </si>
  <si>
    <t xml:space="preserve">20.c.ps.180.588 </t>
  </si>
  <si>
    <t xml:space="preserve">Romanza-St. Augustine, Inc. </t>
  </si>
  <si>
    <t xml:space="preserve">St. Johns </t>
  </si>
  <si>
    <t xml:space="preserve">20.c.ps.102.663 </t>
  </si>
  <si>
    <t xml:space="preserve">Southwest Florida Symphony Orchestra and Chorus Association, Inc. </t>
  </si>
  <si>
    <t xml:space="preserve">20.c.ps.114.267 </t>
  </si>
  <si>
    <t xml:space="preserve">Creative Clay, Inc. </t>
  </si>
  <si>
    <t xml:space="preserve">20.c.ps.102.543 </t>
  </si>
  <si>
    <t xml:space="preserve">St. Petersburg Opera Company </t>
  </si>
  <si>
    <t xml:space="preserve">20.c.ps.180.589 </t>
  </si>
  <si>
    <t xml:space="preserve">Maxwell C. King Center for the Performing Arts, Inc. </t>
  </si>
  <si>
    <t xml:space="preserve">20.c.ps.170.080 </t>
  </si>
  <si>
    <t xml:space="preserve">The Saint Augustine Lighthouse and Museum </t>
  </si>
  <si>
    <t xml:space="preserve">20.c.ps.170.434 </t>
  </si>
  <si>
    <t xml:space="preserve">South Florida Science Center and Aquarium, Inc. </t>
  </si>
  <si>
    <t xml:space="preserve">20.c.ps.170.111 </t>
  </si>
  <si>
    <t xml:space="preserve">Bok Tower Gardens, Inc. </t>
  </si>
  <si>
    <t xml:space="preserve">20.c.ps.109.293 </t>
  </si>
  <si>
    <t xml:space="preserve">Miami Beach Film Society, Inc. </t>
  </si>
  <si>
    <t xml:space="preserve">20.c.ps.180.226 </t>
  </si>
  <si>
    <t xml:space="preserve">Sunfest of Palm Beach County, Inc. </t>
  </si>
  <si>
    <t xml:space="preserve">20.c.ps.170.430 </t>
  </si>
  <si>
    <t xml:space="preserve">Fort Lauderdale Historical Society, Inc. </t>
  </si>
  <si>
    <t xml:space="preserve">20.c.ps.109.214 </t>
  </si>
  <si>
    <t xml:space="preserve">Friends of the Festival, Inc. </t>
  </si>
  <si>
    <t xml:space="preserve">20.c.ps.170.696 </t>
  </si>
  <si>
    <t xml:space="preserve">Tampa Museum of Art, Inc. </t>
  </si>
  <si>
    <t xml:space="preserve">20.c.ps.500.573 </t>
  </si>
  <si>
    <t xml:space="preserve">Cultural Council of Greater Jacksonville, Inc. </t>
  </si>
  <si>
    <t xml:space="preserve">20.c.ps.180.786 </t>
  </si>
  <si>
    <t xml:space="preserve">Creative City Project, Inc. </t>
  </si>
  <si>
    <t xml:space="preserve">20.c.ps.180.745 </t>
  </si>
  <si>
    <t xml:space="preserve">Gasparilla Music Foundation, Inc </t>
  </si>
  <si>
    <t xml:space="preserve">20.c.ps.170.098 </t>
  </si>
  <si>
    <t xml:space="preserve">Davie School Foundation, Inc. </t>
  </si>
  <si>
    <t xml:space="preserve">20.c.ps.114.656 </t>
  </si>
  <si>
    <t xml:space="preserve">Barrier Island Group for the Arts, Inc. </t>
  </si>
  <si>
    <t xml:space="preserve">20.c.ps.141.180 </t>
  </si>
  <si>
    <t xml:space="preserve">Limelight Theatre, Inc. </t>
  </si>
  <si>
    <t xml:space="preserve">20.c.ps.114.259 </t>
  </si>
  <si>
    <t xml:space="preserve">The Cultural Center at Ponte Vedra Beach, Inc. </t>
  </si>
  <si>
    <t xml:space="preserve">20.c.ps.170.329 </t>
  </si>
  <si>
    <t xml:space="preserve">Vero Beach Museum of Art, Inc. </t>
  </si>
  <si>
    <t xml:space="preserve">20.c.ps.180.201 </t>
  </si>
  <si>
    <t xml:space="preserve">WSLR </t>
  </si>
  <si>
    <t xml:space="preserve">20.c.ps.500.294 </t>
  </si>
  <si>
    <t xml:space="preserve">Cultural Council of Palm Beach County, Inc. </t>
  </si>
  <si>
    <t xml:space="preserve">20.c.ps.180.328 </t>
  </si>
  <si>
    <t xml:space="preserve">20.c.ps.170.561 </t>
  </si>
  <si>
    <t xml:space="preserve">The Florida International University Board of Trustees </t>
  </si>
  <si>
    <t xml:space="preserve">20.c.ps.170.283 </t>
  </si>
  <si>
    <t xml:space="preserve">Flamingo Gardens, Inc. </t>
  </si>
  <si>
    <t xml:space="preserve">20.c.ps.105.363 </t>
  </si>
  <si>
    <t xml:space="preserve">The St. Augustine Art Association </t>
  </si>
  <si>
    <t xml:space="preserve">20.c.ps.142.130 </t>
  </si>
  <si>
    <t xml:space="preserve">Arca Images, Inc. </t>
  </si>
  <si>
    <t xml:space="preserve">20.c.ps.114.751 </t>
  </si>
  <si>
    <t xml:space="preserve">Santa Fe College </t>
  </si>
  <si>
    <t xml:space="preserve">20.c.ps.109.350 </t>
  </si>
  <si>
    <t xml:space="preserve">The University of Central Florida Board of Trustees </t>
  </si>
  <si>
    <t xml:space="preserve">20.c.ps.102.160 </t>
  </si>
  <si>
    <t xml:space="preserve">Melbourne Municipal Band Association, Inc. </t>
  </si>
  <si>
    <t xml:space="preserve">20.c.ps.500.070 </t>
  </si>
  <si>
    <t xml:space="preserve">Monroe Council of the Arts Corporation </t>
  </si>
  <si>
    <t xml:space="preserve">20.c.ps.180.139 </t>
  </si>
  <si>
    <t xml:space="preserve">Fundarte, Inc. </t>
  </si>
  <si>
    <t xml:space="preserve">20.c.ps.500.149 </t>
  </si>
  <si>
    <t xml:space="preserve">Tallahassee-Leon County Cultural Resources Commission </t>
  </si>
  <si>
    <t xml:space="preserve">20.c.ps.142.618 </t>
  </si>
  <si>
    <t xml:space="preserve">20.c.ps.170.290 </t>
  </si>
  <si>
    <t xml:space="preserve">Emerald Coast Science Center </t>
  </si>
  <si>
    <t xml:space="preserve">20.c.ps.141.617 </t>
  </si>
  <si>
    <t xml:space="preserve">Ritz Community Theater Projects, Inc. </t>
  </si>
  <si>
    <t xml:space="preserve">20.c.ps.170.385 </t>
  </si>
  <si>
    <t xml:space="preserve">Expanding and Preserving Our Cultural Heritage, Inc. </t>
  </si>
  <si>
    <t xml:space="preserve">20.c.ps.101.152 </t>
  </si>
  <si>
    <t xml:space="preserve">Karen Peterson and Dancers, Inc. </t>
  </si>
  <si>
    <t xml:space="preserve">20.c.ps.114.382 </t>
  </si>
  <si>
    <t xml:space="preserve">Firehouse Cultural Center, Inc. </t>
  </si>
  <si>
    <t xml:space="preserve">20.c.ps.102.126 </t>
  </si>
  <si>
    <t xml:space="preserve">Master Chorale of South Florida, Inc. </t>
  </si>
  <si>
    <t xml:space="preserve">20.c.ps.114.369 </t>
  </si>
  <si>
    <t xml:space="preserve">City of Coral Springs </t>
  </si>
  <si>
    <t xml:space="preserve">20.c.ps.141.413 </t>
  </si>
  <si>
    <t xml:space="preserve">The Lake Worth Playhouse, Inc. </t>
  </si>
  <si>
    <t xml:space="preserve">20.c.ps.114.407 </t>
  </si>
  <si>
    <t xml:space="preserve">The Florida Historical Society </t>
  </si>
  <si>
    <t xml:space="preserve">20.c.ps.500.693 </t>
  </si>
  <si>
    <t xml:space="preserve">Brevard Cultural Alliance, Inc. </t>
  </si>
  <si>
    <t xml:space="preserve">20.c.ps.170.685 </t>
  </si>
  <si>
    <t xml:space="preserve">Museum of Contemporary Art, Inc. </t>
  </si>
  <si>
    <t xml:space="preserve">20.c.ps.114.397 </t>
  </si>
  <si>
    <t xml:space="preserve">Bas Fisher Invitational, Inc. </t>
  </si>
  <si>
    <t xml:space="preserve">20.c.ps.170.365 </t>
  </si>
  <si>
    <t xml:space="preserve">Florida Keys History and Discovery Foundation, Inc. </t>
  </si>
  <si>
    <t xml:space="preserve">20.c.ps.141.722 </t>
  </si>
  <si>
    <t xml:space="preserve">New Tampa Players </t>
  </si>
  <si>
    <t xml:space="preserve">20.c.ps.102.041 </t>
  </si>
  <si>
    <t xml:space="preserve">Alhambra Music, Inc. </t>
  </si>
  <si>
    <t xml:space="preserve">20.c.ps.141.247 </t>
  </si>
  <si>
    <t xml:space="preserve">Brevard Regional Arts Group, Inc. </t>
  </si>
  <si>
    <t xml:space="preserve">20.c.ps.170.483 </t>
  </si>
  <si>
    <t xml:space="preserve">Fort Pierce Utilities Authority </t>
  </si>
  <si>
    <t xml:space="preserve">20.c.ps.180.784 </t>
  </si>
  <si>
    <t xml:space="preserve">City of Pompano Beach Parks, Recreation and Cultural Affairs </t>
  </si>
  <si>
    <t xml:space="preserve">20.c.ps.141.665 </t>
  </si>
  <si>
    <t xml:space="preserve">Eight O'Clock Theatre, Inc </t>
  </si>
  <si>
    <t xml:space="preserve">20.c.ps.170.324 </t>
  </si>
  <si>
    <t xml:space="preserve">The Florida Aquarium, Inc. </t>
  </si>
  <si>
    <t xml:space="preserve">20.c.ps.200.272 </t>
  </si>
  <si>
    <t xml:space="preserve">Center for Creative Education, Inc. </t>
  </si>
  <si>
    <t xml:space="preserve">20.c.ps.500.478 </t>
  </si>
  <si>
    <t xml:space="preserve">The Arts Council, Inc. </t>
  </si>
  <si>
    <t xml:space="preserve">Martin </t>
  </si>
  <si>
    <t xml:space="preserve">20.c.ps.142.542 </t>
  </si>
  <si>
    <t xml:space="preserve">Flagler Auditorium Governing Board, Inc. </t>
  </si>
  <si>
    <t xml:space="preserve">20.c.ps.142.609 </t>
  </si>
  <si>
    <t xml:space="preserve">Gulfshore Playhouse, Inc. </t>
  </si>
  <si>
    <t xml:space="preserve">20.c.ps.170.095 </t>
  </si>
  <si>
    <t xml:space="preserve">SWFL Holocaust Museum </t>
  </si>
  <si>
    <t xml:space="preserve">20.c.ps.101.205 </t>
  </si>
  <si>
    <t xml:space="preserve">The Sarasota Cuban Ballet School </t>
  </si>
  <si>
    <t xml:space="preserve">20.c.ps.102.667 </t>
  </si>
  <si>
    <t xml:space="preserve">Panama City Pops Orchestra </t>
  </si>
  <si>
    <t xml:space="preserve">Bay </t>
  </si>
  <si>
    <t xml:space="preserve">20.c.ps.109.256 </t>
  </si>
  <si>
    <t xml:space="preserve">Coral Gables Cinemateque Inc. </t>
  </si>
  <si>
    <t xml:space="preserve">20.c.ps.109.766 </t>
  </si>
  <si>
    <t xml:space="preserve">The Tampa Film Institute, Inc. </t>
  </si>
  <si>
    <t xml:space="preserve">20.c.ps.109.651 </t>
  </si>
  <si>
    <t xml:space="preserve">Key West Film Festival Corporation </t>
  </si>
  <si>
    <t xml:space="preserve">20.c.ps.114.048 </t>
  </si>
  <si>
    <t xml:space="preserve">Aequalis, Inc. </t>
  </si>
  <si>
    <t xml:space="preserve">20.c.ps.102.729 </t>
  </si>
  <si>
    <t xml:space="preserve">Miami Youth for Chamber Music, Inc. </t>
  </si>
  <si>
    <t xml:space="preserve">20.c.ps.102.379 </t>
  </si>
  <si>
    <t xml:space="preserve">Pensacola Children's Chorus, Inc. </t>
  </si>
  <si>
    <t xml:space="preserve">20.c.ps.101.377 </t>
  </si>
  <si>
    <t xml:space="preserve">Boca Ballet Theatre Company </t>
  </si>
  <si>
    <t xml:space="preserve">20.c.ps.500.473 </t>
  </si>
  <si>
    <t xml:space="preserve">Arts &amp; Cultural Alliance of Sarasota County, Inc. </t>
  </si>
  <si>
    <t xml:space="preserve">20.c.ps.170.491 </t>
  </si>
  <si>
    <t xml:space="preserve">Holocaust Memorial Committee </t>
  </si>
  <si>
    <t xml:space="preserve">20.c.ps.102.075 </t>
  </si>
  <si>
    <t xml:space="preserve">Tampa, Florida, Chapter No. 1 of S.P.E.B.S.Q.S.A., Inc. </t>
  </si>
  <si>
    <t xml:space="preserve">20.c.ps.170.167 </t>
  </si>
  <si>
    <t xml:space="preserve">College of Central Florida Foundation, Inc. </t>
  </si>
  <si>
    <t xml:space="preserve">20.c.ps.500.591 </t>
  </si>
  <si>
    <t xml:space="preserve">Franklin's Promise Coalition, Inc. </t>
  </si>
  <si>
    <t xml:space="preserve">Franklin </t>
  </si>
  <si>
    <t xml:space="preserve">20.c.ps.142.443 </t>
  </si>
  <si>
    <t xml:space="preserve">The Broward Stage Door Theater Co., Inc. </t>
  </si>
  <si>
    <t xml:space="preserve">20.c.ps.180.118 </t>
  </si>
  <si>
    <t xml:space="preserve">Daytona Beach Symphony Society, Inc. </t>
  </si>
  <si>
    <t xml:space="preserve">20.c.ps.170.325 </t>
  </si>
  <si>
    <t xml:space="preserve">Lighthouse Archaeological Maritime Program, Inc. </t>
  </si>
  <si>
    <t xml:space="preserve">20.c.ps.102.606 </t>
  </si>
  <si>
    <t xml:space="preserve">Gloria Musicae, Inc. </t>
  </si>
  <si>
    <t xml:space="preserve">20.c.ps.170.536 </t>
  </si>
  <si>
    <t xml:space="preserve">Lightner Museum of Hobbies  </t>
  </si>
  <si>
    <t xml:space="preserve">20.c.ps.170.712 </t>
  </si>
  <si>
    <t xml:space="preserve">Winter Park Historical Association, Inc </t>
  </si>
  <si>
    <t xml:space="preserve">20.c.ps.102.289 </t>
  </si>
  <si>
    <t xml:space="preserve">Lynn University, Inc. </t>
  </si>
  <si>
    <t xml:space="preserve">20.c.ps.142.411 </t>
  </si>
  <si>
    <t xml:space="preserve">Bits 'N Pieces Puppet Theatre, Inc. </t>
  </si>
  <si>
    <t xml:space="preserve">20.c.ps.102.330 </t>
  </si>
  <si>
    <t xml:space="preserve">Civic Orchestra of Jacksonville Inc. </t>
  </si>
  <si>
    <t xml:space="preserve">20.c.ps.102.435 </t>
  </si>
  <si>
    <t xml:space="preserve">Orchestra Miami, Inc. </t>
  </si>
  <si>
    <t xml:space="preserve">20.c.ps.200.580 </t>
  </si>
  <si>
    <t xml:space="preserve">Young Musicians Unite, Inc  </t>
  </si>
  <si>
    <t xml:space="preserve">20.c.ps.102.094 </t>
  </si>
  <si>
    <t xml:space="preserve">Opera Naples, Inc. </t>
  </si>
  <si>
    <t xml:space="preserve">20.c.ps.141.170 </t>
  </si>
  <si>
    <t xml:space="preserve">Shoestring Theatre, Inc. </t>
  </si>
  <si>
    <t xml:space="preserve">20.c.ps.200.426 </t>
  </si>
  <si>
    <t xml:space="preserve">Making Light Productions </t>
  </si>
  <si>
    <t xml:space="preserve">20.c.ps.105.182 </t>
  </si>
  <si>
    <t xml:space="preserve">Lemoyne Art Foundation, Inc. </t>
  </si>
  <si>
    <t xml:space="preserve">20.c.ps.141.758 </t>
  </si>
  <si>
    <t xml:space="preserve">Bay Street Players, Inc. </t>
  </si>
  <si>
    <t xml:space="preserve">Lake </t>
  </si>
  <si>
    <t xml:space="preserve">20.c.ps.170.592 </t>
  </si>
  <si>
    <t xml:space="preserve">West Florida Historic Preservation, Inc  </t>
  </si>
  <si>
    <t xml:space="preserve">20.c.ps.101.235 </t>
  </si>
  <si>
    <t xml:space="preserve">Academy of Ballet Arts, Inc. </t>
  </si>
  <si>
    <t xml:space="preserve">20.c.ps.600.277 </t>
  </si>
  <si>
    <t xml:space="preserve">Florida Art Education Association, Incorporated </t>
  </si>
  <si>
    <t xml:space="preserve">20.c.ps.600.521 </t>
  </si>
  <si>
    <t xml:space="preserve">Florida Association of Museums Foundation, Inc. </t>
  </si>
  <si>
    <t xml:space="preserve">20.c.ps.500.313 </t>
  </si>
  <si>
    <t xml:space="preserve">Arts Council of Hillsborough County </t>
  </si>
  <si>
    <t xml:space="preserve">20.c.ps.600.273 </t>
  </si>
  <si>
    <t xml:space="preserve">Florida School Music Association, Incorporated </t>
  </si>
  <si>
    <t xml:space="preserve">20.c.ps.180.161 </t>
  </si>
  <si>
    <t xml:space="preserve">Theatreworks, Inc. </t>
  </si>
  <si>
    <t xml:space="preserve">20.c.ps.102.405 </t>
  </si>
  <si>
    <t xml:space="preserve">THE CHAMBER MUSIC SOCIETY OF PALM BEACH INC </t>
  </si>
  <si>
    <t xml:space="preserve">20.c.ps.114.090 </t>
  </si>
  <si>
    <t xml:space="preserve">Art League of Marco Island, Inc.  </t>
  </si>
  <si>
    <t xml:space="preserve">20.c.ps.101.556 </t>
  </si>
  <si>
    <t xml:space="preserve">Central Florida Ballet. Inc. </t>
  </si>
  <si>
    <t xml:space="preserve">20.c.ps.105.179 </t>
  </si>
  <si>
    <t xml:space="preserve">Florida Gulf Coast University Board of Trustees </t>
  </si>
  <si>
    <t xml:space="preserve">20.c.ps.170.336 </t>
  </si>
  <si>
    <t xml:space="preserve">Boca Raton Historical Society, Inc. </t>
  </si>
  <si>
    <t xml:space="preserve">20.c.ps.170.412 </t>
  </si>
  <si>
    <t xml:space="preserve">Osceola County Historical Society </t>
  </si>
  <si>
    <t xml:space="preserve">Osceola </t>
  </si>
  <si>
    <t xml:space="preserve">20.c.ps.180.569 </t>
  </si>
  <si>
    <t xml:space="preserve">City of Fort Pierce </t>
  </si>
  <si>
    <t xml:space="preserve">20.c.ps.170.581 </t>
  </si>
  <si>
    <t xml:space="preserve">Key West Art and Historical Society, Inc. </t>
  </si>
  <si>
    <t xml:space="preserve">20.c.ps.102.444 </t>
  </si>
  <si>
    <t xml:space="preserve">The Opera Atelier, Inc </t>
  </si>
  <si>
    <t xml:space="preserve">20.c.ps.102.433 </t>
  </si>
  <si>
    <t xml:space="preserve">Annasemble Community Orchestra of Gainesville Inc </t>
  </si>
  <si>
    <t xml:space="preserve">20.c.ps.170.087 </t>
  </si>
  <si>
    <t xml:space="preserve">West Volusia Historical Society, Inc. </t>
  </si>
  <si>
    <t xml:space="preserve">20.c.ps.101.193 </t>
  </si>
  <si>
    <t xml:space="preserve">Jacksonville Dance Theatre  </t>
  </si>
  <si>
    <t xml:space="preserve">20.c.ps.101.074 </t>
  </si>
  <si>
    <t xml:space="preserve">Peter London Global Dance Company, Inc. </t>
  </si>
  <si>
    <t xml:space="preserve">20.c.ps.170.348 </t>
  </si>
  <si>
    <t xml:space="preserve">The Tampa Bay History Center, Inc. </t>
  </si>
  <si>
    <t xml:space="preserve">20.c.ps.102.140 </t>
  </si>
  <si>
    <t xml:space="preserve">Patrons of Exceptional Artists, Inc. </t>
  </si>
  <si>
    <t xml:space="preserve">20.c.ps.200.017 </t>
  </si>
  <si>
    <t xml:space="preserve">Caladium Arts &amp; Crafts Cooperative, Inc. </t>
  </si>
  <si>
    <t xml:space="preserve">20.c.ps.102.117 </t>
  </si>
  <si>
    <t xml:space="preserve">American Children's Orchestras for Peace, Inc. </t>
  </si>
  <si>
    <t xml:space="preserve">20.c.ps.105.403 </t>
  </si>
  <si>
    <t xml:space="preserve">Artel, Inc. </t>
  </si>
  <si>
    <t xml:space="preserve">20.c.ps.114.492 </t>
  </si>
  <si>
    <t xml:space="preserve">Grace Arts Center, Inc. </t>
  </si>
  <si>
    <t xml:space="preserve">20.c.ps.170.575 </t>
  </si>
  <si>
    <t xml:space="preserve">Maitland Art and History Association, Inc. </t>
  </si>
  <si>
    <t xml:space="preserve">20.c.ps.102.191 </t>
  </si>
  <si>
    <t xml:space="preserve">First Coast Opera, Inc. </t>
  </si>
  <si>
    <t xml:space="preserve">20.c.ps.170.677 </t>
  </si>
  <si>
    <t xml:space="preserve">Golisano Children's Museum of Naples </t>
  </si>
  <si>
    <t xml:space="preserve">20.c.ps.114.082 </t>
  </si>
  <si>
    <t xml:space="preserve">Blue Planet International Explorers' Bazaar &amp; Writers' Room, Inc. </t>
  </si>
  <si>
    <t xml:space="preserve">20.c.ps.141.192 </t>
  </si>
  <si>
    <t xml:space="preserve">Gainesville Little Theater dba Gainesville Community Playhouse </t>
  </si>
  <si>
    <t xml:space="preserve">20.c.ps.170.211 </t>
  </si>
  <si>
    <t xml:space="preserve">20.c.ps.105.121 </t>
  </si>
  <si>
    <t xml:space="preserve">Ormond Memorial Art Museum, Inc. </t>
  </si>
  <si>
    <t xml:space="preserve">20.c.ps.102.019 </t>
  </si>
  <si>
    <t xml:space="preserve">South Florida Youth Symphony, Inc. </t>
  </si>
  <si>
    <t xml:space="preserve">20.c.ps.170.335 </t>
  </si>
  <si>
    <t xml:space="preserve">City of Orlando </t>
  </si>
  <si>
    <t xml:space="preserve">20.c.ps.101.368 </t>
  </si>
  <si>
    <t xml:space="preserve">Arts Ballet Theatre of Florida, Inc. </t>
  </si>
  <si>
    <t xml:space="preserve">20.c.ps.170.119 </t>
  </si>
  <si>
    <t xml:space="preserve">Ormond Beach Historical Society, Inc. </t>
  </si>
  <si>
    <t xml:space="preserve">20.c.ps.180.072 </t>
  </si>
  <si>
    <t xml:space="preserve">Sarasota Concert Association, Inc. </t>
  </si>
  <si>
    <t xml:space="preserve">20.c.ps.109.213 </t>
  </si>
  <si>
    <t xml:space="preserve">Florida Film Institute, Inc. </t>
  </si>
  <si>
    <t xml:space="preserve">20.c.ps.109.797 </t>
  </si>
  <si>
    <t xml:space="preserve">Cinematique of Daytona, Inc.  </t>
  </si>
  <si>
    <t xml:space="preserve">20.c.ps.170.099 </t>
  </si>
  <si>
    <t xml:space="preserve">DeLand Naval Air Station Museum, Inc. </t>
  </si>
  <si>
    <t xml:space="preserve">20.c.ps.170.196 </t>
  </si>
  <si>
    <t xml:space="preserve">John Gilmore Center for African American History and Culture </t>
  </si>
  <si>
    <t xml:space="preserve">20.c.ps.170.476 </t>
  </si>
  <si>
    <t xml:space="preserve">Florida Air Museum, Inc. </t>
  </si>
  <si>
    <t xml:space="preserve">20.c.ps.114.400 </t>
  </si>
  <si>
    <t xml:space="preserve">Don't Miss A Beat, Inc. </t>
  </si>
  <si>
    <t xml:space="preserve">20.c.ps.105.415 </t>
  </si>
  <si>
    <t xml:space="preserve">Southern Atelier, Inc. </t>
  </si>
  <si>
    <t xml:space="preserve">20.c.ps.109.680 </t>
  </si>
  <si>
    <t xml:space="preserve">Miami Dade College Foundation, Inc. </t>
  </si>
  <si>
    <t xml:space="preserve">20.c.ps.102.362 </t>
  </si>
  <si>
    <t xml:space="preserve">Miami Lyric Opera, Inc. </t>
  </si>
  <si>
    <t xml:space="preserve">20.c.ps.101.662 </t>
  </si>
  <si>
    <t xml:space="preserve">Ballet Pensacola, Inc. </t>
  </si>
  <si>
    <t xml:space="preserve">20.c.ps.500.632 </t>
  </si>
  <si>
    <t xml:space="preserve">Creative Pinellas, Incorporated </t>
  </si>
  <si>
    <t xml:space="preserve">20.c.ps.102.077 </t>
  </si>
  <si>
    <t xml:space="preserve">Naples Concert Band </t>
  </si>
  <si>
    <t xml:space="preserve">20.c.ps.114.230 </t>
  </si>
  <si>
    <t xml:space="preserve">Gateway Center for the Arts, Inc. </t>
  </si>
  <si>
    <t xml:space="preserve">20.c.ps.109.494 </t>
  </si>
  <si>
    <t xml:space="preserve">Miami Short Film Festival </t>
  </si>
  <si>
    <t xml:space="preserve">20.c.ps.170.112 </t>
  </si>
  <si>
    <t xml:space="preserve">The Museum of Art, Deland, Florida, Inc. </t>
  </si>
  <si>
    <t xml:space="preserve">20.c.ps.180.514 </t>
  </si>
  <si>
    <t xml:space="preserve">Thornhill Foundation for the Arts </t>
  </si>
  <si>
    <t xml:space="preserve">20.c.ps.180.499 </t>
  </si>
  <si>
    <t xml:space="preserve">Miami Hispanic Ballet Corp. </t>
  </si>
  <si>
    <t xml:space="preserve">20.c.ps.109.676 </t>
  </si>
  <si>
    <t xml:space="preserve">20.c.ps.170.686 </t>
  </si>
  <si>
    <t xml:space="preserve">Historical Society of Palm Beach County </t>
  </si>
  <si>
    <t xml:space="preserve">20.c.ps.170.650 </t>
  </si>
  <si>
    <t xml:space="preserve">Museum of Science &amp; Industry, Inc. </t>
  </si>
  <si>
    <t xml:space="preserve">20.c.ps.102.061 </t>
  </si>
  <si>
    <t xml:space="preserve">The Miami Symphony Orchestra/Orquesta Sinfonica De Miami, Inc. </t>
  </si>
  <si>
    <t xml:space="preserve">20.c.ps.180.531 </t>
  </si>
  <si>
    <t xml:space="preserve">Michael-Ann Russell Jewish Community Center, Inc. </t>
  </si>
  <si>
    <t xml:space="preserve">20.c.ps.114.711 </t>
  </si>
  <si>
    <t xml:space="preserve">Old School Square Center for the Arts, Inc. </t>
  </si>
  <si>
    <t xml:space="preserve">20.c.ps.170.673 </t>
  </si>
  <si>
    <t xml:space="preserve">Gulf Coast Heritage Association, Inc. </t>
  </si>
  <si>
    <t xml:space="preserve">20.c.ps.600.373 </t>
  </si>
  <si>
    <t xml:space="preserve">Florida Dance Association, Inc. </t>
  </si>
  <si>
    <t xml:space="preserve">20.c.ps.500.553 </t>
  </si>
  <si>
    <t xml:space="preserve">Bay Arts Alliance, Inc. </t>
  </si>
  <si>
    <t xml:space="preserve">20.c.ps.170.456 </t>
  </si>
  <si>
    <t xml:space="preserve">Florida Keys Land &amp; Sea Trust, Inc. </t>
  </si>
  <si>
    <t xml:space="preserve">20.c.ps.114.442 </t>
  </si>
  <si>
    <t xml:space="preserve">4Ward Miami, Inc. </t>
  </si>
  <si>
    <t xml:space="preserve">20.c.ps.170.649 </t>
  </si>
  <si>
    <t xml:space="preserve">Boynton Cultural Centre, Inc. </t>
  </si>
  <si>
    <t xml:space="preserve">20.c.ps.141.440 </t>
  </si>
  <si>
    <t xml:space="preserve">Orange Park Community Theatre, Inc. </t>
  </si>
  <si>
    <t xml:space="preserve">Clay </t>
  </si>
  <si>
    <t xml:space="preserve">20.c.ps.180.197 </t>
  </si>
  <si>
    <t xml:space="preserve">Springtime Tallahassee Festival, Inc. </t>
  </si>
  <si>
    <t xml:space="preserve">20.c.ps.114.516 </t>
  </si>
  <si>
    <t xml:space="preserve">Martin Theatre, Inc. </t>
  </si>
  <si>
    <t xml:space="preserve">20.c.ps.102.522 </t>
  </si>
  <si>
    <t xml:space="preserve">The Palm Beach Symphony Society, Inc. </t>
  </si>
  <si>
    <t xml:space="preserve">20.c.ps.114.055 </t>
  </si>
  <si>
    <t xml:space="preserve">TL Tango Lovers Organization, Inc. </t>
  </si>
  <si>
    <t xml:space="preserve">20.c.ps.170.760 </t>
  </si>
  <si>
    <t xml:space="preserve">Florida Keys History of Diving Museum, Inc. </t>
  </si>
  <si>
    <t xml:space="preserve">20.c.ps.600.060 </t>
  </si>
  <si>
    <t xml:space="preserve">Florida Alliance for Arts Education, Inc. </t>
  </si>
  <si>
    <t xml:space="preserve">20.c.ps.114.187 </t>
  </si>
  <si>
    <t xml:space="preserve">City of Homestead </t>
  </si>
  <si>
    <t xml:space="preserve">20.c.ps.114.053 </t>
  </si>
  <si>
    <t xml:space="preserve">Academia de las Luminarias de las Bellas Artes, Inc.  </t>
  </si>
  <si>
    <t xml:space="preserve">20.c.ps.170.261 </t>
  </si>
  <si>
    <t xml:space="preserve">McKee Botanical Garden, Inc. </t>
  </si>
  <si>
    <t xml:space="preserve">20.c.ps.114.202 </t>
  </si>
  <si>
    <t xml:space="preserve">Arts Alive Nassau, Inc. </t>
  </si>
  <si>
    <t xml:space="preserve">20.c.ps.114.102 </t>
  </si>
  <si>
    <t xml:space="preserve">Deland Fall Festival of the Arts, Inc. </t>
  </si>
  <si>
    <t xml:space="preserve">20.c.ps.180.450 </t>
  </si>
  <si>
    <t xml:space="preserve">Les Demerle Amelia Island Jazz Festival, Inc </t>
  </si>
  <si>
    <t xml:space="preserve">20.c.ps.114.159 </t>
  </si>
  <si>
    <t xml:space="preserve">Village of Wellington </t>
  </si>
  <si>
    <t xml:space="preserve">20.c.ps.114.371 </t>
  </si>
  <si>
    <t xml:space="preserve">Friends of Carrollwood Cultural Center, Inc. </t>
  </si>
  <si>
    <t xml:space="preserve">20.c.ps.170.448 </t>
  </si>
  <si>
    <t xml:space="preserve">Valiant Air Command, Inc. </t>
  </si>
  <si>
    <t xml:space="preserve">20.c.ps.500.318 </t>
  </si>
  <si>
    <t xml:space="preserve">St. Johns County Cultural Council, Inc. </t>
  </si>
  <si>
    <t xml:space="preserve">20.c.ps.105.568 </t>
  </si>
  <si>
    <t xml:space="preserve">Gainesville Fine Arts Association, Inc. </t>
  </si>
  <si>
    <t xml:space="preserve">20.c.ps.102.296 </t>
  </si>
  <si>
    <t xml:space="preserve">Treasure Coast Community Singers, Inc. </t>
  </si>
  <si>
    <t xml:space="preserve">20.c.ps.170.772 </t>
  </si>
  <si>
    <t xml:space="preserve">Haitian Heritage Museum Corp. </t>
  </si>
  <si>
    <t xml:space="preserve">20.c.ps.500.266 </t>
  </si>
  <si>
    <t xml:space="preserve">United Arts Council of Collier County, Inc. </t>
  </si>
  <si>
    <t xml:space="preserve">20.c.ps.114.560 </t>
  </si>
  <si>
    <t xml:space="preserve">Algo Nuevo, Incorporated </t>
  </si>
  <si>
    <t xml:space="preserve">20.c.ps.102.578 </t>
  </si>
  <si>
    <t xml:space="preserve">ensemblenewSRQ </t>
  </si>
  <si>
    <t xml:space="preserve">20.c.ps.102.583 </t>
  </si>
  <si>
    <t xml:space="preserve">The Venice Symphony, Inc </t>
  </si>
  <si>
    <t xml:space="preserve">20.c.ps.141.408 </t>
  </si>
  <si>
    <t xml:space="preserve">SAMUEL M. AND HELENE SOREF, JEWISH COMMUNITY CENTER, INC. </t>
  </si>
  <si>
    <t xml:space="preserve">20.c.ps.102.604 </t>
  </si>
  <si>
    <t xml:space="preserve">Venice Chorale, Inc </t>
  </si>
  <si>
    <t xml:space="preserve">20.c.ps.170.678 </t>
  </si>
  <si>
    <t xml:space="preserve">Deerfield Beach Historical Society Inc </t>
  </si>
  <si>
    <t xml:space="preserve">20.c.ps.101.304 </t>
  </si>
  <si>
    <t xml:space="preserve">Miami Dance Project, Inc. </t>
  </si>
  <si>
    <t xml:space="preserve">20.c.ps.170.223 </t>
  </si>
  <si>
    <t xml:space="preserve">Coral Gables Museum, Corp. </t>
  </si>
  <si>
    <t xml:space="preserve">20.c.ps.114.658 </t>
  </si>
  <si>
    <t xml:space="preserve">City of Oakland Park </t>
  </si>
  <si>
    <t xml:space="preserve">20.c.ps.114.253 </t>
  </si>
  <si>
    <t xml:space="preserve">Creation Art Center Corporation </t>
  </si>
  <si>
    <t xml:space="preserve">20.c.ps.102.730 </t>
  </si>
  <si>
    <t xml:space="preserve">Florida Chamber Music Project, Inc. </t>
  </si>
  <si>
    <t xml:space="preserve">20.c.ps.101.183 </t>
  </si>
  <si>
    <t xml:space="preserve">Cuban Classical Ballet of Miami, Inc. </t>
  </si>
  <si>
    <t xml:space="preserve">20.c.ps.170.221 </t>
  </si>
  <si>
    <t xml:space="preserve">Florida International University Foundation, Inc. </t>
  </si>
  <si>
    <t xml:space="preserve">20.c.ps.102.389 </t>
  </si>
  <si>
    <t xml:space="preserve">Delray Beach Chorale, Inc. </t>
  </si>
  <si>
    <t xml:space="preserve">20.c.ps.114.587 </t>
  </si>
  <si>
    <t xml:space="preserve">Village of Royal Palm Beach </t>
  </si>
  <si>
    <t xml:space="preserve">20.c.ps.141.540 </t>
  </si>
  <si>
    <t xml:space="preserve">Artmonia Inc. </t>
  </si>
  <si>
    <t xml:space="preserve">20.c.ps.170.300 </t>
  </si>
  <si>
    <t xml:space="preserve">Historical Society of Martin County, Inc.   </t>
  </si>
  <si>
    <t xml:space="preserve">20.c.ps.101.220 </t>
  </si>
  <si>
    <t xml:space="preserve">S &amp; L Dance Corporation (DBA The Perla Ballet School) </t>
  </si>
  <si>
    <t xml:space="preserve">20.c.ps.114.586 </t>
  </si>
  <si>
    <t xml:space="preserve">City of Riviera Beach </t>
  </si>
  <si>
    <t xml:space="preserve">20.c.ps.180.353 </t>
  </si>
  <si>
    <t xml:space="preserve">Jewish Federation of Pinellas &amp; Pasco Counties, FL, Inc. </t>
  </si>
  <si>
    <t xml:space="preserve">20.c.ps.109.633 </t>
  </si>
  <si>
    <t xml:space="preserve">Tampa Educational Cable Consortium, Inc. </t>
  </si>
  <si>
    <t xml:space="preserve">20.c.ps.102.620 </t>
  </si>
  <si>
    <t xml:space="preserve">Community Arts and Culture, Inc. </t>
  </si>
  <si>
    <t xml:space="preserve">20.c.ps.500.172 </t>
  </si>
  <si>
    <t xml:space="preserve">Osceola Arts, Inc. </t>
  </si>
  <si>
    <t xml:space="preserve">20.c.ps.170.616 </t>
  </si>
  <si>
    <t xml:space="preserve">Friends of Chinsegut Hill, Inc </t>
  </si>
  <si>
    <t xml:space="preserve">Hernando </t>
  </si>
  <si>
    <t xml:space="preserve">20.c.ps.170.484 </t>
  </si>
  <si>
    <t xml:space="preserve">Halifax Historical Society, Inc. </t>
  </si>
  <si>
    <t xml:space="preserve">20.c.ps.102.222 </t>
  </si>
  <si>
    <t xml:space="preserve">The Florida Orchestra, Inc. Non-Compliance </t>
  </si>
  <si>
    <t xml:space="preserve">20.c.ps.101.744 </t>
  </si>
  <si>
    <t xml:space="preserve">Florida Dance Theatre, Inc. </t>
  </si>
  <si>
    <t xml:space="preserve">20.c.ps.114.157 </t>
  </si>
  <si>
    <t xml:space="preserve">City of Clermont </t>
  </si>
  <si>
    <t xml:space="preserve">20.c.ps.114.463 </t>
  </si>
  <si>
    <t xml:space="preserve">The Cove/Rincon Corp. </t>
  </si>
  <si>
    <t xml:space="preserve">20.c.ps.114.314 </t>
  </si>
  <si>
    <t xml:space="preserve">20.c.ps.109.409 </t>
  </si>
  <si>
    <t xml:space="preserve">IFCM Corp. </t>
  </si>
  <si>
    <t xml:space="preserve">20.c.ps.500.122 </t>
  </si>
  <si>
    <t xml:space="preserve">Alachua County Board of County Commissioners </t>
  </si>
  <si>
    <t xml:space="preserve">20.c.ps.500.723 </t>
  </si>
  <si>
    <t xml:space="preserve">Arts &amp; Cultural Alliance of St. Lucie Inc. </t>
  </si>
  <si>
    <t xml:space="preserve">20.c.ps.102.320 </t>
  </si>
  <si>
    <t xml:space="preserve">Alliance for Musical Arts Productions, Inc. </t>
  </si>
  <si>
    <t xml:space="preserve">20.c.ps.102.603 </t>
  </si>
  <si>
    <t xml:space="preserve">Brazilian Voices, Inc. </t>
  </si>
  <si>
    <t xml:space="preserve">20.c.ps.170.105 </t>
  </si>
  <si>
    <t xml:space="preserve">The American Craftsman Museum, Inc. </t>
  </si>
  <si>
    <t xml:space="preserve">20.c.ps.101.639 </t>
  </si>
  <si>
    <t xml:space="preserve">Ballet Etudes of South Florida, Inc. </t>
  </si>
  <si>
    <t xml:space="preserve">20.c.ps.109.401 </t>
  </si>
  <si>
    <t xml:space="preserve">Speak Up Tampa Bay Public Access Television, Inc. </t>
  </si>
  <si>
    <t xml:space="preserve">20.c.ps.102.016 </t>
  </si>
  <si>
    <t xml:space="preserve">Choral Arts Society </t>
  </si>
  <si>
    <t xml:space="preserve">20.c.ps.114.210 </t>
  </si>
  <si>
    <t xml:space="preserve">Tampa Bay Juneteenth Coalition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</si>
</sst>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164" formatCode="&quot;$&quot;#,##0"/>
    <numFmt numFmtId="165" formatCode="0.0000"/>
    <numFmt numFmtId="166" formatCode="&quot;$&quot;#,##0.00"/>
  </numFmts>
  <fonts count="10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4"/>
      <color indexed="8"/>
      <name val="Arial Black"/>
      <family val="2"/>
    </font>
    <font>
      <b/>
      <sz val="11"/>
      <color rgb="FF006100"/>
      <name val="Arial Black"/>
      <family val="2"/>
    </font>
    <font>
      <b/>
      <sz val="11"/>
      <color theme="1"/>
      <name val="Calibri"/>
      <family val="2"/>
      <scheme val="minor"/>
    </font>
    <font>
      <sz val="8"/>
      <name val="Verdana"/>
      <family val="2"/>
    </font>
    <font>
      <sz val="12"/>
      <color indexed="8"/>
      <name val="Calibri"/>
      <family val="2"/>
    </font>
    <font>
      <b/>
      <sz val="12"/>
      <color indexed="16"/>
      <name val="Arial"/>
      <family val="2"/>
    </font>
    <font>
      <sz val="10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</fills>
  <borders count="3">
    <border>
      <left/>
      <right/>
      <top/>
      <bottom/>
      <diagonal/>
    </border>
    <border>
      <left style="double">
        <color auto="1"/>
      </left>
      <right style="thick">
        <color auto="1"/>
      </right>
      <top style="double">
        <color auto="1"/>
      </top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</cellStyleXfs>
  <cellXfs count="17">
    <xf numFmtId="0" fontId="0" fillId="0" borderId="0" xfId="0"/>
    <xf numFmtId="0" fontId="3" fillId="0" borderId="0" xfId="0" applyFont="1"/>
    <xf numFmtId="0" fontId="3" fillId="0" borderId="0" xfId="0" applyFont="1" applyAlignment="1">
      <alignment wrapText="1"/>
    </xf>
    <xf numFmtId="165" fontId="0" fillId="0" borderId="0" xfId="0" applyNumberFormat="1"/>
    <xf numFmtId="164" fontId="3" fillId="0" borderId="1" xfId="0" applyNumberFormat="1" applyFont="1" applyBorder="1" applyAlignment="1">
      <alignment horizontal="center" wrapText="1"/>
    </xf>
    <xf numFmtId="0" fontId="0" fillId="0" borderId="0" xfId="0" applyProtection="1">
      <protection locked="0"/>
    </xf>
    <xf numFmtId="164" fontId="4" fillId="2" borderId="2" xfId="1" applyNumberFormat="1" applyFont="1" applyBorder="1" applyProtection="1">
      <protection locked="0"/>
    </xf>
    <xf numFmtId="10" fontId="0" fillId="0" borderId="0" xfId="0" applyNumberFormat="1"/>
    <xf numFmtId="10" fontId="5" fillId="0" borderId="0" xfId="0" applyNumberFormat="1" applyFont="1" applyAlignment="1">
      <alignment wrapText="1"/>
    </xf>
    <xf numFmtId="0" fontId="5" fillId="0" borderId="0" xfId="0" applyFont="1" applyAlignment="1">
      <alignment wrapText="1"/>
    </xf>
    <xf numFmtId="166" fontId="0" fillId="0" borderId="0" xfId="0" applyNumberFormat="1"/>
    <xf numFmtId="164" fontId="8" fillId="3" borderId="0" xfId="2" applyNumberFormat="1" applyFont="1"/>
    <xf numFmtId="0" fontId="7" fillId="0" borderId="0" xfId="0" applyFont="1"/>
    <xf numFmtId="10" fontId="7" fillId="0" borderId="0" xfId="0" applyNumberFormat="1" applyFont="1"/>
    <xf numFmtId="164" fontId="0" fillId="0" borderId="0" xfId="0" applyNumberFormat="1"/>
    <xf numFmtId="0" fontId="9" fillId="0" borderId="0" xfId="0" applyFont="1" applyAlignment="1">
      <alignment vertical="center" wrapText="1"/>
    </xf>
    <xf numFmtId="6" fontId="9" fillId="0" borderId="0" xfId="0" applyNumberFormat="1" applyFont="1" applyAlignment="1">
      <alignment vertical="center" wrapText="1"/>
    </xf>
  </cellXfs>
  <cellStyles count="3">
    <cellStyle name="Bad" xfId="2" builtinId="27"/>
    <cellStyle name="Good" xfId="1" builtinId="26"/>
    <cellStyle name="Normal" xfId="0" builtinId="0"/>
  </cellStyles>
  <dxfs count="3">
    <dxf>
      <fill>
        <patternFill>
          <bgColor theme="9" tint="-0.49998474074526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-0.499984740745262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0185BF-E6A3-4F54-804A-1101D98A0F8D}">
  <dimension ref="A1:R599"/>
  <sheetViews>
    <sheetView tabSelected="1" workbookViewId="0">
      <selection activeCell="B23" sqref="B23"/>
    </sheetView>
  </sheetViews>
  <sheetFormatPr defaultColWidth="8.85546875" defaultRowHeight="15" x14ac:dyDescent="0.25"/>
  <cols>
    <col min="1" max="1" width="8.28515625" customWidth="1"/>
    <col min="2" max="2" width="19.28515625" customWidth="1"/>
    <col min="3" max="3" width="66.7109375" customWidth="1"/>
    <col min="4" max="4" width="11.140625" customWidth="1"/>
    <col min="5" max="5" width="12.42578125" customWidth="1"/>
    <col min="6" max="6" width="11.140625" customWidth="1"/>
    <col min="7" max="7" width="0" hidden="1" customWidth="1"/>
    <col min="8" max="8" width="16.42578125" customWidth="1"/>
    <col min="9" max="9" width="13.85546875" customWidth="1"/>
    <col min="10" max="10" width="12.140625" style="7" customWidth="1"/>
    <col min="14" max="14" width="11.140625" bestFit="1" customWidth="1"/>
  </cols>
  <sheetData>
    <row r="1" spans="1:12" ht="42" customHeight="1" thickTop="1" thickBot="1" x14ac:dyDescent="0.45">
      <c r="H1" s="6">
        <v>7376221</v>
      </c>
      <c r="I1" s="10">
        <f>H1-SUM(H3:H490)</f>
        <v>0</v>
      </c>
      <c r="J1" s="7">
        <f>H1/SUM(E3:E499)</f>
        <v>0.17416272350793638</v>
      </c>
    </row>
    <row r="2" spans="1:12" ht="42" customHeight="1" thickTop="1" x14ac:dyDescent="0.45">
      <c r="A2" s="1" t="s">
        <v>0</v>
      </c>
      <c r="B2" s="2" t="s">
        <v>1</v>
      </c>
      <c r="C2" s="2" t="s">
        <v>2</v>
      </c>
      <c r="D2" s="1" t="s">
        <v>3</v>
      </c>
      <c r="E2" s="1" t="s">
        <v>4</v>
      </c>
      <c r="F2" s="1" t="s">
        <v>23</v>
      </c>
      <c r="H2" s="4" t="s">
        <v>22</v>
      </c>
      <c r="I2" s="9" t="s">
        <v>25</v>
      </c>
      <c r="J2" s="8" t="s">
        <v>24</v>
      </c>
    </row>
    <row r="3" spans="1:12" ht="15.75" x14ac:dyDescent="0.25">
      <c r="A3" s="15">
        <v>1</v>
      </c>
      <c r="B3" s="15" t="s">
        <v>26</v>
      </c>
      <c r="C3" s="15" t="s">
        <v>27</v>
      </c>
      <c r="D3" s="15" t="s">
        <v>28</v>
      </c>
      <c r="E3" s="16">
        <v>150000</v>
      </c>
      <c r="F3" s="15">
        <v>98.429000000000002</v>
      </c>
      <c r="G3" s="16">
        <v>150000</v>
      </c>
      <c r="H3" s="11">
        <f>'First Calculations'!P2-1</f>
        <v>27968</v>
      </c>
      <c r="I3" s="12"/>
      <c r="J3" s="13">
        <f t="shared" ref="J3:J66" si="0">H3/E3</f>
        <v>0.18645333333333333</v>
      </c>
      <c r="L3" t="str">
        <f>B3&amp;" - "&amp;C3&amp;" $"&amp;H3</f>
        <v>20.c.ps.180.091  - Performing Arts Center Trust, Inc.  $27968</v>
      </c>
    </row>
    <row r="4" spans="1:12" ht="15.75" x14ac:dyDescent="0.25">
      <c r="A4" s="15">
        <v>2</v>
      </c>
      <c r="B4" s="15" t="s">
        <v>29</v>
      </c>
      <c r="C4" s="15" t="s">
        <v>30</v>
      </c>
      <c r="D4" s="15" t="s">
        <v>28</v>
      </c>
      <c r="E4" s="16">
        <v>150000</v>
      </c>
      <c r="F4" s="15">
        <v>98.25</v>
      </c>
      <c r="G4" s="16">
        <v>150000</v>
      </c>
      <c r="H4" s="11">
        <f>'First Calculations'!P3</f>
        <v>27918</v>
      </c>
      <c r="I4" s="12"/>
      <c r="J4" s="13">
        <f t="shared" si="0"/>
        <v>0.18612000000000001</v>
      </c>
      <c r="L4" t="str">
        <f t="shared" ref="L4:L67" si="1">B4&amp;" - "&amp;C4&amp;" $"&amp;H4</f>
        <v>20.c.ps.102.282  - New World Symphony, Inc.  $27918</v>
      </c>
    </row>
    <row r="5" spans="1:12" ht="15.75" x14ac:dyDescent="0.25">
      <c r="A5" s="15">
        <v>3</v>
      </c>
      <c r="B5" s="15" t="s">
        <v>31</v>
      </c>
      <c r="C5" s="15" t="s">
        <v>32</v>
      </c>
      <c r="D5" s="15" t="s">
        <v>33</v>
      </c>
      <c r="E5" s="16">
        <v>150000</v>
      </c>
      <c r="F5" s="15">
        <v>98</v>
      </c>
      <c r="G5" s="16">
        <v>150000</v>
      </c>
      <c r="H5" s="11">
        <f>'First Calculations'!P4</f>
        <v>27847</v>
      </c>
      <c r="I5" s="12"/>
      <c r="J5" s="13">
        <f t="shared" si="0"/>
        <v>0.18564666666666665</v>
      </c>
      <c r="L5" t="str">
        <f t="shared" si="1"/>
        <v>20.c.ps.141.519  - Venice Theatre, Inc.  $27847</v>
      </c>
    </row>
    <row r="6" spans="1:12" ht="15.75" x14ac:dyDescent="0.25">
      <c r="A6" s="15">
        <v>4</v>
      </c>
      <c r="B6" s="15" t="s">
        <v>34</v>
      </c>
      <c r="C6" s="15" t="s">
        <v>35</v>
      </c>
      <c r="D6" s="15" t="s">
        <v>36</v>
      </c>
      <c r="E6" s="16">
        <v>150000</v>
      </c>
      <c r="F6" s="15">
        <v>98</v>
      </c>
      <c r="G6" s="16">
        <v>150000</v>
      </c>
      <c r="H6" s="11">
        <f>'First Calculations'!P5</f>
        <v>27847</v>
      </c>
      <c r="I6" s="12"/>
      <c r="J6" s="13">
        <f t="shared" si="0"/>
        <v>0.18564666666666665</v>
      </c>
      <c r="L6" t="str">
        <f t="shared" si="1"/>
        <v>20.c.ps.180.209  - Performing Arts Center Authority  $27847</v>
      </c>
    </row>
    <row r="7" spans="1:12" ht="15.75" x14ac:dyDescent="0.25">
      <c r="A7" s="15">
        <v>5</v>
      </c>
      <c r="B7" s="15" t="s">
        <v>37</v>
      </c>
      <c r="C7" s="15" t="s">
        <v>38</v>
      </c>
      <c r="D7" s="15" t="s">
        <v>39</v>
      </c>
      <c r="E7" s="16">
        <v>89000</v>
      </c>
      <c r="F7" s="15">
        <v>97.856999999999999</v>
      </c>
      <c r="G7" s="16">
        <v>89000</v>
      </c>
      <c r="H7" s="11">
        <f>'First Calculations'!P6</f>
        <v>16505</v>
      </c>
      <c r="I7" s="12"/>
      <c r="J7" s="13">
        <f t="shared" si="0"/>
        <v>0.18544943820224719</v>
      </c>
      <c r="L7" t="str">
        <f t="shared" si="1"/>
        <v>20.c.ps.102.241  - Young Singers of the Palm Beaches, Inc.  $16505</v>
      </c>
    </row>
    <row r="8" spans="1:12" ht="15.75" x14ac:dyDescent="0.25">
      <c r="A8" s="15">
        <v>6</v>
      </c>
      <c r="B8" s="15" t="s">
        <v>40</v>
      </c>
      <c r="C8" s="15" t="s">
        <v>41</v>
      </c>
      <c r="D8" s="15" t="s">
        <v>28</v>
      </c>
      <c r="E8" s="16">
        <v>143431</v>
      </c>
      <c r="F8" s="15">
        <v>97.832999999999998</v>
      </c>
      <c r="G8" s="16">
        <v>143431</v>
      </c>
      <c r="H8" s="11">
        <f>'First Calculations'!P7</f>
        <v>26583</v>
      </c>
      <c r="I8" s="12"/>
      <c r="J8" s="13">
        <f t="shared" si="0"/>
        <v>0.18533650326637896</v>
      </c>
      <c r="L8" t="str">
        <f t="shared" si="1"/>
        <v>20.c.ps.200.672  - Miami Music Project, Inc.  $26583</v>
      </c>
    </row>
    <row r="9" spans="1:12" ht="15.75" x14ac:dyDescent="0.25">
      <c r="A9" s="15">
        <v>7</v>
      </c>
      <c r="B9" s="15" t="s">
        <v>42</v>
      </c>
      <c r="C9" s="15" t="s">
        <v>43</v>
      </c>
      <c r="D9" s="15" t="s">
        <v>33</v>
      </c>
      <c r="E9" s="16">
        <v>150000</v>
      </c>
      <c r="F9" s="15">
        <v>97.667000000000002</v>
      </c>
      <c r="G9" s="16">
        <v>150000</v>
      </c>
      <c r="H9" s="11">
        <f>'First Calculations'!P8</f>
        <v>27753</v>
      </c>
      <c r="I9" s="12"/>
      <c r="J9" s="13">
        <f t="shared" si="0"/>
        <v>0.18501999999999999</v>
      </c>
      <c r="L9" t="str">
        <f t="shared" si="1"/>
        <v>20.c.ps.142.390  - Florida Studio Theatre, Inc.  $27753</v>
      </c>
    </row>
    <row r="10" spans="1:12" ht="15.75" x14ac:dyDescent="0.25">
      <c r="A10" s="15">
        <v>8</v>
      </c>
      <c r="B10" s="15" t="s">
        <v>44</v>
      </c>
      <c r="C10" s="15" t="s">
        <v>45</v>
      </c>
      <c r="D10" s="15" t="s">
        <v>28</v>
      </c>
      <c r="E10" s="16">
        <v>90000</v>
      </c>
      <c r="F10" s="15">
        <v>97.5</v>
      </c>
      <c r="G10" s="16">
        <v>90000</v>
      </c>
      <c r="H10" s="11">
        <f>'First Calculations'!P9</f>
        <v>16629</v>
      </c>
      <c r="I10" s="12"/>
      <c r="J10" s="13">
        <f t="shared" si="0"/>
        <v>0.18476666666666666</v>
      </c>
      <c r="L10" t="str">
        <f t="shared" si="1"/>
        <v>20.c.ps.180.529  - Miami Light Project, Inc.  $16629</v>
      </c>
    </row>
    <row r="11" spans="1:12" ht="15.75" x14ac:dyDescent="0.25">
      <c r="A11" s="15">
        <v>9</v>
      </c>
      <c r="B11" s="15" t="s">
        <v>46</v>
      </c>
      <c r="C11" s="15" t="s">
        <v>47</v>
      </c>
      <c r="D11" s="15" t="s">
        <v>33</v>
      </c>
      <c r="E11" s="16">
        <v>150000</v>
      </c>
      <c r="F11" s="15">
        <v>97.429000000000002</v>
      </c>
      <c r="G11" s="16">
        <v>150000</v>
      </c>
      <c r="H11" s="11">
        <f>'First Calculations'!P10</f>
        <v>27685</v>
      </c>
      <c r="I11" s="12"/>
      <c r="J11" s="13">
        <f t="shared" si="0"/>
        <v>0.18456666666666666</v>
      </c>
      <c r="L11" t="str">
        <f t="shared" si="1"/>
        <v>20.c.ps.180.594  - City of Sarasota  $27685</v>
      </c>
    </row>
    <row r="12" spans="1:12" ht="15.75" x14ac:dyDescent="0.25">
      <c r="A12" s="15">
        <v>10</v>
      </c>
      <c r="B12" s="15" t="s">
        <v>48</v>
      </c>
      <c r="C12" s="15" t="s">
        <v>49</v>
      </c>
      <c r="D12" s="15" t="s">
        <v>50</v>
      </c>
      <c r="E12" s="16">
        <v>150000</v>
      </c>
      <c r="F12" s="15">
        <v>97.332999999999998</v>
      </c>
      <c r="G12" s="16">
        <v>150000</v>
      </c>
      <c r="H12" s="11">
        <f>'First Calculations'!P11</f>
        <v>27658</v>
      </c>
      <c r="I12" s="12"/>
      <c r="J12" s="13">
        <f t="shared" si="0"/>
        <v>0.18438666666666667</v>
      </c>
      <c r="L12" t="str">
        <f t="shared" si="1"/>
        <v>20.c.ps.200.326  - Cathedral Arts Project, Inc.  $27658</v>
      </c>
    </row>
    <row r="13" spans="1:12" ht="15.75" x14ac:dyDescent="0.25">
      <c r="A13" s="15">
        <v>11</v>
      </c>
      <c r="B13" s="15" t="s">
        <v>51</v>
      </c>
      <c r="C13" s="15" t="s">
        <v>52</v>
      </c>
      <c r="D13" s="15" t="s">
        <v>28</v>
      </c>
      <c r="E13" s="16">
        <v>150000</v>
      </c>
      <c r="F13" s="15">
        <v>97.332999999999998</v>
      </c>
      <c r="G13" s="16">
        <v>150000</v>
      </c>
      <c r="H13" s="11">
        <f>'First Calculations'!P12</f>
        <v>27658</v>
      </c>
      <c r="I13" s="12"/>
      <c r="J13" s="13">
        <f t="shared" si="0"/>
        <v>0.18438666666666667</v>
      </c>
      <c r="L13" t="str">
        <f t="shared" si="1"/>
        <v>20.c.ps.170.739  - Miami Children's Museum, Inc.  $27658</v>
      </c>
    </row>
    <row r="14" spans="1:12" ht="15.75" x14ac:dyDescent="0.25">
      <c r="A14" s="15">
        <v>12</v>
      </c>
      <c r="B14" s="15" t="s">
        <v>53</v>
      </c>
      <c r="C14" s="15" t="s">
        <v>54</v>
      </c>
      <c r="D14" s="15" t="s">
        <v>33</v>
      </c>
      <c r="E14" s="16">
        <v>150000</v>
      </c>
      <c r="F14" s="15">
        <v>97.332999999999998</v>
      </c>
      <c r="G14" s="16">
        <v>150000</v>
      </c>
      <c r="H14" s="11">
        <f>'First Calculations'!P13</f>
        <v>27658</v>
      </c>
      <c r="I14" s="12"/>
      <c r="J14" s="13">
        <f t="shared" si="0"/>
        <v>0.18438666666666667</v>
      </c>
      <c r="L14" t="str">
        <f t="shared" si="1"/>
        <v>20.c.ps.142.565  - Asolo Theatre, Inc.  $27658</v>
      </c>
    </row>
    <row r="15" spans="1:12" ht="25.5" x14ac:dyDescent="0.25">
      <c r="A15" s="15">
        <v>13</v>
      </c>
      <c r="B15" s="15" t="s">
        <v>55</v>
      </c>
      <c r="C15" s="15" t="s">
        <v>56</v>
      </c>
      <c r="D15" s="15" t="s">
        <v>57</v>
      </c>
      <c r="E15" s="16">
        <v>150000</v>
      </c>
      <c r="F15" s="15">
        <v>97.286000000000001</v>
      </c>
      <c r="G15" s="16">
        <v>150000</v>
      </c>
      <c r="H15" s="11">
        <f>'First Calculations'!P14</f>
        <v>27645</v>
      </c>
      <c r="I15" s="12"/>
      <c r="J15" s="13">
        <f t="shared" si="0"/>
        <v>0.18429999999999999</v>
      </c>
      <c r="L15" t="str">
        <f t="shared" si="1"/>
        <v>20.c.ps.180.376  - Tampa Bay Performing Arts Center, Inc.  $27645</v>
      </c>
    </row>
    <row r="16" spans="1:12" ht="15.75" x14ac:dyDescent="0.25">
      <c r="A16" s="15">
        <v>14</v>
      </c>
      <c r="B16" s="15" t="s">
        <v>58</v>
      </c>
      <c r="C16" s="15" t="s">
        <v>59</v>
      </c>
      <c r="D16" s="15" t="s">
        <v>28</v>
      </c>
      <c r="E16" s="16">
        <v>150000</v>
      </c>
      <c r="F16" s="15">
        <v>97.2</v>
      </c>
      <c r="G16" s="16">
        <v>150000</v>
      </c>
      <c r="H16" s="11">
        <f>'First Calculations'!P15</f>
        <v>27620</v>
      </c>
      <c r="I16" s="12"/>
      <c r="J16" s="13">
        <f t="shared" si="0"/>
        <v>0.18413333333333334</v>
      </c>
      <c r="L16" t="str">
        <f t="shared" si="1"/>
        <v>20.c.ps.101.302  - Miami City Ballet, Inc.  $27620</v>
      </c>
    </row>
    <row r="17" spans="1:12" ht="15.75" x14ac:dyDescent="0.25">
      <c r="A17" s="15">
        <v>15</v>
      </c>
      <c r="B17" s="15" t="s">
        <v>60</v>
      </c>
      <c r="C17" s="15" t="s">
        <v>61</v>
      </c>
      <c r="D17" s="15" t="s">
        <v>28</v>
      </c>
      <c r="E17" s="16">
        <v>28000</v>
      </c>
      <c r="F17" s="15">
        <v>97</v>
      </c>
      <c r="G17" s="16">
        <v>28000</v>
      </c>
      <c r="H17" s="11">
        <f>'First Calculations'!P16</f>
        <v>5157</v>
      </c>
      <c r="I17" s="12"/>
      <c r="J17" s="13">
        <f t="shared" si="0"/>
        <v>0.18417857142857144</v>
      </c>
      <c r="L17" t="str">
        <f t="shared" si="1"/>
        <v>20.c.ps.110.755  - University of Wynwood, Inc.  $5157</v>
      </c>
    </row>
    <row r="18" spans="1:12" ht="15.75" x14ac:dyDescent="0.25">
      <c r="A18" s="15">
        <v>16</v>
      </c>
      <c r="B18" s="15" t="s">
        <v>62</v>
      </c>
      <c r="C18" s="15" t="s">
        <v>63</v>
      </c>
      <c r="D18" s="15" t="s">
        <v>64</v>
      </c>
      <c r="E18" s="16">
        <v>130000</v>
      </c>
      <c r="F18" s="15">
        <v>97</v>
      </c>
      <c r="G18" s="16">
        <v>130000</v>
      </c>
      <c r="H18" s="11">
        <f>'First Calculations'!P17</f>
        <v>23890</v>
      </c>
      <c r="I18" s="12"/>
      <c r="J18" s="13">
        <f t="shared" si="0"/>
        <v>0.18376923076923077</v>
      </c>
      <c r="L18" t="str">
        <f t="shared" si="1"/>
        <v>20.c.ps.105.227  - Naples Art Association, Inc.  $23890</v>
      </c>
    </row>
    <row r="19" spans="1:12" ht="15.75" x14ac:dyDescent="0.25">
      <c r="A19" s="15">
        <v>17</v>
      </c>
      <c r="B19" s="15" t="s">
        <v>65</v>
      </c>
      <c r="C19" s="15" t="s">
        <v>66</v>
      </c>
      <c r="D19" s="15" t="s">
        <v>67</v>
      </c>
      <c r="E19" s="16">
        <v>90000</v>
      </c>
      <c r="F19" s="15">
        <v>96.856999999999999</v>
      </c>
      <c r="G19" s="16">
        <v>90000</v>
      </c>
      <c r="H19" s="11">
        <f>'First Calculations'!P18</f>
        <v>16520</v>
      </c>
      <c r="I19" s="12"/>
      <c r="J19" s="13">
        <f t="shared" si="0"/>
        <v>0.18355555555555556</v>
      </c>
      <c r="L19" t="str">
        <f t="shared" si="1"/>
        <v>20.c.ps.114.681  - Shands Teaching Hospital and Clinics, Inc.  $16520</v>
      </c>
    </row>
    <row r="20" spans="1:12" ht="15.75" x14ac:dyDescent="0.25">
      <c r="A20" s="15">
        <v>18</v>
      </c>
      <c r="B20" s="15" t="s">
        <v>68</v>
      </c>
      <c r="C20" s="15" t="s">
        <v>69</v>
      </c>
      <c r="D20" s="15" t="s">
        <v>70</v>
      </c>
      <c r="E20" s="16">
        <v>150000</v>
      </c>
      <c r="F20" s="15">
        <v>96.570999999999998</v>
      </c>
      <c r="G20" s="16">
        <v>150000</v>
      </c>
      <c r="H20" s="11">
        <f>'First Calculations'!P19</f>
        <v>27441</v>
      </c>
      <c r="I20" s="12"/>
      <c r="J20" s="13">
        <f t="shared" si="0"/>
        <v>0.18293999999999999</v>
      </c>
      <c r="L20" t="str">
        <f t="shared" si="1"/>
        <v>20.c.ps.141.746  - The Marion Players, Inc.  $27441</v>
      </c>
    </row>
    <row r="21" spans="1:12" ht="15.75" x14ac:dyDescent="0.25">
      <c r="A21" s="15">
        <v>19</v>
      </c>
      <c r="B21" s="15" t="s">
        <v>71</v>
      </c>
      <c r="C21" s="15" t="s">
        <v>72</v>
      </c>
      <c r="D21" s="15" t="s">
        <v>73</v>
      </c>
      <c r="E21" s="16">
        <v>150000</v>
      </c>
      <c r="F21" s="15">
        <v>96.429000000000002</v>
      </c>
      <c r="G21" s="16">
        <v>150000</v>
      </c>
      <c r="H21" s="11">
        <f>'First Calculations'!P20</f>
        <v>27401</v>
      </c>
      <c r="I21" s="12"/>
      <c r="J21" s="13">
        <f t="shared" si="0"/>
        <v>0.18267333333333333</v>
      </c>
      <c r="L21" t="str">
        <f t="shared" si="1"/>
        <v>20.c.ps.114.237  - Atlantic Center for the Arts, Inc.  $27401</v>
      </c>
    </row>
    <row r="22" spans="1:12" ht="15.75" x14ac:dyDescent="0.25">
      <c r="A22" s="15">
        <v>20</v>
      </c>
      <c r="B22" s="15" t="s">
        <v>74</v>
      </c>
      <c r="C22" s="15" t="s">
        <v>75</v>
      </c>
      <c r="D22" s="15" t="s">
        <v>36</v>
      </c>
      <c r="E22" s="16">
        <v>90000</v>
      </c>
      <c r="F22" s="15">
        <v>96.429000000000002</v>
      </c>
      <c r="G22" s="16">
        <v>90000</v>
      </c>
      <c r="H22" s="11">
        <f>'First Calculations'!P21</f>
        <v>16447</v>
      </c>
      <c r="I22" s="12"/>
      <c r="J22" s="13">
        <f t="shared" si="0"/>
        <v>0.18274444444444443</v>
      </c>
      <c r="L22" t="str">
        <f t="shared" si="1"/>
        <v>20.c.ps.141.136  - The Fort Lauderdale Children's Theatre, Inc.  $16447</v>
      </c>
    </row>
    <row r="23" spans="1:12" ht="15.75" x14ac:dyDescent="0.25">
      <c r="A23" s="15">
        <v>21</v>
      </c>
      <c r="B23" s="15" t="s">
        <v>76</v>
      </c>
      <c r="C23" s="15" t="s">
        <v>77</v>
      </c>
      <c r="D23" s="15" t="s">
        <v>28</v>
      </c>
      <c r="E23" s="16">
        <v>38800</v>
      </c>
      <c r="F23" s="15">
        <v>96.286000000000001</v>
      </c>
      <c r="G23" s="16">
        <v>38800</v>
      </c>
      <c r="H23" s="11">
        <f>'First Calculations'!P22</f>
        <v>7088</v>
      </c>
      <c r="I23" s="12"/>
      <c r="J23" s="13">
        <f t="shared" si="0"/>
        <v>0.18268041237113403</v>
      </c>
      <c r="L23" t="str">
        <f t="shared" si="1"/>
        <v>20.c.ps.114.508  - ArtSouth, A Not-for-Profit Corporation  $7088</v>
      </c>
    </row>
    <row r="24" spans="1:12" ht="15.75" x14ac:dyDescent="0.25">
      <c r="A24" s="15">
        <v>22</v>
      </c>
      <c r="B24" s="15" t="s">
        <v>78</v>
      </c>
      <c r="C24" s="15" t="s">
        <v>79</v>
      </c>
      <c r="D24" s="15" t="s">
        <v>80</v>
      </c>
      <c r="E24" s="16">
        <v>150000</v>
      </c>
      <c r="F24" s="15">
        <v>96.2</v>
      </c>
      <c r="G24" s="16">
        <v>150000</v>
      </c>
      <c r="H24" s="11">
        <f>'First Calculations'!P23</f>
        <v>27336</v>
      </c>
      <c r="I24" s="12"/>
      <c r="J24" s="13">
        <f t="shared" si="0"/>
        <v>0.18224000000000001</v>
      </c>
      <c r="L24" t="str">
        <f t="shared" si="1"/>
        <v>20.c.ps.105.278  - Arts Center Association, Inc.  $27336</v>
      </c>
    </row>
    <row r="25" spans="1:12" ht="15.75" x14ac:dyDescent="0.25">
      <c r="A25" s="15">
        <v>23</v>
      </c>
      <c r="B25" s="15" t="s">
        <v>81</v>
      </c>
      <c r="C25" s="15" t="s">
        <v>82</v>
      </c>
      <c r="D25" s="15" t="s">
        <v>28</v>
      </c>
      <c r="E25" s="16">
        <v>150000</v>
      </c>
      <c r="F25" s="15">
        <v>96.167000000000002</v>
      </c>
      <c r="G25" s="16">
        <v>150000</v>
      </c>
      <c r="H25" s="11">
        <f>'First Calculations'!P24</f>
        <v>27327</v>
      </c>
      <c r="I25" s="12"/>
      <c r="J25" s="13">
        <f t="shared" si="0"/>
        <v>0.18218000000000001</v>
      </c>
      <c r="L25" t="str">
        <f t="shared" si="1"/>
        <v>20.c.ps.170.538  - Jorge M. Pérez Art Museum of Miami-Dade County, Inc.  $27327</v>
      </c>
    </row>
    <row r="26" spans="1:12" ht="15.75" x14ac:dyDescent="0.25">
      <c r="A26" s="15">
        <v>24</v>
      </c>
      <c r="B26" s="15" t="s">
        <v>83</v>
      </c>
      <c r="C26" s="15" t="s">
        <v>84</v>
      </c>
      <c r="D26" s="15" t="s">
        <v>67</v>
      </c>
      <c r="E26" s="16">
        <v>85860</v>
      </c>
      <c r="F26" s="15">
        <v>96.143000000000001</v>
      </c>
      <c r="G26" s="16">
        <v>85860</v>
      </c>
      <c r="H26" s="11">
        <f>'First Calculations'!P25</f>
        <v>15644</v>
      </c>
      <c r="I26" s="12"/>
      <c r="J26" s="13">
        <f t="shared" si="0"/>
        <v>0.18220358723503377</v>
      </c>
      <c r="L26" t="str">
        <f t="shared" si="1"/>
        <v>20.c.ps.101.086  - Dance Alive!, Inc.  $15644</v>
      </c>
    </row>
    <row r="27" spans="1:12" ht="15.75" x14ac:dyDescent="0.25">
      <c r="A27" s="15">
        <v>25</v>
      </c>
      <c r="B27" s="15" t="s">
        <v>85</v>
      </c>
      <c r="C27" s="15" t="s">
        <v>86</v>
      </c>
      <c r="D27" s="15" t="s">
        <v>87</v>
      </c>
      <c r="E27" s="16">
        <v>132336</v>
      </c>
      <c r="F27" s="15">
        <v>96.125</v>
      </c>
      <c r="G27" s="16">
        <v>132336</v>
      </c>
      <c r="H27" s="11">
        <f>'First Calculations'!P26</f>
        <v>24100</v>
      </c>
      <c r="I27" s="12"/>
      <c r="J27" s="13">
        <f t="shared" si="0"/>
        <v>0.18211219925039293</v>
      </c>
      <c r="L27" t="str">
        <f t="shared" si="1"/>
        <v>20.c.ps.102.333  - The Bach Festival Society of Winter Park, Inc.  $24100</v>
      </c>
    </row>
    <row r="28" spans="1:12" ht="15.75" x14ac:dyDescent="0.25">
      <c r="A28" s="15">
        <v>26</v>
      </c>
      <c r="B28" s="15" t="s">
        <v>88</v>
      </c>
      <c r="C28" s="15" t="s">
        <v>89</v>
      </c>
      <c r="D28" s="15" t="s">
        <v>90</v>
      </c>
      <c r="E28" s="16">
        <v>150000</v>
      </c>
      <c r="F28" s="15">
        <v>96</v>
      </c>
      <c r="G28" s="16">
        <v>150000</v>
      </c>
      <c r="H28" s="11">
        <f>'First Calculations'!P27</f>
        <v>27279</v>
      </c>
      <c r="I28" s="12"/>
      <c r="J28" s="13">
        <f t="shared" si="0"/>
        <v>0.18185999999999999</v>
      </c>
      <c r="L28" t="str">
        <f t="shared" si="1"/>
        <v>20.c.ps.141.541  - The Historic Cocoa Village Playhouse, Inc.  $27279</v>
      </c>
    </row>
    <row r="29" spans="1:12" ht="15.75" x14ac:dyDescent="0.25">
      <c r="A29" s="15">
        <v>27</v>
      </c>
      <c r="B29" s="15" t="s">
        <v>91</v>
      </c>
      <c r="C29" s="15" t="s">
        <v>92</v>
      </c>
      <c r="D29" s="15" t="s">
        <v>50</v>
      </c>
      <c r="E29" s="16">
        <v>90000</v>
      </c>
      <c r="F29" s="15">
        <v>96</v>
      </c>
      <c r="G29" s="16">
        <v>90000</v>
      </c>
      <c r="H29" s="11">
        <f>'First Calculations'!P28</f>
        <v>16374</v>
      </c>
      <c r="I29" s="12"/>
      <c r="J29" s="13">
        <f t="shared" si="0"/>
        <v>0.18193333333333334</v>
      </c>
      <c r="L29" t="str">
        <f t="shared" si="1"/>
        <v>20.c.ps.141.351  - Theatre Jacksonville, Inc.  $16374</v>
      </c>
    </row>
    <row r="30" spans="1:12" ht="15.75" x14ac:dyDescent="0.25">
      <c r="A30" s="15">
        <v>28</v>
      </c>
      <c r="B30" s="15" t="s">
        <v>93</v>
      </c>
      <c r="C30" s="15" t="s">
        <v>94</v>
      </c>
      <c r="D30" s="15" t="s">
        <v>95</v>
      </c>
      <c r="E30" s="16">
        <v>70175</v>
      </c>
      <c r="F30" s="15">
        <v>96</v>
      </c>
      <c r="G30" s="16">
        <v>70175</v>
      </c>
      <c r="H30" s="11">
        <f>'First Calculations'!P29</f>
        <v>12770</v>
      </c>
      <c r="I30" s="12"/>
      <c r="J30" s="13">
        <f t="shared" si="0"/>
        <v>0.18197363733523333</v>
      </c>
      <c r="L30" t="str">
        <f t="shared" si="1"/>
        <v>20.c.ps.102.263  - Amelia Island Chamber Music Festival, Inc.  $12770</v>
      </c>
    </row>
    <row r="31" spans="1:12" ht="25.5" x14ac:dyDescent="0.25">
      <c r="A31" s="15">
        <v>29</v>
      </c>
      <c r="B31" s="15" t="s">
        <v>96</v>
      </c>
      <c r="C31" s="15" t="s">
        <v>97</v>
      </c>
      <c r="D31" s="15" t="s">
        <v>57</v>
      </c>
      <c r="E31" s="16">
        <v>150000</v>
      </c>
      <c r="F31" s="15">
        <v>96</v>
      </c>
      <c r="G31" s="16">
        <v>150000</v>
      </c>
      <c r="H31" s="11">
        <f>'First Calculations'!P30</f>
        <v>27279</v>
      </c>
      <c r="I31" s="12"/>
      <c r="J31" s="13">
        <f t="shared" si="0"/>
        <v>0.18185999999999999</v>
      </c>
      <c r="L31" t="str">
        <f t="shared" si="1"/>
        <v>20.c.ps.109.391  - The Tampa Theatre, Inc.  $27279</v>
      </c>
    </row>
    <row r="32" spans="1:12" ht="15.75" x14ac:dyDescent="0.25">
      <c r="A32" s="15">
        <v>30</v>
      </c>
      <c r="B32" s="15" t="s">
        <v>98</v>
      </c>
      <c r="C32" s="15" t="s">
        <v>99</v>
      </c>
      <c r="D32" s="15" t="s">
        <v>50</v>
      </c>
      <c r="E32" s="16">
        <v>82500</v>
      </c>
      <c r="F32" s="15">
        <v>95.856999999999999</v>
      </c>
      <c r="G32" s="16">
        <v>82500</v>
      </c>
      <c r="H32" s="11">
        <f>'First Calculations'!P31</f>
        <v>14988</v>
      </c>
      <c r="I32" s="12"/>
      <c r="J32" s="13">
        <f t="shared" si="0"/>
        <v>0.18167272727272726</v>
      </c>
      <c r="L32" t="str">
        <f t="shared" si="1"/>
        <v>20.c.ps.141.579  - Players by the Sea, Inc  $14988</v>
      </c>
    </row>
    <row r="33" spans="1:12" ht="15.75" x14ac:dyDescent="0.25">
      <c r="A33" s="15">
        <v>31</v>
      </c>
      <c r="B33" s="15" t="s">
        <v>100</v>
      </c>
      <c r="C33" s="15" t="s">
        <v>101</v>
      </c>
      <c r="D33" s="15" t="s">
        <v>102</v>
      </c>
      <c r="E33" s="16">
        <v>113500</v>
      </c>
      <c r="F33" s="15">
        <v>95.856999999999999</v>
      </c>
      <c r="G33" s="16">
        <v>113500</v>
      </c>
      <c r="H33" s="11">
        <f>'First Calculations'!P32</f>
        <v>20614</v>
      </c>
      <c r="I33" s="12"/>
      <c r="J33" s="13">
        <f t="shared" si="0"/>
        <v>0.18162114537444934</v>
      </c>
      <c r="L33" t="str">
        <f t="shared" si="1"/>
        <v>20.c.ps.141.236  - Pensacola Little Theatre, Inc.  $20614</v>
      </c>
    </row>
    <row r="34" spans="1:12" ht="15.75" x14ac:dyDescent="0.25">
      <c r="A34" s="15">
        <v>32</v>
      </c>
      <c r="B34" s="15" t="s">
        <v>103</v>
      </c>
      <c r="C34" s="15" t="s">
        <v>104</v>
      </c>
      <c r="D34" s="15" t="s">
        <v>39</v>
      </c>
      <c r="E34" s="16">
        <v>150000</v>
      </c>
      <c r="F34" s="15">
        <v>95.856999999999999</v>
      </c>
      <c r="G34" s="16">
        <v>150000</v>
      </c>
      <c r="H34" s="11">
        <f>'First Calculations'!P33</f>
        <v>27239</v>
      </c>
      <c r="I34" s="12"/>
      <c r="J34" s="13">
        <f t="shared" si="0"/>
        <v>0.18159333333333333</v>
      </c>
      <c r="L34" t="str">
        <f t="shared" si="1"/>
        <v>20.c.ps.180.309  - Raymond F. Kravis Center for the Performing Arts, Inc.  $27239</v>
      </c>
    </row>
    <row r="35" spans="1:12" ht="15.75" x14ac:dyDescent="0.25">
      <c r="A35" s="15">
        <v>33</v>
      </c>
      <c r="B35" s="15" t="s">
        <v>105</v>
      </c>
      <c r="C35" s="15" t="s">
        <v>106</v>
      </c>
      <c r="D35" s="15" t="s">
        <v>70</v>
      </c>
      <c r="E35" s="16">
        <v>90000</v>
      </c>
      <c r="F35" s="15">
        <v>95.856999999999999</v>
      </c>
      <c r="G35" s="16">
        <v>90000</v>
      </c>
      <c r="H35" s="11">
        <f>'First Calculations'!P34</f>
        <v>16349</v>
      </c>
      <c r="I35" s="12"/>
      <c r="J35" s="13">
        <f t="shared" si="0"/>
        <v>0.18165555555555554</v>
      </c>
      <c r="L35" t="str">
        <f t="shared" si="1"/>
        <v>20.c.ps.102.564  - Ocala Symphony Orchestra, Inc.  $16349</v>
      </c>
    </row>
    <row r="36" spans="1:12" ht="15.75" x14ac:dyDescent="0.25">
      <c r="A36" s="15">
        <v>34</v>
      </c>
      <c r="B36" s="15" t="s">
        <v>107</v>
      </c>
      <c r="C36" s="15" t="s">
        <v>108</v>
      </c>
      <c r="D36" s="15" t="s">
        <v>39</v>
      </c>
      <c r="E36" s="16">
        <v>150000</v>
      </c>
      <c r="F36" s="15">
        <v>95.832999999999998</v>
      </c>
      <c r="G36" s="16">
        <v>150000</v>
      </c>
      <c r="H36" s="11">
        <f>'First Calculations'!P35</f>
        <v>27232</v>
      </c>
      <c r="I36" s="12"/>
      <c r="J36" s="13">
        <f t="shared" si="0"/>
        <v>0.18154666666666666</v>
      </c>
      <c r="L36" t="str">
        <f t="shared" si="1"/>
        <v>20.c.ps.170.679  - Boca Raton Museum of Art, Inc.  $27232</v>
      </c>
    </row>
    <row r="37" spans="1:12" ht="15.75" x14ac:dyDescent="0.25">
      <c r="A37" s="15">
        <v>35</v>
      </c>
      <c r="B37" s="15" t="s">
        <v>109</v>
      </c>
      <c r="C37" s="15" t="s">
        <v>110</v>
      </c>
      <c r="D37" s="15" t="s">
        <v>39</v>
      </c>
      <c r="E37" s="16">
        <v>150000</v>
      </c>
      <c r="F37" s="15">
        <v>95.832999999999998</v>
      </c>
      <c r="G37" s="16">
        <v>150000</v>
      </c>
      <c r="H37" s="11">
        <f>'First Calculations'!P36</f>
        <v>27232</v>
      </c>
      <c r="I37" s="12"/>
      <c r="J37" s="13">
        <f t="shared" si="0"/>
        <v>0.18154666666666666</v>
      </c>
      <c r="L37" t="str">
        <f t="shared" si="1"/>
        <v>20.c.ps.142.343  - Maltz Jupiter Theatre, Inc.  $27232</v>
      </c>
    </row>
    <row r="38" spans="1:12" ht="15.75" x14ac:dyDescent="0.25">
      <c r="A38" s="15">
        <v>36</v>
      </c>
      <c r="B38" s="15" t="s">
        <v>111</v>
      </c>
      <c r="C38" s="15" t="s">
        <v>112</v>
      </c>
      <c r="D38" s="15" t="s">
        <v>36</v>
      </c>
      <c r="E38" s="16">
        <v>150000</v>
      </c>
      <c r="F38" s="15">
        <v>95.832999999999998</v>
      </c>
      <c r="G38" s="16">
        <v>150000</v>
      </c>
      <c r="H38" s="11">
        <f>'First Calculations'!P37</f>
        <v>27232</v>
      </c>
      <c r="I38" s="12"/>
      <c r="J38" s="13">
        <f t="shared" si="0"/>
        <v>0.18154666666666666</v>
      </c>
      <c r="L38" t="str">
        <f t="shared" si="1"/>
        <v>20.c.ps.170.495  - Museum of Discovery and Science, Inc.  $27232</v>
      </c>
    </row>
    <row r="39" spans="1:12" ht="15.75" x14ac:dyDescent="0.25">
      <c r="A39" s="15">
        <v>37</v>
      </c>
      <c r="B39" s="15" t="s">
        <v>113</v>
      </c>
      <c r="C39" s="15" t="s">
        <v>114</v>
      </c>
      <c r="D39" s="15" t="s">
        <v>115</v>
      </c>
      <c r="E39" s="16">
        <v>70300</v>
      </c>
      <c r="F39" s="15">
        <v>95.713999999999999</v>
      </c>
      <c r="G39" s="16">
        <v>70300</v>
      </c>
      <c r="H39" s="11">
        <f>'First Calculations'!P38</f>
        <v>12755</v>
      </c>
      <c r="I39" s="12"/>
      <c r="J39" s="13">
        <f t="shared" si="0"/>
        <v>0.18143669985775249</v>
      </c>
      <c r="L39" t="str">
        <f t="shared" si="1"/>
        <v>20.c.ps.141.378  - Tallahassee Little Theatre, Inc.  $12755</v>
      </c>
    </row>
    <row r="40" spans="1:12" ht="15.75" x14ac:dyDescent="0.25">
      <c r="A40" s="15">
        <v>38</v>
      </c>
      <c r="B40" s="15" t="s">
        <v>116</v>
      </c>
      <c r="C40" s="15" t="s">
        <v>117</v>
      </c>
      <c r="D40" s="15" t="s">
        <v>33</v>
      </c>
      <c r="E40" s="16">
        <v>90000</v>
      </c>
      <c r="F40" s="15">
        <v>95.713999999999999</v>
      </c>
      <c r="G40" s="16">
        <v>90000</v>
      </c>
      <c r="H40" s="11">
        <f>'First Calculations'!P39</f>
        <v>16325</v>
      </c>
      <c r="I40" s="12"/>
      <c r="J40" s="13">
        <f t="shared" si="0"/>
        <v>0.18138888888888888</v>
      </c>
      <c r="L40" t="str">
        <f t="shared" si="1"/>
        <v>20.c.ps.114.151  - The Hermitage Artist Retreat, Inc.  $16325</v>
      </c>
    </row>
    <row r="41" spans="1:12" ht="15.75" x14ac:dyDescent="0.25">
      <c r="A41" s="15">
        <v>39</v>
      </c>
      <c r="B41" s="15" t="s">
        <v>118</v>
      </c>
      <c r="C41" s="15" t="s">
        <v>119</v>
      </c>
      <c r="D41" s="15" t="s">
        <v>115</v>
      </c>
      <c r="E41" s="16">
        <v>150000</v>
      </c>
      <c r="F41" s="15">
        <v>95.713999999999999</v>
      </c>
      <c r="G41" s="16">
        <v>150000</v>
      </c>
      <c r="H41" s="11">
        <f>'First Calculations'!P40</f>
        <v>27198</v>
      </c>
      <c r="I41" s="12"/>
      <c r="J41" s="13">
        <f t="shared" si="0"/>
        <v>0.18132000000000001</v>
      </c>
      <c r="L41" t="str">
        <f t="shared" si="1"/>
        <v>20.c.ps.180.046  - Florida State University Foundation, Inc.  $27198</v>
      </c>
    </row>
    <row r="42" spans="1:12" ht="15.75" x14ac:dyDescent="0.25">
      <c r="A42" s="15">
        <v>40</v>
      </c>
      <c r="B42" s="15" t="s">
        <v>120</v>
      </c>
      <c r="C42" s="15" t="s">
        <v>121</v>
      </c>
      <c r="D42" s="15" t="s">
        <v>87</v>
      </c>
      <c r="E42" s="16">
        <v>150000</v>
      </c>
      <c r="F42" s="15">
        <v>95.713999999999999</v>
      </c>
      <c r="G42" s="16">
        <v>150000</v>
      </c>
      <c r="H42" s="11">
        <f>'First Calculations'!P41</f>
        <v>27198</v>
      </c>
      <c r="I42" s="12"/>
      <c r="J42" s="13">
        <f t="shared" si="0"/>
        <v>0.18132000000000001</v>
      </c>
      <c r="L42" t="str">
        <f t="shared" si="1"/>
        <v>20.c.ps.170.728  - Orlando Science Center, Inc.  $27198</v>
      </c>
    </row>
    <row r="43" spans="1:12" ht="15.75" x14ac:dyDescent="0.25">
      <c r="A43" s="15">
        <v>41</v>
      </c>
      <c r="B43" s="15" t="s">
        <v>122</v>
      </c>
      <c r="C43" s="15" t="s">
        <v>123</v>
      </c>
      <c r="D43" s="15" t="s">
        <v>124</v>
      </c>
      <c r="E43" s="16">
        <v>150000</v>
      </c>
      <c r="F43" s="15">
        <v>95.667000000000002</v>
      </c>
      <c r="G43" s="16">
        <v>150000</v>
      </c>
      <c r="H43" s="11">
        <f>'First Calculations'!P42</f>
        <v>27185</v>
      </c>
      <c r="I43" s="12"/>
      <c r="J43" s="13">
        <f t="shared" si="0"/>
        <v>0.18123333333333333</v>
      </c>
      <c r="L43" t="str">
        <f t="shared" si="1"/>
        <v>20.c.ps.142.523  - Florida Repertory Company, Inc.  $27185</v>
      </c>
    </row>
    <row r="44" spans="1:12" ht="15.75" x14ac:dyDescent="0.25">
      <c r="A44" s="15">
        <v>42</v>
      </c>
      <c r="B44" s="15" t="s">
        <v>125</v>
      </c>
      <c r="C44" s="15" t="s">
        <v>126</v>
      </c>
      <c r="D44" s="15" t="s">
        <v>80</v>
      </c>
      <c r="E44" s="16">
        <v>150000</v>
      </c>
      <c r="F44" s="15">
        <v>95.667000000000002</v>
      </c>
      <c r="G44" s="16">
        <v>150000</v>
      </c>
      <c r="H44" s="11">
        <f>'First Calculations'!P43</f>
        <v>27185</v>
      </c>
      <c r="I44" s="12"/>
      <c r="J44" s="13">
        <f t="shared" si="0"/>
        <v>0.18123333333333333</v>
      </c>
      <c r="L44" t="str">
        <f t="shared" si="1"/>
        <v>20.c.ps.170.552  - Great Explorations, Inc.  $27185</v>
      </c>
    </row>
    <row r="45" spans="1:12" ht="15.75" x14ac:dyDescent="0.25">
      <c r="A45" s="15">
        <v>43</v>
      </c>
      <c r="B45" s="15" t="s">
        <v>127</v>
      </c>
      <c r="C45" s="15" t="s">
        <v>128</v>
      </c>
      <c r="D45" s="15" t="s">
        <v>87</v>
      </c>
      <c r="E45" s="16">
        <v>15000</v>
      </c>
      <c r="F45" s="15">
        <v>95.6</v>
      </c>
      <c r="G45" s="16">
        <v>15000</v>
      </c>
      <c r="H45" s="11">
        <f>'First Calculations'!P44</f>
        <v>2730</v>
      </c>
      <c r="I45" s="12"/>
      <c r="J45" s="13">
        <f t="shared" si="0"/>
        <v>0.182</v>
      </c>
      <c r="L45" t="str">
        <f t="shared" si="1"/>
        <v>20.c.ps.200.431  - Central Florida Vocal Arts  $2730</v>
      </c>
    </row>
    <row r="46" spans="1:12" ht="15.75" x14ac:dyDescent="0.25">
      <c r="A46" s="15">
        <v>44</v>
      </c>
      <c r="B46" s="15" t="s">
        <v>129</v>
      </c>
      <c r="C46" s="15" t="s">
        <v>130</v>
      </c>
      <c r="D46" s="15" t="s">
        <v>80</v>
      </c>
      <c r="E46" s="16">
        <v>90000</v>
      </c>
      <c r="F46" s="15">
        <v>95.6</v>
      </c>
      <c r="G46" s="16">
        <v>90000</v>
      </c>
      <c r="H46" s="11">
        <f>'First Calculations'!P45</f>
        <v>16305</v>
      </c>
      <c r="I46" s="12"/>
      <c r="J46" s="13">
        <f t="shared" si="0"/>
        <v>0.18116666666666667</v>
      </c>
      <c r="L46" t="str">
        <f t="shared" si="1"/>
        <v>20.c.ps.105.233  - Florida Craftsmen  $16305</v>
      </c>
    </row>
    <row r="47" spans="1:12" ht="15.75" x14ac:dyDescent="0.25">
      <c r="A47" s="15">
        <v>45</v>
      </c>
      <c r="B47" s="15" t="s">
        <v>131</v>
      </c>
      <c r="C47" s="15" t="s">
        <v>132</v>
      </c>
      <c r="D47" s="15" t="s">
        <v>133</v>
      </c>
      <c r="E47" s="16">
        <v>150000</v>
      </c>
      <c r="F47" s="15">
        <v>95.570999999999998</v>
      </c>
      <c r="G47" s="16">
        <v>150000</v>
      </c>
      <c r="H47" s="11">
        <f>'First Calculations'!P46</f>
        <v>27157</v>
      </c>
      <c r="I47" s="12"/>
      <c r="J47" s="13">
        <f t="shared" si="0"/>
        <v>0.18104666666666666</v>
      </c>
      <c r="L47" t="str">
        <f t="shared" si="1"/>
        <v>20.c.ps.141.607  - The Manatee Players, Inc.  $27157</v>
      </c>
    </row>
    <row r="48" spans="1:12" ht="15.75" x14ac:dyDescent="0.25">
      <c r="A48" s="15">
        <v>46</v>
      </c>
      <c r="B48" s="15" t="s">
        <v>134</v>
      </c>
      <c r="C48" s="15" t="s">
        <v>135</v>
      </c>
      <c r="D48" s="15" t="s">
        <v>136</v>
      </c>
      <c r="E48" s="16">
        <v>78937</v>
      </c>
      <c r="F48" s="15">
        <v>95.570999999999998</v>
      </c>
      <c r="G48" s="16">
        <v>78937</v>
      </c>
      <c r="H48" s="11">
        <f>'First Calculations'!P47</f>
        <v>14299</v>
      </c>
      <c r="I48" s="12"/>
      <c r="J48" s="13">
        <f t="shared" si="0"/>
        <v>0.18114445697201567</v>
      </c>
      <c r="L48" t="str">
        <f t="shared" si="1"/>
        <v>20.c.ps.102.108  - The Imperial Symphony Orchestra, Inc.  $14299</v>
      </c>
    </row>
    <row r="49" spans="1:12" ht="15.75" x14ac:dyDescent="0.25">
      <c r="A49" s="15">
        <v>47</v>
      </c>
      <c r="B49" s="15" t="s">
        <v>137</v>
      </c>
      <c r="C49" s="15" t="s">
        <v>138</v>
      </c>
      <c r="D49" s="15" t="s">
        <v>28</v>
      </c>
      <c r="E49" s="16">
        <v>25000</v>
      </c>
      <c r="F49" s="15">
        <v>95.332999999999998</v>
      </c>
      <c r="G49" s="16">
        <v>25000</v>
      </c>
      <c r="H49" s="11">
        <f>'First Calculations'!P48</f>
        <v>4527</v>
      </c>
      <c r="I49" s="12"/>
      <c r="J49" s="13">
        <f t="shared" si="0"/>
        <v>0.18107999999999999</v>
      </c>
      <c r="L49" t="str">
        <f t="shared" si="1"/>
        <v>20.c.ps.170.707  - Institute of Contemporary Art, Miami  $4527</v>
      </c>
    </row>
    <row r="50" spans="1:12" ht="15.75" x14ac:dyDescent="0.25">
      <c r="A50" s="15">
        <v>48</v>
      </c>
      <c r="B50" s="15" t="s">
        <v>139</v>
      </c>
      <c r="C50" s="15" t="s">
        <v>140</v>
      </c>
      <c r="D50" s="15" t="s">
        <v>80</v>
      </c>
      <c r="E50" s="16">
        <v>40000</v>
      </c>
      <c r="F50" s="15">
        <v>95.332999999999998</v>
      </c>
      <c r="G50" s="16">
        <v>40000</v>
      </c>
      <c r="H50" s="11">
        <f>'First Calculations'!P49</f>
        <v>7235</v>
      </c>
      <c r="I50" s="12"/>
      <c r="J50" s="13">
        <f t="shared" si="0"/>
        <v>0.18087500000000001</v>
      </c>
      <c r="L50" t="str">
        <f t="shared" si="1"/>
        <v>20.c.ps.170.576  - Dunedin Museum, Inc.  $7235</v>
      </c>
    </row>
    <row r="51" spans="1:12" ht="15.75" x14ac:dyDescent="0.25">
      <c r="A51" s="15">
        <v>49</v>
      </c>
      <c r="B51" s="15" t="s">
        <v>141</v>
      </c>
      <c r="C51" s="15" t="s">
        <v>142</v>
      </c>
      <c r="D51" s="15" t="s">
        <v>87</v>
      </c>
      <c r="E51" s="16">
        <v>150000</v>
      </c>
      <c r="F51" s="15">
        <v>95.332999999999998</v>
      </c>
      <c r="G51" s="16">
        <v>150000</v>
      </c>
      <c r="H51" s="11">
        <f>'First Calculations'!P50</f>
        <v>27090</v>
      </c>
      <c r="I51" s="12"/>
      <c r="J51" s="13">
        <f t="shared" si="0"/>
        <v>0.18060000000000001</v>
      </c>
      <c r="L51" t="str">
        <f t="shared" si="1"/>
        <v>20.c.ps.500.507  - United Arts of Central Florida  $27090</v>
      </c>
    </row>
    <row r="52" spans="1:12" ht="15.75" x14ac:dyDescent="0.25">
      <c r="A52" s="15">
        <v>50</v>
      </c>
      <c r="B52" s="15" t="s">
        <v>143</v>
      </c>
      <c r="C52" s="15" t="s">
        <v>144</v>
      </c>
      <c r="D52" s="15" t="s">
        <v>28</v>
      </c>
      <c r="E52" s="16">
        <v>150000</v>
      </c>
      <c r="F52" s="15">
        <v>95.286000000000001</v>
      </c>
      <c r="G52" s="16">
        <v>150000</v>
      </c>
      <c r="H52" s="11">
        <f>'First Calculations'!P51</f>
        <v>27077</v>
      </c>
      <c r="I52" s="12"/>
      <c r="J52" s="13">
        <f t="shared" si="0"/>
        <v>0.18051333333333333</v>
      </c>
      <c r="L52" t="str">
        <f t="shared" si="1"/>
        <v>20.c.ps.170.641  - Vizcaya Museum and Gardens Trust, Inc.  $27077</v>
      </c>
    </row>
    <row r="53" spans="1:12" ht="15.75" x14ac:dyDescent="0.25">
      <c r="A53" s="15">
        <v>51</v>
      </c>
      <c r="B53" s="15" t="s">
        <v>145</v>
      </c>
      <c r="C53" s="15" t="s">
        <v>146</v>
      </c>
      <c r="D53" s="15" t="s">
        <v>87</v>
      </c>
      <c r="E53" s="16">
        <v>46100</v>
      </c>
      <c r="F53" s="15">
        <v>95.286000000000001</v>
      </c>
      <c r="G53" s="16">
        <v>46100</v>
      </c>
      <c r="H53" s="11">
        <f>'First Calculations'!P52</f>
        <v>8332</v>
      </c>
      <c r="I53" s="12"/>
      <c r="J53" s="13">
        <f t="shared" si="0"/>
        <v>0.18073752711496746</v>
      </c>
      <c r="L53" t="str">
        <f t="shared" si="1"/>
        <v>20.c.ps.102.689  - Florida Symphony Youth Orchestra, Inc.  $8332</v>
      </c>
    </row>
    <row r="54" spans="1:12" ht="15.75" x14ac:dyDescent="0.25">
      <c r="A54" s="15">
        <v>52</v>
      </c>
      <c r="B54" s="15" t="s">
        <v>147</v>
      </c>
      <c r="C54" s="15" t="s">
        <v>148</v>
      </c>
      <c r="D54" s="15" t="s">
        <v>36</v>
      </c>
      <c r="E54" s="16">
        <v>120000</v>
      </c>
      <c r="F54" s="15">
        <v>95.286000000000001</v>
      </c>
      <c r="G54" s="16">
        <v>120000</v>
      </c>
      <c r="H54" s="11">
        <f>'First Calculations'!P53</f>
        <v>21664</v>
      </c>
      <c r="I54" s="12"/>
      <c r="J54" s="13">
        <f t="shared" si="0"/>
        <v>0.18053333333333332</v>
      </c>
      <c r="L54" t="str">
        <f t="shared" si="1"/>
        <v>20.c.ps.114.176  - Hollywood Art and Culture Center, Inc.  $21664</v>
      </c>
    </row>
    <row r="55" spans="1:12" ht="15.75" x14ac:dyDescent="0.25">
      <c r="A55" s="15">
        <v>53</v>
      </c>
      <c r="B55" s="15" t="s">
        <v>149</v>
      </c>
      <c r="C55" s="15" t="s">
        <v>150</v>
      </c>
      <c r="D55" s="15" t="s">
        <v>87</v>
      </c>
      <c r="E55" s="16">
        <v>150000</v>
      </c>
      <c r="F55" s="15">
        <v>95.25</v>
      </c>
      <c r="G55" s="16">
        <v>150000</v>
      </c>
      <c r="H55" s="11">
        <f>'First Calculations'!P54</f>
        <v>27066</v>
      </c>
      <c r="I55" s="12"/>
      <c r="J55" s="13">
        <f t="shared" si="0"/>
        <v>0.18043999999999999</v>
      </c>
      <c r="L55" t="str">
        <f t="shared" si="1"/>
        <v>20.c.ps.109.634  - Enzian Theatre, Inc.  $27066</v>
      </c>
    </row>
    <row r="56" spans="1:12" ht="15.75" x14ac:dyDescent="0.25">
      <c r="A56" s="15">
        <v>54</v>
      </c>
      <c r="B56" s="15" t="s">
        <v>151</v>
      </c>
      <c r="C56" s="15" t="s">
        <v>152</v>
      </c>
      <c r="D56" s="15" t="s">
        <v>115</v>
      </c>
      <c r="E56" s="16">
        <v>100651</v>
      </c>
      <c r="F56" s="15">
        <v>95.25</v>
      </c>
      <c r="G56" s="16">
        <v>100651</v>
      </c>
      <c r="H56" s="11">
        <f>'First Calculations'!P55</f>
        <v>18167</v>
      </c>
      <c r="I56" s="12"/>
      <c r="J56" s="13">
        <f t="shared" si="0"/>
        <v>0.18049497769520423</v>
      </c>
      <c r="L56" t="str">
        <f t="shared" si="1"/>
        <v>20.c.ps.102.164  - Tallahassee Symphony Orchestra, Inc.  $18167</v>
      </c>
    </row>
    <row r="57" spans="1:12" ht="15.75" x14ac:dyDescent="0.25">
      <c r="A57" s="15">
        <v>55</v>
      </c>
      <c r="B57" s="15" t="s">
        <v>153</v>
      </c>
      <c r="C57" s="15" t="s">
        <v>154</v>
      </c>
      <c r="D57" s="15" t="s">
        <v>50</v>
      </c>
      <c r="E57" s="16">
        <v>150000</v>
      </c>
      <c r="F57" s="15">
        <v>95.143000000000001</v>
      </c>
      <c r="G57" s="16">
        <v>150000</v>
      </c>
      <c r="H57" s="11">
        <f>'First Calculations'!P56</f>
        <v>27036</v>
      </c>
      <c r="I57" s="12"/>
      <c r="J57" s="13">
        <f t="shared" si="0"/>
        <v>0.18024000000000001</v>
      </c>
      <c r="L57" t="str">
        <f t="shared" si="1"/>
        <v>20.c.ps.170.281  - The DeEtte Holden Cummer Museum Foundation, Inc.  $27036</v>
      </c>
    </row>
    <row r="58" spans="1:12" ht="15.75" x14ac:dyDescent="0.25">
      <c r="A58" s="15">
        <v>56</v>
      </c>
      <c r="B58" s="15" t="s">
        <v>155</v>
      </c>
      <c r="C58" s="15" t="s">
        <v>156</v>
      </c>
      <c r="D58" s="15" t="s">
        <v>64</v>
      </c>
      <c r="E58" s="16">
        <v>150000</v>
      </c>
      <c r="F58" s="15">
        <v>95.143000000000001</v>
      </c>
      <c r="G58" s="16">
        <v>150000</v>
      </c>
      <c r="H58" s="11">
        <f>'First Calculations'!P57</f>
        <v>27036</v>
      </c>
      <c r="I58" s="12"/>
      <c r="J58" s="13">
        <f t="shared" si="0"/>
        <v>0.18024000000000001</v>
      </c>
      <c r="L58" t="str">
        <f t="shared" si="1"/>
        <v>20.c.ps.114.096  - Artis—Naples, Inc.  $27036</v>
      </c>
    </row>
    <row r="59" spans="1:12" ht="15.75" x14ac:dyDescent="0.25">
      <c r="A59" s="15">
        <v>57</v>
      </c>
      <c r="B59" s="15" t="s">
        <v>157</v>
      </c>
      <c r="C59" s="15" t="s">
        <v>158</v>
      </c>
      <c r="D59" s="15" t="s">
        <v>36</v>
      </c>
      <c r="E59" s="16">
        <v>149727</v>
      </c>
      <c r="F59" s="15">
        <v>95</v>
      </c>
      <c r="G59" s="16">
        <v>149727</v>
      </c>
      <c r="H59" s="11">
        <f>'First Calculations'!P58</f>
        <v>26946</v>
      </c>
      <c r="I59" s="12"/>
      <c r="J59" s="13">
        <f t="shared" si="0"/>
        <v>0.17996754092448256</v>
      </c>
      <c r="L59" t="str">
        <f t="shared" si="1"/>
        <v>20.c.ps.114.453  - ArtServe, Inc.  $26946</v>
      </c>
    </row>
    <row r="60" spans="1:12" ht="15.75" x14ac:dyDescent="0.25">
      <c r="A60" s="15">
        <v>58</v>
      </c>
      <c r="B60" s="15" t="s">
        <v>159</v>
      </c>
      <c r="C60" s="15" t="s">
        <v>160</v>
      </c>
      <c r="D60" s="15" t="s">
        <v>33</v>
      </c>
      <c r="E60" s="16">
        <v>141228</v>
      </c>
      <c r="F60" s="15">
        <v>95</v>
      </c>
      <c r="G60" s="16">
        <v>141228</v>
      </c>
      <c r="H60" s="11">
        <f>'First Calculations'!P59</f>
        <v>25418</v>
      </c>
      <c r="I60" s="12"/>
      <c r="J60" s="13">
        <f t="shared" si="0"/>
        <v>0.1799784745234656</v>
      </c>
      <c r="L60" t="str">
        <f t="shared" si="1"/>
        <v>20.c.ps.141.133  - The Players, Inc.  $25418</v>
      </c>
    </row>
    <row r="61" spans="1:12" ht="25.5" x14ac:dyDescent="0.25">
      <c r="A61" s="15">
        <v>59</v>
      </c>
      <c r="B61" s="15" t="s">
        <v>161</v>
      </c>
      <c r="C61" s="15" t="s">
        <v>162</v>
      </c>
      <c r="D61" s="15" t="s">
        <v>57</v>
      </c>
      <c r="E61" s="16">
        <v>77912</v>
      </c>
      <c r="F61" s="15">
        <v>95</v>
      </c>
      <c r="G61" s="16">
        <v>77912</v>
      </c>
      <c r="H61" s="11">
        <f>'First Calculations'!P60</f>
        <v>14029</v>
      </c>
      <c r="I61" s="12"/>
      <c r="J61" s="13">
        <f t="shared" si="0"/>
        <v>0.18006212136769689</v>
      </c>
      <c r="L61" t="str">
        <f t="shared" si="1"/>
        <v>20.c.ps.170.243  - The University of Tampa, Incorporated  $14029</v>
      </c>
    </row>
    <row r="62" spans="1:12" ht="25.5" x14ac:dyDescent="0.25">
      <c r="A62" s="15">
        <v>60</v>
      </c>
      <c r="B62" s="15" t="s">
        <v>163</v>
      </c>
      <c r="C62" s="15" t="s">
        <v>164</v>
      </c>
      <c r="D62" s="15" t="s">
        <v>57</v>
      </c>
      <c r="E62" s="16">
        <v>28000</v>
      </c>
      <c r="F62" s="15">
        <v>95</v>
      </c>
      <c r="G62" s="16">
        <v>28000</v>
      </c>
      <c r="H62" s="11">
        <f>'First Calculations'!P61</f>
        <v>5051</v>
      </c>
      <c r="I62" s="12"/>
      <c r="J62" s="13">
        <f t="shared" si="0"/>
        <v>0.18039285714285713</v>
      </c>
      <c r="L62" t="str">
        <f t="shared" si="1"/>
        <v>20.c.ps.102.427  - FloriMezzo, Inc.  $5051</v>
      </c>
    </row>
    <row r="63" spans="1:12" ht="15.75" x14ac:dyDescent="0.25">
      <c r="A63" s="15">
        <v>61</v>
      </c>
      <c r="B63" s="15" t="s">
        <v>165</v>
      </c>
      <c r="C63" s="15" t="s">
        <v>166</v>
      </c>
      <c r="D63" s="15" t="s">
        <v>28</v>
      </c>
      <c r="E63" s="16">
        <v>150000</v>
      </c>
      <c r="F63" s="15">
        <v>95</v>
      </c>
      <c r="G63" s="16">
        <v>150000</v>
      </c>
      <c r="H63" s="11">
        <f>'First Calculations'!P62</f>
        <v>26995</v>
      </c>
      <c r="I63" s="12"/>
      <c r="J63" s="13">
        <f t="shared" si="0"/>
        <v>0.17996666666666666</v>
      </c>
      <c r="L63" t="str">
        <f t="shared" si="1"/>
        <v>20.c.ps.102.602  - Seraphic Fire, Inc.  $26995</v>
      </c>
    </row>
    <row r="64" spans="1:12" ht="15.75" x14ac:dyDescent="0.25">
      <c r="A64" s="15">
        <v>62</v>
      </c>
      <c r="B64" s="15" t="s">
        <v>167</v>
      </c>
      <c r="C64" s="15" t="s">
        <v>168</v>
      </c>
      <c r="D64" s="15" t="s">
        <v>169</v>
      </c>
      <c r="E64" s="16">
        <v>62107</v>
      </c>
      <c r="F64" s="15">
        <v>95</v>
      </c>
      <c r="G64" s="16">
        <v>62107</v>
      </c>
      <c r="H64" s="11">
        <f>'First Calculations'!P63</f>
        <v>11186</v>
      </c>
      <c r="I64" s="12"/>
      <c r="J64" s="13">
        <f t="shared" si="0"/>
        <v>0.18010852238878064</v>
      </c>
      <c r="L64" t="str">
        <f t="shared" si="1"/>
        <v>20.c.ps.105.029  - Gadsden Arts, Inc.  $11186</v>
      </c>
    </row>
    <row r="65" spans="1:12" ht="15.75" x14ac:dyDescent="0.25">
      <c r="A65" s="15">
        <v>63</v>
      </c>
      <c r="B65" s="15" t="s">
        <v>170</v>
      </c>
      <c r="C65" s="15" t="s">
        <v>171</v>
      </c>
      <c r="D65" s="15" t="s">
        <v>172</v>
      </c>
      <c r="E65" s="16">
        <v>150000</v>
      </c>
      <c r="F65" s="15">
        <v>95</v>
      </c>
      <c r="G65" s="16">
        <v>150000</v>
      </c>
      <c r="H65" s="11">
        <f>'First Calculations'!P64</f>
        <v>26995</v>
      </c>
      <c r="I65" s="12"/>
      <c r="J65" s="13">
        <f t="shared" si="0"/>
        <v>0.17996666666666666</v>
      </c>
      <c r="L65" t="str">
        <f t="shared" si="1"/>
        <v>20.c.ps.142.647  - Riverside Theatre, Inc.  $26995</v>
      </c>
    </row>
    <row r="66" spans="1:12" ht="15.75" x14ac:dyDescent="0.25">
      <c r="A66" s="15">
        <v>64</v>
      </c>
      <c r="B66" s="15" t="s">
        <v>173</v>
      </c>
      <c r="C66" s="15" t="s">
        <v>174</v>
      </c>
      <c r="D66" s="15" t="s">
        <v>39</v>
      </c>
      <c r="E66" s="16">
        <v>150000</v>
      </c>
      <c r="F66" s="15">
        <v>95</v>
      </c>
      <c r="G66" s="16">
        <v>150000</v>
      </c>
      <c r="H66" s="11">
        <f>'First Calculations'!P65</f>
        <v>26995</v>
      </c>
      <c r="I66" s="12"/>
      <c r="J66" s="13">
        <f t="shared" si="0"/>
        <v>0.17996666666666666</v>
      </c>
      <c r="L66" t="str">
        <f t="shared" si="1"/>
        <v>20.c.ps.102.242  - Palm Beach Opera, Inc.  $26995</v>
      </c>
    </row>
    <row r="67" spans="1:12" ht="15.75" x14ac:dyDescent="0.25">
      <c r="A67" s="15">
        <v>65</v>
      </c>
      <c r="B67" s="15" t="s">
        <v>175</v>
      </c>
      <c r="C67" s="15" t="s">
        <v>176</v>
      </c>
      <c r="D67" s="15" t="s">
        <v>87</v>
      </c>
      <c r="E67" s="16">
        <v>100950</v>
      </c>
      <c r="F67" s="15">
        <v>94.856999999999999</v>
      </c>
      <c r="G67" s="16">
        <v>100950</v>
      </c>
      <c r="H67" s="11">
        <f>'First Calculations'!P66</f>
        <v>18145</v>
      </c>
      <c r="I67" s="12"/>
      <c r="J67" s="13">
        <f t="shared" ref="J67:J130" si="2">H67/E67</f>
        <v>0.17974244675581971</v>
      </c>
      <c r="L67" t="str">
        <f t="shared" si="1"/>
        <v>20.c.ps.170.490  - Holocaust Memorial Resource and Education Center of Florida, Inc.  $18145</v>
      </c>
    </row>
    <row r="68" spans="1:12" ht="15.75" x14ac:dyDescent="0.25">
      <c r="A68" s="15">
        <v>66</v>
      </c>
      <c r="B68" s="15" t="s">
        <v>177</v>
      </c>
      <c r="C68" s="15" t="s">
        <v>178</v>
      </c>
      <c r="D68" s="15" t="s">
        <v>90</v>
      </c>
      <c r="E68" s="16">
        <v>110000</v>
      </c>
      <c r="F68" s="15">
        <v>94.856999999999999</v>
      </c>
      <c r="G68" s="16">
        <v>110000</v>
      </c>
      <c r="H68" s="11">
        <f>'First Calculations'!P67</f>
        <v>19771</v>
      </c>
      <c r="I68" s="12"/>
      <c r="J68" s="13">
        <f t="shared" si="2"/>
        <v>0.17973636363636364</v>
      </c>
      <c r="L68" t="str">
        <f t="shared" ref="L68:L131" si="3">B68&amp;" - "&amp;C68&amp;" $"&amp;H68</f>
        <v>20.c.ps.141.249  - Titusville Playhouse, Inc.  $19771</v>
      </c>
    </row>
    <row r="69" spans="1:12" ht="15.75" x14ac:dyDescent="0.25">
      <c r="A69" s="15">
        <v>67</v>
      </c>
      <c r="B69" s="15" t="s">
        <v>179</v>
      </c>
      <c r="C69" s="15" t="s">
        <v>180</v>
      </c>
      <c r="D69" s="15" t="s">
        <v>87</v>
      </c>
      <c r="E69" s="16">
        <v>129724</v>
      </c>
      <c r="F69" s="15">
        <v>94.856999999999999</v>
      </c>
      <c r="G69" s="16">
        <v>129724</v>
      </c>
      <c r="H69" s="11">
        <f>'First Calculations'!P68</f>
        <v>23313</v>
      </c>
      <c r="I69" s="12"/>
      <c r="J69" s="13">
        <f t="shared" si="2"/>
        <v>0.17971231229379298</v>
      </c>
      <c r="L69" t="str">
        <f t="shared" si="3"/>
        <v>20.c.ps.114.441  - Central Florida Community Arts, Inc.  $23313</v>
      </c>
    </row>
    <row r="70" spans="1:12" ht="15.75" x14ac:dyDescent="0.25">
      <c r="A70" s="15">
        <v>68</v>
      </c>
      <c r="B70" s="15" t="s">
        <v>181</v>
      </c>
      <c r="C70" s="15" t="s">
        <v>182</v>
      </c>
      <c r="D70" s="15" t="s">
        <v>64</v>
      </c>
      <c r="E70" s="16">
        <v>150000</v>
      </c>
      <c r="F70" s="15">
        <v>94.856999999999999</v>
      </c>
      <c r="G70" s="16">
        <v>150000</v>
      </c>
      <c r="H70" s="11">
        <f>'First Calculations'!P69</f>
        <v>26955</v>
      </c>
      <c r="I70" s="12"/>
      <c r="J70" s="13">
        <f t="shared" si="2"/>
        <v>0.1797</v>
      </c>
      <c r="L70" t="str">
        <f t="shared" si="3"/>
        <v>20.c.ps.170.458  - Conservancy of Southwest Florida, Inc.  $26955</v>
      </c>
    </row>
    <row r="71" spans="1:12" ht="15.75" x14ac:dyDescent="0.25">
      <c r="A71" s="15">
        <v>69</v>
      </c>
      <c r="B71" s="15" t="s">
        <v>183</v>
      </c>
      <c r="C71" s="15" t="s">
        <v>184</v>
      </c>
      <c r="D71" s="15" t="s">
        <v>28</v>
      </c>
      <c r="E71" s="16">
        <v>150000</v>
      </c>
      <c r="F71" s="15">
        <v>94.832999999999998</v>
      </c>
      <c r="G71" s="16">
        <v>150000</v>
      </c>
      <c r="H71" s="11">
        <f>'First Calculations'!P70</f>
        <v>26948</v>
      </c>
      <c r="I71" s="12"/>
      <c r="J71" s="13">
        <f t="shared" si="2"/>
        <v>0.17965333333333333</v>
      </c>
      <c r="L71" t="str">
        <f t="shared" si="3"/>
        <v>20.c.ps.170.398  - Zoo Miami Foundation  $26948</v>
      </c>
    </row>
    <row r="72" spans="1:12" ht="15.75" x14ac:dyDescent="0.25">
      <c r="A72" s="15">
        <v>70</v>
      </c>
      <c r="B72" s="15" t="s">
        <v>185</v>
      </c>
      <c r="C72" s="15" t="s">
        <v>186</v>
      </c>
      <c r="D72" s="15" t="s">
        <v>67</v>
      </c>
      <c r="E72" s="16">
        <v>150000</v>
      </c>
      <c r="F72" s="15">
        <v>94.832999999999998</v>
      </c>
      <c r="G72" s="16">
        <v>150000</v>
      </c>
      <c r="H72" s="11">
        <f>'First Calculations'!P71</f>
        <v>26948</v>
      </c>
      <c r="I72" s="12"/>
      <c r="J72" s="13">
        <f t="shared" si="2"/>
        <v>0.17965333333333333</v>
      </c>
      <c r="L72" t="str">
        <f t="shared" si="3"/>
        <v>20.c.ps.170.116  - University of Florida   $26948</v>
      </c>
    </row>
    <row r="73" spans="1:12" ht="15.75" x14ac:dyDescent="0.25">
      <c r="A73" s="15">
        <v>71</v>
      </c>
      <c r="B73" s="15" t="s">
        <v>187</v>
      </c>
      <c r="C73" s="15" t="s">
        <v>188</v>
      </c>
      <c r="D73" s="15" t="s">
        <v>39</v>
      </c>
      <c r="E73" s="16">
        <v>150000</v>
      </c>
      <c r="F73" s="15">
        <v>94.832999999999998</v>
      </c>
      <c r="G73" s="16">
        <v>150000</v>
      </c>
      <c r="H73" s="11">
        <f>'First Calculations'!P72</f>
        <v>26948</v>
      </c>
      <c r="I73" s="12"/>
      <c r="J73" s="13">
        <f t="shared" si="2"/>
        <v>0.17965333333333333</v>
      </c>
      <c r="L73" t="str">
        <f t="shared" si="3"/>
        <v>20.c.ps.142.527  - Palm Beach Dramaworks, Inc.  $26948</v>
      </c>
    </row>
    <row r="74" spans="1:12" ht="15.75" x14ac:dyDescent="0.25">
      <c r="A74" s="15">
        <v>72</v>
      </c>
      <c r="B74" s="15" t="s">
        <v>189</v>
      </c>
      <c r="C74" s="15" t="s">
        <v>190</v>
      </c>
      <c r="D74" s="15" t="s">
        <v>136</v>
      </c>
      <c r="E74" s="16">
        <v>25000</v>
      </c>
      <c r="F74" s="15">
        <v>94.832999999999998</v>
      </c>
      <c r="G74" s="16">
        <v>25000</v>
      </c>
      <c r="H74" s="11">
        <f>'First Calculations'!P73</f>
        <v>4504</v>
      </c>
      <c r="I74" s="12"/>
      <c r="J74" s="13">
        <f t="shared" si="2"/>
        <v>0.18015999999999999</v>
      </c>
      <c r="L74" t="str">
        <f t="shared" si="3"/>
        <v>20.c.ps.170.081  - City of Lake Wales  $4504</v>
      </c>
    </row>
    <row r="75" spans="1:12" ht="15.75" x14ac:dyDescent="0.25">
      <c r="A75" s="15">
        <v>73</v>
      </c>
      <c r="B75" s="15" t="s">
        <v>191</v>
      </c>
      <c r="C75" s="15" t="s">
        <v>192</v>
      </c>
      <c r="D75" s="15" t="s">
        <v>50</v>
      </c>
      <c r="E75" s="16">
        <v>150000</v>
      </c>
      <c r="F75" s="15">
        <v>94.832999999999998</v>
      </c>
      <c r="G75" s="16">
        <v>150000</v>
      </c>
      <c r="H75" s="11">
        <f>'First Calculations'!P74</f>
        <v>26948</v>
      </c>
      <c r="I75" s="12"/>
      <c r="J75" s="13">
        <f t="shared" si="2"/>
        <v>0.17965333333333333</v>
      </c>
      <c r="L75" t="str">
        <f t="shared" si="3"/>
        <v>20.c.ps.170.092  - Museum of Science and History of Jacksonville, Inc.  $26948</v>
      </c>
    </row>
    <row r="76" spans="1:12" ht="15.75" x14ac:dyDescent="0.25">
      <c r="A76" s="15">
        <v>74</v>
      </c>
      <c r="B76" s="15" t="s">
        <v>193</v>
      </c>
      <c r="C76" s="15" t="s">
        <v>194</v>
      </c>
      <c r="D76" s="15" t="s">
        <v>28</v>
      </c>
      <c r="E76" s="16">
        <v>101805</v>
      </c>
      <c r="F76" s="15">
        <v>94.832999999999998</v>
      </c>
      <c r="G76" s="16">
        <v>101805</v>
      </c>
      <c r="H76" s="11">
        <f>'First Calculations'!P75</f>
        <v>18294</v>
      </c>
      <c r="I76" s="12"/>
      <c r="J76" s="13">
        <f t="shared" si="2"/>
        <v>0.17969647856195667</v>
      </c>
      <c r="L76" t="str">
        <f t="shared" si="3"/>
        <v>20.c.ps.142.437  - Fantasy Theatre Factory, Inc.  $18294</v>
      </c>
    </row>
    <row r="77" spans="1:12" ht="15.75" x14ac:dyDescent="0.25">
      <c r="A77" s="15">
        <v>75</v>
      </c>
      <c r="B77" s="15" t="s">
        <v>195</v>
      </c>
      <c r="C77" s="15" t="s">
        <v>196</v>
      </c>
      <c r="D77" s="15" t="s">
        <v>36</v>
      </c>
      <c r="E77" s="16">
        <v>50000</v>
      </c>
      <c r="F77" s="15">
        <v>94.832999999999998</v>
      </c>
      <c r="G77" s="16">
        <v>50000</v>
      </c>
      <c r="H77" s="11">
        <f>'First Calculations'!P76</f>
        <v>8993</v>
      </c>
      <c r="I77" s="12"/>
      <c r="J77" s="13">
        <f t="shared" si="2"/>
        <v>0.17985999999999999</v>
      </c>
      <c r="L77" t="str">
        <f t="shared" si="3"/>
        <v>20.c.ps.180.195  - Gold Coast Jazz Society, Inc.  $8993</v>
      </c>
    </row>
    <row r="78" spans="1:12" ht="15.75" x14ac:dyDescent="0.25">
      <c r="A78" s="15">
        <v>76</v>
      </c>
      <c r="B78" s="15" t="s">
        <v>197</v>
      </c>
      <c r="C78" s="15" t="s">
        <v>198</v>
      </c>
      <c r="D78" s="15" t="s">
        <v>87</v>
      </c>
      <c r="E78" s="16">
        <v>65000</v>
      </c>
      <c r="F78" s="15">
        <v>94.713999999999999</v>
      </c>
      <c r="G78" s="16">
        <v>65000</v>
      </c>
      <c r="H78" s="11">
        <f>'First Calculations'!P77</f>
        <v>11671</v>
      </c>
      <c r="I78" s="12"/>
      <c r="J78" s="13">
        <f t="shared" si="2"/>
        <v>0.17955384615384615</v>
      </c>
      <c r="L78" t="str">
        <f t="shared" si="3"/>
        <v>20.c.ps.170.158  - Friends of the Mennello Museum of American Art, Inc.  $11671</v>
      </c>
    </row>
    <row r="79" spans="1:12" ht="15.75" x14ac:dyDescent="0.25">
      <c r="A79" s="15">
        <v>77</v>
      </c>
      <c r="B79" s="15" t="s">
        <v>199</v>
      </c>
      <c r="C79" s="15" t="s">
        <v>186</v>
      </c>
      <c r="D79" s="15" t="s">
        <v>67</v>
      </c>
      <c r="E79" s="16">
        <v>132500</v>
      </c>
      <c r="F79" s="15">
        <v>94.713999999999999</v>
      </c>
      <c r="G79" s="16">
        <v>132500</v>
      </c>
      <c r="H79" s="11">
        <f>'First Calculations'!P78</f>
        <v>23776</v>
      </c>
      <c r="I79" s="12"/>
      <c r="J79" s="13">
        <f t="shared" si="2"/>
        <v>0.17944150943396225</v>
      </c>
      <c r="L79" t="str">
        <f t="shared" si="3"/>
        <v>20.c.ps.114.207  - University of Florida   $23776</v>
      </c>
    </row>
    <row r="80" spans="1:12" ht="15.75" x14ac:dyDescent="0.25">
      <c r="A80" s="15">
        <v>78</v>
      </c>
      <c r="B80" s="15" t="s">
        <v>200</v>
      </c>
      <c r="C80" s="15" t="s">
        <v>201</v>
      </c>
      <c r="D80" s="15" t="s">
        <v>39</v>
      </c>
      <c r="E80" s="16">
        <v>150000</v>
      </c>
      <c r="F80" s="15">
        <v>94.713999999999999</v>
      </c>
      <c r="G80" s="16">
        <v>150000</v>
      </c>
      <c r="H80" s="11">
        <f>'First Calculations'!P79</f>
        <v>26914</v>
      </c>
      <c r="I80" s="12"/>
      <c r="J80" s="13">
        <f t="shared" si="2"/>
        <v>0.17942666666666668</v>
      </c>
      <c r="L80" t="str">
        <f t="shared" si="3"/>
        <v>20.c.ps.170.345  - The Henry Morrison Flagler Museum  $26914</v>
      </c>
    </row>
    <row r="81" spans="1:12" ht="15.75" x14ac:dyDescent="0.25">
      <c r="A81" s="15">
        <v>79</v>
      </c>
      <c r="B81" s="15" t="s">
        <v>202</v>
      </c>
      <c r="C81" s="15" t="s">
        <v>203</v>
      </c>
      <c r="D81" s="15" t="s">
        <v>36</v>
      </c>
      <c r="E81" s="16">
        <v>150000</v>
      </c>
      <c r="F81" s="15">
        <v>94.713999999999999</v>
      </c>
      <c r="G81" s="16">
        <v>150000</v>
      </c>
      <c r="H81" s="11">
        <f>'First Calculations'!P80</f>
        <v>26914</v>
      </c>
      <c r="I81" s="12"/>
      <c r="J81" s="13">
        <f t="shared" si="2"/>
        <v>0.17942666666666668</v>
      </c>
      <c r="L81" t="str">
        <f t="shared" si="3"/>
        <v>20.c.ps.114.410  - City of Pembroke Pines  $26914</v>
      </c>
    </row>
    <row r="82" spans="1:12" ht="15.75" x14ac:dyDescent="0.25">
      <c r="A82" s="15">
        <v>80</v>
      </c>
      <c r="B82" s="15" t="s">
        <v>204</v>
      </c>
      <c r="C82" s="15" t="s">
        <v>205</v>
      </c>
      <c r="D82" s="15" t="s">
        <v>87</v>
      </c>
      <c r="E82" s="16">
        <v>150000</v>
      </c>
      <c r="F82" s="15">
        <v>94.667000000000002</v>
      </c>
      <c r="G82" s="16">
        <v>150000</v>
      </c>
      <c r="H82" s="11">
        <f>'First Calculations'!P81</f>
        <v>26901</v>
      </c>
      <c r="I82" s="12"/>
      <c r="J82" s="13">
        <f t="shared" si="2"/>
        <v>0.17934</v>
      </c>
      <c r="L82" t="str">
        <f t="shared" si="3"/>
        <v>20.c.ps.142.554  - Orlando Repertory Theatre, Inc.  $26901</v>
      </c>
    </row>
    <row r="83" spans="1:12" ht="15.75" x14ac:dyDescent="0.25">
      <c r="A83" s="15">
        <v>81</v>
      </c>
      <c r="B83" s="15" t="s">
        <v>206</v>
      </c>
      <c r="C83" s="15" t="s">
        <v>207</v>
      </c>
      <c r="D83" s="15" t="s">
        <v>124</v>
      </c>
      <c r="E83" s="16">
        <v>126450</v>
      </c>
      <c r="F83" s="15">
        <v>94.625</v>
      </c>
      <c r="G83" s="16">
        <v>126450</v>
      </c>
      <c r="H83" s="11">
        <f>'First Calculations'!P82</f>
        <v>22670</v>
      </c>
      <c r="I83" s="12"/>
      <c r="J83" s="13">
        <f t="shared" si="2"/>
        <v>0.17928034796362199</v>
      </c>
      <c r="L83" t="str">
        <f t="shared" si="3"/>
        <v>20.c.ps.102.659  - Gulf Coast Symphony Orchestra, Inc.  $22670</v>
      </c>
    </row>
    <row r="84" spans="1:12" ht="15.75" x14ac:dyDescent="0.25">
      <c r="A84" s="15">
        <v>82</v>
      </c>
      <c r="B84" s="15" t="s">
        <v>208</v>
      </c>
      <c r="C84" s="15" t="s">
        <v>209</v>
      </c>
      <c r="D84" s="15" t="s">
        <v>73</v>
      </c>
      <c r="E84" s="16">
        <v>42011</v>
      </c>
      <c r="F84" s="15">
        <v>94.6</v>
      </c>
      <c r="G84" s="16">
        <v>42011</v>
      </c>
      <c r="H84" s="11">
        <f>'First Calculations'!P83</f>
        <v>7540</v>
      </c>
      <c r="I84" s="12"/>
      <c r="J84" s="13">
        <f t="shared" si="2"/>
        <v>0.17947680369427055</v>
      </c>
      <c r="L84" t="str">
        <f t="shared" si="3"/>
        <v>20.c.ps.105.344  - Images, A Festival of the Arts, Inc.  $7540</v>
      </c>
    </row>
    <row r="85" spans="1:12" ht="15.75" x14ac:dyDescent="0.25">
      <c r="A85" s="15">
        <v>83</v>
      </c>
      <c r="B85" s="15" t="s">
        <v>210</v>
      </c>
      <c r="C85" s="15" t="s">
        <v>211</v>
      </c>
      <c r="D85" s="15" t="s">
        <v>28</v>
      </c>
      <c r="E85" s="16">
        <v>150000</v>
      </c>
      <c r="F85" s="15">
        <v>94.570999999999998</v>
      </c>
      <c r="G85" s="16">
        <v>150000</v>
      </c>
      <c r="H85" s="11">
        <f>'First Calculations'!P84</f>
        <v>26873</v>
      </c>
      <c r="I85" s="12"/>
      <c r="J85" s="13">
        <f t="shared" si="2"/>
        <v>0.17915333333333333</v>
      </c>
      <c r="L85" t="str">
        <f t="shared" si="3"/>
        <v>20.c.ps.114.254  - Village of Pinecrest  $26873</v>
      </c>
    </row>
    <row r="86" spans="1:12" ht="15.75" x14ac:dyDescent="0.25">
      <c r="A86" s="15">
        <v>84</v>
      </c>
      <c r="B86" s="15" t="s">
        <v>212</v>
      </c>
      <c r="C86" s="15" t="s">
        <v>213</v>
      </c>
      <c r="D86" s="15" t="s">
        <v>115</v>
      </c>
      <c r="E86" s="16">
        <v>90000</v>
      </c>
      <c r="F86" s="15">
        <v>94.570999999999998</v>
      </c>
      <c r="G86" s="16">
        <v>90000</v>
      </c>
      <c r="H86" s="11">
        <f>'First Calculations'!P85</f>
        <v>16130</v>
      </c>
      <c r="I86" s="12"/>
      <c r="J86" s="13">
        <f t="shared" si="2"/>
        <v>0.17922222222222223</v>
      </c>
      <c r="L86" t="str">
        <f t="shared" si="3"/>
        <v>20.c.ps.101.089  - The Tallahassee Ballet, Inc.  $16130</v>
      </c>
    </row>
    <row r="87" spans="1:12" ht="15.75" x14ac:dyDescent="0.25">
      <c r="A87" s="15">
        <v>85</v>
      </c>
      <c r="B87" s="15" t="s">
        <v>214</v>
      </c>
      <c r="C87" s="15" t="s">
        <v>215</v>
      </c>
      <c r="D87" s="15" t="s">
        <v>115</v>
      </c>
      <c r="E87" s="16">
        <v>150000</v>
      </c>
      <c r="F87" s="15">
        <v>94.570999999999998</v>
      </c>
      <c r="G87" s="16">
        <v>150000</v>
      </c>
      <c r="H87" s="11">
        <f>'First Calculations'!P86</f>
        <v>26873</v>
      </c>
      <c r="I87" s="12"/>
      <c r="J87" s="13">
        <f t="shared" si="2"/>
        <v>0.17915333333333333</v>
      </c>
      <c r="L87" t="str">
        <f t="shared" si="3"/>
        <v>20.c.ps.170.664  - Tallahassee Museum of History and Natural Science, Inc.  $26873</v>
      </c>
    </row>
    <row r="88" spans="1:12" ht="15.75" x14ac:dyDescent="0.25">
      <c r="A88" s="15">
        <v>86</v>
      </c>
      <c r="B88" s="15" t="s">
        <v>216</v>
      </c>
      <c r="C88" s="15" t="s">
        <v>217</v>
      </c>
      <c r="D88" s="15" t="s">
        <v>28</v>
      </c>
      <c r="E88" s="16">
        <v>96000</v>
      </c>
      <c r="F88" s="15">
        <v>94.5</v>
      </c>
      <c r="G88" s="16">
        <v>96000</v>
      </c>
      <c r="H88" s="11">
        <f>'First Calculations'!P87</f>
        <v>17192</v>
      </c>
      <c r="I88" s="12"/>
      <c r="J88" s="13">
        <f t="shared" si="2"/>
        <v>0.17908333333333334</v>
      </c>
      <c r="L88" t="str">
        <f t="shared" si="3"/>
        <v>20.c.ps.110.299  - Miami Dade College  $17192</v>
      </c>
    </row>
    <row r="89" spans="1:12" ht="15.75" x14ac:dyDescent="0.25">
      <c r="A89" s="15">
        <v>87</v>
      </c>
      <c r="B89" s="15" t="s">
        <v>218</v>
      </c>
      <c r="C89" s="15" t="s">
        <v>219</v>
      </c>
      <c r="D89" s="15" t="s">
        <v>87</v>
      </c>
      <c r="E89" s="16">
        <v>150000</v>
      </c>
      <c r="F89" s="15">
        <v>94.5</v>
      </c>
      <c r="G89" s="16">
        <v>150000</v>
      </c>
      <c r="H89" s="11">
        <f>'First Calculations'!P88</f>
        <v>26853</v>
      </c>
      <c r="I89" s="12"/>
      <c r="J89" s="13">
        <f t="shared" si="2"/>
        <v>0.17902000000000001</v>
      </c>
      <c r="L89" t="str">
        <f t="shared" si="3"/>
        <v>20.c.ps.101.131  - Orlando Ballet, Inc.  $26853</v>
      </c>
    </row>
    <row r="90" spans="1:12" ht="15.75" x14ac:dyDescent="0.25">
      <c r="A90" s="15">
        <v>88</v>
      </c>
      <c r="B90" s="15" t="s">
        <v>220</v>
      </c>
      <c r="C90" s="15" t="s">
        <v>221</v>
      </c>
      <c r="D90" s="15" t="s">
        <v>28</v>
      </c>
      <c r="E90" s="16">
        <v>46330</v>
      </c>
      <c r="F90" s="15">
        <v>94.5</v>
      </c>
      <c r="G90" s="16">
        <v>46330</v>
      </c>
      <c r="H90" s="11">
        <f>'First Calculations'!P89</f>
        <v>8304</v>
      </c>
      <c r="I90" s="12"/>
      <c r="J90" s="13">
        <f t="shared" si="2"/>
        <v>0.17923591625296784</v>
      </c>
      <c r="L90" t="str">
        <f t="shared" si="3"/>
        <v>20.c.ps.200.199  - Musicall, Inc.  $8304</v>
      </c>
    </row>
    <row r="91" spans="1:12" ht="15.75" x14ac:dyDescent="0.25">
      <c r="A91" s="15">
        <v>89</v>
      </c>
      <c r="B91" s="15" t="s">
        <v>222</v>
      </c>
      <c r="C91" s="15" t="s">
        <v>223</v>
      </c>
      <c r="D91" s="15" t="s">
        <v>80</v>
      </c>
      <c r="E91" s="16">
        <v>136000</v>
      </c>
      <c r="F91" s="15">
        <v>94.5</v>
      </c>
      <c r="G91" s="16">
        <v>136000</v>
      </c>
      <c r="H91" s="11">
        <f>'First Calculations'!P90</f>
        <v>24348</v>
      </c>
      <c r="I91" s="12"/>
      <c r="J91" s="13">
        <f t="shared" si="2"/>
        <v>0.17902941176470588</v>
      </c>
      <c r="L91" t="str">
        <f t="shared" si="3"/>
        <v>20.c.ps.142.517  - FreeFall Theatre, Inc.  $24348</v>
      </c>
    </row>
    <row r="92" spans="1:12" ht="15.75" x14ac:dyDescent="0.25">
      <c r="A92" s="15">
        <v>90</v>
      </c>
      <c r="B92" s="15" t="s">
        <v>224</v>
      </c>
      <c r="C92" s="15" t="s">
        <v>225</v>
      </c>
      <c r="D92" s="15" t="s">
        <v>28</v>
      </c>
      <c r="E92" s="16">
        <v>115102</v>
      </c>
      <c r="F92" s="15">
        <v>94.5</v>
      </c>
      <c r="G92" s="16">
        <v>115102</v>
      </c>
      <c r="H92" s="11">
        <f>'First Calculations'!P91</f>
        <v>20609</v>
      </c>
      <c r="I92" s="12"/>
      <c r="J92" s="13">
        <f t="shared" si="2"/>
        <v>0.17904988618790291</v>
      </c>
      <c r="L92" t="str">
        <f t="shared" si="3"/>
        <v>20.c.ps.200.446  - Miami Theater Center, Inc.  $20609</v>
      </c>
    </row>
    <row r="93" spans="1:12" ht="15.75" x14ac:dyDescent="0.25">
      <c r="A93" s="15">
        <v>91</v>
      </c>
      <c r="B93" s="15" t="s">
        <v>226</v>
      </c>
      <c r="C93" s="15" t="s">
        <v>227</v>
      </c>
      <c r="D93" s="15" t="s">
        <v>28</v>
      </c>
      <c r="E93" s="16">
        <v>150000</v>
      </c>
      <c r="F93" s="15">
        <v>94.429000000000002</v>
      </c>
      <c r="G93" s="16">
        <v>150000</v>
      </c>
      <c r="H93" s="11">
        <f>'First Calculations'!P92</f>
        <v>26833</v>
      </c>
      <c r="I93" s="12"/>
      <c r="J93" s="13">
        <f t="shared" si="2"/>
        <v>0.17888666666666667</v>
      </c>
      <c r="L93" t="str">
        <f t="shared" si="3"/>
        <v>20.c.ps.114.733  - National Foundation for Advancement in the Arts, Inc.  $26833</v>
      </c>
    </row>
    <row r="94" spans="1:12" ht="15.75" x14ac:dyDescent="0.25">
      <c r="A94" s="15">
        <v>92</v>
      </c>
      <c r="B94" s="15" t="s">
        <v>228</v>
      </c>
      <c r="C94" s="15" t="s">
        <v>229</v>
      </c>
      <c r="D94" s="15" t="s">
        <v>33</v>
      </c>
      <c r="E94" s="16">
        <v>90000</v>
      </c>
      <c r="F94" s="15">
        <v>94.429000000000002</v>
      </c>
      <c r="G94" s="16">
        <v>90000</v>
      </c>
      <c r="H94" s="11">
        <f>'First Calculations'!P93</f>
        <v>16106</v>
      </c>
      <c r="I94" s="12"/>
      <c r="J94" s="13">
        <f t="shared" si="2"/>
        <v>0.17895555555555556</v>
      </c>
      <c r="L94" t="str">
        <f t="shared" si="3"/>
        <v>20.c.ps.102.475  - The Perlman Music Program/Suncoast, Inc.  $16106</v>
      </c>
    </row>
    <row r="95" spans="1:12" ht="15.75" x14ac:dyDescent="0.25">
      <c r="A95" s="15">
        <v>93</v>
      </c>
      <c r="B95" s="15" t="s">
        <v>230</v>
      </c>
      <c r="C95" s="15" t="s">
        <v>231</v>
      </c>
      <c r="D95" s="15" t="s">
        <v>87</v>
      </c>
      <c r="E95" s="16">
        <v>150000</v>
      </c>
      <c r="F95" s="15">
        <v>94.429000000000002</v>
      </c>
      <c r="G95" s="16">
        <v>150000</v>
      </c>
      <c r="H95" s="11">
        <f>'First Calculations'!P94</f>
        <v>26833</v>
      </c>
      <c r="I95" s="12"/>
      <c r="J95" s="13">
        <f t="shared" si="2"/>
        <v>0.17888666666666667</v>
      </c>
      <c r="L95" t="str">
        <f t="shared" si="3"/>
        <v>20.c.ps.180.584  - Dr. Phillips Center for the Performing Arts, Inc.  $26833</v>
      </c>
    </row>
    <row r="96" spans="1:12" ht="15.75" x14ac:dyDescent="0.25">
      <c r="A96" s="15">
        <v>94</v>
      </c>
      <c r="B96" s="15" t="s">
        <v>232</v>
      </c>
      <c r="C96" s="15" t="s">
        <v>233</v>
      </c>
      <c r="D96" s="15" t="s">
        <v>28</v>
      </c>
      <c r="E96" s="16">
        <v>16000</v>
      </c>
      <c r="F96" s="15">
        <v>94.4</v>
      </c>
      <c r="G96" s="16">
        <v>16000</v>
      </c>
      <c r="H96" s="11">
        <f>'First Calculations'!P95</f>
        <v>2875</v>
      </c>
      <c r="I96" s="12"/>
      <c r="J96" s="13">
        <f t="shared" si="2"/>
        <v>0.1796875</v>
      </c>
      <c r="L96" t="str">
        <f t="shared" si="3"/>
        <v>20.c.ps.101.464  - Dimensions Dance Theater of Miami Inc.  $2875</v>
      </c>
    </row>
    <row r="97" spans="1:12" ht="15.75" x14ac:dyDescent="0.25">
      <c r="A97" s="15">
        <v>95</v>
      </c>
      <c r="B97" s="15" t="s">
        <v>234</v>
      </c>
      <c r="C97" s="15" t="s">
        <v>235</v>
      </c>
      <c r="D97" s="15" t="s">
        <v>133</v>
      </c>
      <c r="E97" s="16">
        <v>90000</v>
      </c>
      <c r="F97" s="15">
        <v>94.4</v>
      </c>
      <c r="G97" s="16">
        <v>90000</v>
      </c>
      <c r="H97" s="11">
        <f>'First Calculations'!P96</f>
        <v>16101</v>
      </c>
      <c r="I97" s="12"/>
      <c r="J97" s="13">
        <f t="shared" si="2"/>
        <v>0.1789</v>
      </c>
      <c r="L97" t="str">
        <f t="shared" si="3"/>
        <v>20.c.ps.105.487  - ArtCenter Manatee  $16101</v>
      </c>
    </row>
    <row r="98" spans="1:12" ht="15.75" x14ac:dyDescent="0.25">
      <c r="A98" s="15">
        <v>96</v>
      </c>
      <c r="B98" s="15" t="s">
        <v>236</v>
      </c>
      <c r="C98" s="15" t="s">
        <v>237</v>
      </c>
      <c r="D98" s="15" t="s">
        <v>39</v>
      </c>
      <c r="E98" s="16">
        <v>150000</v>
      </c>
      <c r="F98" s="15">
        <v>94.332999999999998</v>
      </c>
      <c r="G98" s="16">
        <v>150000</v>
      </c>
      <c r="H98" s="11">
        <f>'First Calculations'!P97</f>
        <v>26806</v>
      </c>
      <c r="I98" s="12"/>
      <c r="J98" s="13">
        <f t="shared" si="2"/>
        <v>0.17870666666666668</v>
      </c>
      <c r="L98" t="str">
        <f t="shared" si="3"/>
        <v>20.c.ps.170.770  - Norton Museum of Art, Inc.  $26806</v>
      </c>
    </row>
    <row r="99" spans="1:12" ht="15.75" x14ac:dyDescent="0.25">
      <c r="A99" s="15">
        <v>97</v>
      </c>
      <c r="B99" s="15" t="s">
        <v>238</v>
      </c>
      <c r="C99" s="15" t="s">
        <v>239</v>
      </c>
      <c r="D99" s="15" t="s">
        <v>28</v>
      </c>
      <c r="E99" s="16">
        <v>50000</v>
      </c>
      <c r="F99" s="15">
        <v>94.332999999999998</v>
      </c>
      <c r="G99" s="16">
        <v>50000</v>
      </c>
      <c r="H99" s="11">
        <f>'First Calculations'!P98</f>
        <v>8945</v>
      </c>
      <c r="I99" s="12"/>
      <c r="J99" s="13">
        <f t="shared" si="2"/>
        <v>0.1789</v>
      </c>
      <c r="L99" t="str">
        <f t="shared" si="3"/>
        <v>20.c.ps.180.349  - Chopin Foundation of the United States, Inc.  $8945</v>
      </c>
    </row>
    <row r="100" spans="1:12" ht="15.75" x14ac:dyDescent="0.25">
      <c r="A100" s="15">
        <v>98</v>
      </c>
      <c r="B100" s="15" t="s">
        <v>240</v>
      </c>
      <c r="C100" s="15" t="s">
        <v>241</v>
      </c>
      <c r="D100" s="15" t="s">
        <v>136</v>
      </c>
      <c r="E100" s="16">
        <v>87407</v>
      </c>
      <c r="F100" s="15">
        <v>94.286000000000001</v>
      </c>
      <c r="G100" s="16">
        <v>87407</v>
      </c>
      <c r="H100" s="11">
        <f>'First Calculations'!P99</f>
        <v>15619</v>
      </c>
      <c r="I100" s="12"/>
      <c r="J100" s="13">
        <f t="shared" si="2"/>
        <v>0.17869278204262817</v>
      </c>
      <c r="L100" t="str">
        <f t="shared" si="3"/>
        <v>20.c.ps.170.268  - Explorations V Children's Museum, Inc.  $15619</v>
      </c>
    </row>
    <row r="101" spans="1:12" ht="15.75" x14ac:dyDescent="0.25">
      <c r="A101" s="15">
        <v>99</v>
      </c>
      <c r="B101" s="15" t="s">
        <v>242</v>
      </c>
      <c r="C101" s="15" t="s">
        <v>243</v>
      </c>
      <c r="D101" s="15" t="s">
        <v>50</v>
      </c>
      <c r="E101" s="16">
        <v>150000</v>
      </c>
      <c r="F101" s="15">
        <v>94.286000000000001</v>
      </c>
      <c r="G101" s="16">
        <v>150000</v>
      </c>
      <c r="H101" s="11">
        <f>'First Calculations'!P100</f>
        <v>26793</v>
      </c>
      <c r="I101" s="12"/>
      <c r="J101" s="13">
        <f t="shared" si="2"/>
        <v>0.17862</v>
      </c>
      <c r="L101" t="str">
        <f t="shared" si="3"/>
        <v>20.c.ps.180.572  - Florida State College at Jacksonville Foundation, Inc.  $26793</v>
      </c>
    </row>
    <row r="102" spans="1:12" ht="15.75" x14ac:dyDescent="0.25">
      <c r="A102" s="15">
        <v>100</v>
      </c>
      <c r="B102" s="15" t="s">
        <v>244</v>
      </c>
      <c r="C102" s="15" t="s">
        <v>245</v>
      </c>
      <c r="D102" s="15" t="s">
        <v>87</v>
      </c>
      <c r="E102" s="16">
        <v>150000</v>
      </c>
      <c r="F102" s="15">
        <v>94.167000000000002</v>
      </c>
      <c r="G102" s="16">
        <v>150000</v>
      </c>
      <c r="H102" s="11">
        <f>'First Calculations'!P101</f>
        <v>26759</v>
      </c>
      <c r="I102" s="12"/>
      <c r="J102" s="13">
        <f t="shared" si="2"/>
        <v>0.17839333333333332</v>
      </c>
      <c r="L102" t="str">
        <f t="shared" si="3"/>
        <v>20.c.ps.142.506  - Orlando Shakespeare Theater, Inc.  $26759</v>
      </c>
    </row>
    <row r="103" spans="1:12" ht="15.75" x14ac:dyDescent="0.25">
      <c r="A103" s="15">
        <v>101</v>
      </c>
      <c r="B103" s="15" t="s">
        <v>246</v>
      </c>
      <c r="C103" s="15" t="s">
        <v>247</v>
      </c>
      <c r="D103" s="15" t="s">
        <v>80</v>
      </c>
      <c r="E103" s="16">
        <v>150000</v>
      </c>
      <c r="F103" s="15">
        <v>94.167000000000002</v>
      </c>
      <c r="G103" s="16">
        <v>150000</v>
      </c>
      <c r="H103" s="11">
        <f>'First Calculations'!P102</f>
        <v>26759</v>
      </c>
      <c r="I103" s="12"/>
      <c r="J103" s="13">
        <f t="shared" si="2"/>
        <v>0.17839333333333332</v>
      </c>
      <c r="L103" t="str">
        <f t="shared" si="3"/>
        <v>20.c.ps.114.357  - Ruth Eckerd Hall, Inc.  $26759</v>
      </c>
    </row>
    <row r="104" spans="1:12" ht="15.75" x14ac:dyDescent="0.25">
      <c r="A104" s="15">
        <v>102</v>
      </c>
      <c r="B104" s="15" t="s">
        <v>248</v>
      </c>
      <c r="C104" s="15" t="s">
        <v>249</v>
      </c>
      <c r="D104" s="15" t="s">
        <v>36</v>
      </c>
      <c r="E104" s="16">
        <v>150000</v>
      </c>
      <c r="F104" s="15">
        <v>94.143000000000001</v>
      </c>
      <c r="G104" s="16">
        <v>150000</v>
      </c>
      <c r="H104" s="11">
        <f>'First Calculations'!P103</f>
        <v>26752</v>
      </c>
      <c r="I104" s="12"/>
      <c r="J104" s="13">
        <f t="shared" si="2"/>
        <v>0.17834666666666665</v>
      </c>
      <c r="L104" t="str">
        <f t="shared" si="3"/>
        <v>20.c.ps.170.337  - Young At Art of Broward, Inc.  $26752</v>
      </c>
    </row>
    <row r="105" spans="1:12" ht="15.75" x14ac:dyDescent="0.25">
      <c r="A105" s="15">
        <v>103</v>
      </c>
      <c r="B105" s="15" t="s">
        <v>250</v>
      </c>
      <c r="C105" s="15" t="s">
        <v>251</v>
      </c>
      <c r="D105" s="15" t="s">
        <v>39</v>
      </c>
      <c r="E105" s="16">
        <v>59350</v>
      </c>
      <c r="F105" s="15">
        <v>94</v>
      </c>
      <c r="G105" s="16">
        <v>59350</v>
      </c>
      <c r="H105" s="11">
        <f>'First Calculations'!P104</f>
        <v>10578</v>
      </c>
      <c r="I105" s="12"/>
      <c r="J105" s="13">
        <f t="shared" si="2"/>
        <v>0.17823083403538331</v>
      </c>
      <c r="L105" t="str">
        <f t="shared" si="3"/>
        <v>20.c.ps.105.477  - Florida Atlantic University  $10578</v>
      </c>
    </row>
    <row r="106" spans="1:12" ht="15.75" x14ac:dyDescent="0.25">
      <c r="A106" s="15">
        <v>104</v>
      </c>
      <c r="B106" s="15" t="s">
        <v>252</v>
      </c>
      <c r="C106" s="15" t="s">
        <v>186</v>
      </c>
      <c r="D106" s="15" t="s">
        <v>67</v>
      </c>
      <c r="E106" s="16">
        <v>150000</v>
      </c>
      <c r="F106" s="15">
        <v>94</v>
      </c>
      <c r="G106" s="16">
        <v>150000</v>
      </c>
      <c r="H106" s="11">
        <f>'First Calculations'!P105</f>
        <v>26711</v>
      </c>
      <c r="I106" s="12"/>
      <c r="J106" s="13">
        <f t="shared" si="2"/>
        <v>0.17807333333333333</v>
      </c>
      <c r="L106" t="str">
        <f t="shared" si="3"/>
        <v>20.c.ps.170.113  - University of Florida   $26711</v>
      </c>
    </row>
    <row r="107" spans="1:12" ht="15.75" x14ac:dyDescent="0.25">
      <c r="A107" s="15">
        <v>105</v>
      </c>
      <c r="B107" s="15" t="s">
        <v>253</v>
      </c>
      <c r="C107" s="15" t="s">
        <v>254</v>
      </c>
      <c r="D107" s="15" t="s">
        <v>36</v>
      </c>
      <c r="E107" s="16">
        <v>78250</v>
      </c>
      <c r="F107" s="15">
        <v>94</v>
      </c>
      <c r="G107" s="16">
        <v>78250</v>
      </c>
      <c r="H107" s="11">
        <f>'First Calculations'!P106</f>
        <v>13942</v>
      </c>
      <c r="I107" s="12"/>
      <c r="J107" s="13">
        <f t="shared" si="2"/>
        <v>0.17817252396166133</v>
      </c>
      <c r="L107" t="str">
        <f t="shared" si="3"/>
        <v>20.c.ps.170.418  - The Stranahan House, Inc.  $13942</v>
      </c>
    </row>
    <row r="108" spans="1:12" ht="15.75" x14ac:dyDescent="0.25">
      <c r="A108" s="15">
        <v>106</v>
      </c>
      <c r="B108" s="15" t="s">
        <v>255</v>
      </c>
      <c r="C108" s="15" t="s">
        <v>256</v>
      </c>
      <c r="D108" s="15" t="s">
        <v>36</v>
      </c>
      <c r="E108" s="16">
        <v>150000</v>
      </c>
      <c r="F108" s="15">
        <v>94</v>
      </c>
      <c r="G108" s="16">
        <v>150000</v>
      </c>
      <c r="H108" s="11">
        <f>'First Calculations'!P107</f>
        <v>26711</v>
      </c>
      <c r="I108" s="12"/>
      <c r="J108" s="13">
        <f t="shared" si="2"/>
        <v>0.17807333333333333</v>
      </c>
      <c r="L108" t="str">
        <f t="shared" si="3"/>
        <v>20.c.ps.180.264  - Broward Performing Arts Foundation, Inc.  $26711</v>
      </c>
    </row>
    <row r="109" spans="1:12" ht="15.75" x14ac:dyDescent="0.25">
      <c r="A109" s="15">
        <v>107</v>
      </c>
      <c r="B109" s="15" t="s">
        <v>257</v>
      </c>
      <c r="C109" s="15" t="s">
        <v>258</v>
      </c>
      <c r="D109" s="15" t="s">
        <v>50</v>
      </c>
      <c r="E109" s="16">
        <v>100086</v>
      </c>
      <c r="F109" s="15">
        <v>94</v>
      </c>
      <c r="G109" s="16">
        <v>100086</v>
      </c>
      <c r="H109" s="11">
        <f>'First Calculations'!P108</f>
        <v>17828</v>
      </c>
      <c r="I109" s="12"/>
      <c r="J109" s="13">
        <f t="shared" si="2"/>
        <v>0.17812681094258936</v>
      </c>
      <c r="L109" t="str">
        <f t="shared" si="3"/>
        <v>20.c.ps.102.383  - The Jacksonville Children's Chorus, Inc.  $17828</v>
      </c>
    </row>
    <row r="110" spans="1:12" ht="25.5" x14ac:dyDescent="0.25">
      <c r="A110" s="15">
        <v>108</v>
      </c>
      <c r="B110" s="15" t="s">
        <v>259</v>
      </c>
      <c r="C110" s="15" t="s">
        <v>260</v>
      </c>
      <c r="D110" s="15" t="s">
        <v>57</v>
      </c>
      <c r="E110" s="16">
        <v>25000</v>
      </c>
      <c r="F110" s="15">
        <v>94</v>
      </c>
      <c r="G110" s="16">
        <v>25000</v>
      </c>
      <c r="H110" s="11">
        <f>'First Calculations'!P109</f>
        <v>4464</v>
      </c>
      <c r="I110" s="12"/>
      <c r="J110" s="13">
        <f t="shared" si="2"/>
        <v>0.17856</v>
      </c>
      <c r="L110" t="str">
        <f t="shared" si="3"/>
        <v>20.c.ps.114.339  - Community Stepping Stones, Inc.  $4464</v>
      </c>
    </row>
    <row r="111" spans="1:12" ht="15.75" x14ac:dyDescent="0.25">
      <c r="A111" s="15">
        <v>109</v>
      </c>
      <c r="B111" s="15" t="s">
        <v>261</v>
      </c>
      <c r="C111" s="15" t="s">
        <v>262</v>
      </c>
      <c r="D111" s="15" t="s">
        <v>90</v>
      </c>
      <c r="E111" s="16">
        <v>90208</v>
      </c>
      <c r="F111" s="15">
        <v>93.875</v>
      </c>
      <c r="G111" s="16">
        <v>90208</v>
      </c>
      <c r="H111" s="11">
        <f>'First Calculations'!P110</f>
        <v>16048</v>
      </c>
      <c r="I111" s="12"/>
      <c r="J111" s="13">
        <f t="shared" si="2"/>
        <v>0.17789996452642781</v>
      </c>
      <c r="L111" t="str">
        <f t="shared" si="3"/>
        <v>20.c.ps.102.162  - Brevard Symphony Orchestra, Inc.  $16048</v>
      </c>
    </row>
    <row r="112" spans="1:12" ht="15.75" x14ac:dyDescent="0.25">
      <c r="A112" s="15">
        <v>110</v>
      </c>
      <c r="B112" s="15" t="s">
        <v>263</v>
      </c>
      <c r="C112" s="15" t="s">
        <v>264</v>
      </c>
      <c r="D112" s="15" t="s">
        <v>33</v>
      </c>
      <c r="E112" s="16">
        <v>60534</v>
      </c>
      <c r="F112" s="15">
        <v>93.856999999999999</v>
      </c>
      <c r="G112" s="16">
        <v>60534</v>
      </c>
      <c r="H112" s="11">
        <f>'First Calculations'!P111</f>
        <v>10772</v>
      </c>
      <c r="I112" s="12"/>
      <c r="J112" s="13">
        <f t="shared" si="2"/>
        <v>0.17794958205306108</v>
      </c>
      <c r="L112" t="str">
        <f t="shared" si="3"/>
        <v>20.c.ps.102.174  - Key Chorale, Inc.  $10772</v>
      </c>
    </row>
    <row r="113" spans="1:12" ht="15.75" x14ac:dyDescent="0.25">
      <c r="A113" s="15">
        <v>111</v>
      </c>
      <c r="B113" s="15" t="s">
        <v>265</v>
      </c>
      <c r="C113" s="15" t="s">
        <v>266</v>
      </c>
      <c r="D113" s="15" t="s">
        <v>39</v>
      </c>
      <c r="E113" s="16">
        <v>90000</v>
      </c>
      <c r="F113" s="15">
        <v>93.856999999999999</v>
      </c>
      <c r="G113" s="16">
        <v>90000</v>
      </c>
      <c r="H113" s="11">
        <f>'First Calculations'!P112</f>
        <v>16008</v>
      </c>
      <c r="I113" s="12"/>
      <c r="J113" s="13">
        <f t="shared" si="2"/>
        <v>0.17786666666666667</v>
      </c>
      <c r="L113" t="str">
        <f t="shared" si="3"/>
        <v>20.c.ps.102.421  - Boca Raton Philharmonic Symphonia, Inc.  $16008</v>
      </c>
    </row>
    <row r="114" spans="1:12" ht="15.75" x14ac:dyDescent="0.25">
      <c r="A114" s="15">
        <v>112</v>
      </c>
      <c r="B114" s="15" t="s">
        <v>267</v>
      </c>
      <c r="C114" s="15" t="s">
        <v>268</v>
      </c>
      <c r="D114" s="15" t="s">
        <v>28</v>
      </c>
      <c r="E114" s="16">
        <v>150000</v>
      </c>
      <c r="F114" s="15">
        <v>93.856999999999999</v>
      </c>
      <c r="G114" s="16">
        <v>150000</v>
      </c>
      <c r="H114" s="11">
        <f>'First Calculations'!P113</f>
        <v>26671</v>
      </c>
      <c r="I114" s="12"/>
      <c r="J114" s="13">
        <f t="shared" si="2"/>
        <v>0.17780666666666667</v>
      </c>
      <c r="L114" t="str">
        <f t="shared" si="3"/>
        <v>20.c.ps.170.115  - Museum of Science, Inc.  $26671</v>
      </c>
    </row>
    <row r="115" spans="1:12" ht="15.75" x14ac:dyDescent="0.25">
      <c r="A115" s="15">
        <v>113</v>
      </c>
      <c r="B115" s="15" t="s">
        <v>269</v>
      </c>
      <c r="C115" s="15" t="s">
        <v>270</v>
      </c>
      <c r="D115" s="15" t="s">
        <v>36</v>
      </c>
      <c r="E115" s="16">
        <v>88175</v>
      </c>
      <c r="F115" s="15">
        <v>93.856999999999999</v>
      </c>
      <c r="G115" s="16">
        <v>88175</v>
      </c>
      <c r="H115" s="11">
        <f>'First Calculations'!P114</f>
        <v>15684</v>
      </c>
      <c r="I115" s="12"/>
      <c r="J115" s="13">
        <f t="shared" si="2"/>
        <v>0.17787354692373122</v>
      </c>
      <c r="L115" t="str">
        <f t="shared" si="3"/>
        <v>20.c.ps.102.732  - Gay Men's Chorus of South Florida  $15684</v>
      </c>
    </row>
    <row r="116" spans="1:12" ht="15.75" x14ac:dyDescent="0.25">
      <c r="A116" s="15">
        <v>114</v>
      </c>
      <c r="B116" s="15" t="s">
        <v>271</v>
      </c>
      <c r="C116" s="15" t="s">
        <v>272</v>
      </c>
      <c r="D116" s="15" t="s">
        <v>33</v>
      </c>
      <c r="E116" s="16">
        <v>150000</v>
      </c>
      <c r="F116" s="15">
        <v>93.832999999999998</v>
      </c>
      <c r="G116" s="16">
        <v>150000</v>
      </c>
      <c r="H116" s="11">
        <f>'First Calculations'!P115</f>
        <v>26664</v>
      </c>
      <c r="I116" s="12"/>
      <c r="J116" s="13">
        <f t="shared" si="2"/>
        <v>0.17776</v>
      </c>
      <c r="L116" t="str">
        <f t="shared" si="3"/>
        <v>20.c.ps.101.417  - Sarasota Ballet of Florida, Inc.  $26664</v>
      </c>
    </row>
    <row r="117" spans="1:12" ht="15.75" x14ac:dyDescent="0.25">
      <c r="A117" s="15">
        <v>115</v>
      </c>
      <c r="B117" s="15" t="s">
        <v>273</v>
      </c>
      <c r="C117" s="15" t="s">
        <v>274</v>
      </c>
      <c r="D117" s="15" t="s">
        <v>36</v>
      </c>
      <c r="E117" s="16">
        <v>70500</v>
      </c>
      <c r="F117" s="15">
        <v>93.832999999999998</v>
      </c>
      <c r="G117" s="16">
        <v>70500</v>
      </c>
      <c r="H117" s="11">
        <f>'First Calculations'!P116</f>
        <v>12540</v>
      </c>
      <c r="I117" s="12"/>
      <c r="J117" s="13">
        <f t="shared" si="2"/>
        <v>0.17787234042553191</v>
      </c>
      <c r="L117" t="str">
        <f t="shared" si="3"/>
        <v>20.c.ps.200.035  - All Florida Youth Orchestra, Incorporated  $12540</v>
      </c>
    </row>
    <row r="118" spans="1:12" ht="15.75" x14ac:dyDescent="0.25">
      <c r="A118" s="15">
        <v>116</v>
      </c>
      <c r="B118" s="15" t="s">
        <v>275</v>
      </c>
      <c r="C118" s="15" t="s">
        <v>276</v>
      </c>
      <c r="D118" s="15" t="s">
        <v>87</v>
      </c>
      <c r="E118" s="16">
        <v>105754</v>
      </c>
      <c r="F118" s="15">
        <v>93.8</v>
      </c>
      <c r="G118" s="16">
        <v>105754</v>
      </c>
      <c r="H118" s="11">
        <f>'First Calculations'!P117</f>
        <v>18797</v>
      </c>
      <c r="I118" s="12"/>
      <c r="J118" s="13">
        <f t="shared" si="2"/>
        <v>0.17774268585585415</v>
      </c>
      <c r="L118" t="str">
        <f t="shared" si="3"/>
        <v>20.c.ps.105.384  - Crealde School of Art  $18797</v>
      </c>
    </row>
    <row r="119" spans="1:12" ht="15.75" x14ac:dyDescent="0.25">
      <c r="A119" s="15">
        <v>117</v>
      </c>
      <c r="B119" s="15" t="s">
        <v>277</v>
      </c>
      <c r="C119" s="15" t="s">
        <v>278</v>
      </c>
      <c r="D119" s="15" t="s">
        <v>28</v>
      </c>
      <c r="E119" s="16">
        <v>90000</v>
      </c>
      <c r="F119" s="15">
        <v>93.8</v>
      </c>
      <c r="G119" s="16">
        <v>90000</v>
      </c>
      <c r="H119" s="11">
        <f>'First Calculations'!P118</f>
        <v>15999</v>
      </c>
      <c r="I119" s="12"/>
      <c r="J119" s="13">
        <f t="shared" si="2"/>
        <v>0.17776666666666666</v>
      </c>
      <c r="L119" t="str">
        <f t="shared" si="3"/>
        <v>20.c.ps.105.239  - Bakehouse Art Complex, Inc.  $15999</v>
      </c>
    </row>
    <row r="120" spans="1:12" ht="15.75" x14ac:dyDescent="0.25">
      <c r="A120" s="15">
        <v>118</v>
      </c>
      <c r="B120" s="15" t="s">
        <v>279</v>
      </c>
      <c r="C120" s="15" t="s">
        <v>280</v>
      </c>
      <c r="D120" s="15" t="s">
        <v>87</v>
      </c>
      <c r="E120" s="16">
        <v>90000</v>
      </c>
      <c r="F120" s="15">
        <v>93.713999999999999</v>
      </c>
      <c r="G120" s="16">
        <v>90000</v>
      </c>
      <c r="H120" s="11">
        <f>'First Calculations'!P119</f>
        <v>15984</v>
      </c>
      <c r="I120" s="12"/>
      <c r="J120" s="13">
        <f t="shared" si="2"/>
        <v>0.17760000000000001</v>
      </c>
      <c r="L120" t="str">
        <f t="shared" si="3"/>
        <v>20.c.ps.170.039  - Albin Polasek Museum and Sculpture Gardens, Inc.  $15984</v>
      </c>
    </row>
    <row r="121" spans="1:12" ht="15.75" x14ac:dyDescent="0.25">
      <c r="A121" s="15">
        <v>119</v>
      </c>
      <c r="B121" s="15" t="s">
        <v>281</v>
      </c>
      <c r="C121" s="15" t="s">
        <v>282</v>
      </c>
      <c r="D121" s="15" t="s">
        <v>102</v>
      </c>
      <c r="E121" s="16">
        <v>48332</v>
      </c>
      <c r="F121" s="15">
        <v>93.713999999999999</v>
      </c>
      <c r="G121" s="16">
        <v>48332</v>
      </c>
      <c r="H121" s="11">
        <f>'First Calculations'!P120</f>
        <v>8591</v>
      </c>
      <c r="I121" s="12"/>
      <c r="J121" s="13">
        <f t="shared" si="2"/>
        <v>0.17774973102706282</v>
      </c>
      <c r="L121" t="str">
        <f t="shared" si="3"/>
        <v>20.c.ps.170.630  - The Pensacola Mess Hall, Inc.  $8591</v>
      </c>
    </row>
    <row r="122" spans="1:12" ht="15.75" x14ac:dyDescent="0.25">
      <c r="A122" s="15">
        <v>120</v>
      </c>
      <c r="B122" s="15" t="s">
        <v>283</v>
      </c>
      <c r="C122" s="15" t="s">
        <v>284</v>
      </c>
      <c r="D122" s="15" t="s">
        <v>87</v>
      </c>
      <c r="E122" s="16">
        <v>150000</v>
      </c>
      <c r="F122" s="15">
        <v>93.667000000000002</v>
      </c>
      <c r="G122" s="16">
        <v>150000</v>
      </c>
      <c r="H122" s="11">
        <f>'First Calculations'!P121</f>
        <v>26617</v>
      </c>
      <c r="I122" s="12"/>
      <c r="J122" s="13">
        <f t="shared" si="2"/>
        <v>0.17744666666666667</v>
      </c>
      <c r="L122" t="str">
        <f t="shared" si="3"/>
        <v>20.c.ps.170.286  - Historical Society of Central Florida, Inc.  $26617</v>
      </c>
    </row>
    <row r="123" spans="1:12" ht="15.75" x14ac:dyDescent="0.25">
      <c r="A123" s="15">
        <v>121</v>
      </c>
      <c r="B123" s="15" t="s">
        <v>285</v>
      </c>
      <c r="C123" s="15" t="s">
        <v>286</v>
      </c>
      <c r="D123" s="15" t="s">
        <v>287</v>
      </c>
      <c r="E123" s="16">
        <v>117788</v>
      </c>
      <c r="F123" s="15">
        <v>93.667000000000002</v>
      </c>
      <c r="G123" s="16">
        <v>117788</v>
      </c>
      <c r="H123" s="11">
        <f>'First Calculations'!P122</f>
        <v>20904</v>
      </c>
      <c r="I123" s="12"/>
      <c r="J123" s="13">
        <f t="shared" si="2"/>
        <v>0.17747138927564776</v>
      </c>
      <c r="L123" t="str">
        <f t="shared" si="3"/>
        <v>20.c.ps.142.057  - Key West Players, Inc.  $20904</v>
      </c>
    </row>
    <row r="124" spans="1:12" ht="15.75" x14ac:dyDescent="0.25">
      <c r="A124" s="15">
        <v>122</v>
      </c>
      <c r="B124" s="15" t="s">
        <v>288</v>
      </c>
      <c r="C124" s="15" t="s">
        <v>289</v>
      </c>
      <c r="D124" s="15" t="s">
        <v>28</v>
      </c>
      <c r="E124" s="16">
        <v>50000</v>
      </c>
      <c r="F124" s="15">
        <v>93.667000000000002</v>
      </c>
      <c r="G124" s="16">
        <v>50000</v>
      </c>
      <c r="H124" s="11">
        <f>'First Calculations'!P123</f>
        <v>8882</v>
      </c>
      <c r="I124" s="12"/>
      <c r="J124" s="13">
        <f t="shared" si="2"/>
        <v>0.17763999999999999</v>
      </c>
      <c r="L124" t="str">
        <f t="shared" si="3"/>
        <v>20.c.ps.142.537  - City Theatre  $8882</v>
      </c>
    </row>
    <row r="125" spans="1:12" ht="15.75" x14ac:dyDescent="0.25">
      <c r="A125" s="15">
        <v>123</v>
      </c>
      <c r="B125" s="15" t="s">
        <v>290</v>
      </c>
      <c r="C125" s="15" t="s">
        <v>291</v>
      </c>
      <c r="D125" s="15" t="s">
        <v>33</v>
      </c>
      <c r="E125" s="16">
        <v>150000</v>
      </c>
      <c r="F125" s="15">
        <v>93.625</v>
      </c>
      <c r="G125" s="16">
        <v>150000</v>
      </c>
      <c r="H125" s="11">
        <f>'First Calculations'!P124</f>
        <v>26605</v>
      </c>
      <c r="I125" s="12"/>
      <c r="J125" s="13">
        <f t="shared" si="2"/>
        <v>0.17736666666666667</v>
      </c>
      <c r="L125" t="str">
        <f t="shared" si="3"/>
        <v>20.c.ps.102.394  - Florida West Coast Symphony, Inc.  $26605</v>
      </c>
    </row>
    <row r="126" spans="1:12" ht="25.5" x14ac:dyDescent="0.25">
      <c r="A126" s="15">
        <v>124</v>
      </c>
      <c r="B126" s="15" t="s">
        <v>292</v>
      </c>
      <c r="C126" s="15" t="s">
        <v>293</v>
      </c>
      <c r="D126" s="15" t="s">
        <v>57</v>
      </c>
      <c r="E126" s="16">
        <v>40000</v>
      </c>
      <c r="F126" s="15">
        <v>93.6</v>
      </c>
      <c r="G126" s="16">
        <v>40000</v>
      </c>
      <c r="H126" s="11">
        <f>'First Calculations'!P125</f>
        <v>7104</v>
      </c>
      <c r="I126" s="12"/>
      <c r="J126" s="13">
        <f t="shared" si="2"/>
        <v>0.17760000000000001</v>
      </c>
      <c r="L126" t="str">
        <f t="shared" si="3"/>
        <v>20.c.ps.102.628  - Choral Masterworks Festival, Inc.   $7104</v>
      </c>
    </row>
    <row r="127" spans="1:12" ht="15.75" x14ac:dyDescent="0.25">
      <c r="A127" s="15">
        <v>125</v>
      </c>
      <c r="B127" s="15" t="s">
        <v>294</v>
      </c>
      <c r="C127" s="15" t="s">
        <v>295</v>
      </c>
      <c r="D127" s="15" t="s">
        <v>28</v>
      </c>
      <c r="E127" s="16">
        <v>150000</v>
      </c>
      <c r="F127" s="15">
        <v>93.6</v>
      </c>
      <c r="G127" s="16">
        <v>150000</v>
      </c>
      <c r="H127" s="11">
        <f>'First Calculations'!P126</f>
        <v>26598</v>
      </c>
      <c r="I127" s="12"/>
      <c r="J127" s="13">
        <f t="shared" si="2"/>
        <v>0.17732000000000001</v>
      </c>
      <c r="L127" t="str">
        <f t="shared" si="3"/>
        <v>20.c.ps.105.657  - South Florida Art Center, Inc.  $26598</v>
      </c>
    </row>
    <row r="128" spans="1:12" ht="15.75" x14ac:dyDescent="0.25">
      <c r="A128" s="15">
        <v>126</v>
      </c>
      <c r="B128" s="15" t="s">
        <v>296</v>
      </c>
      <c r="C128" s="15" t="s">
        <v>297</v>
      </c>
      <c r="D128" s="15" t="s">
        <v>67</v>
      </c>
      <c r="E128" s="16">
        <v>35000</v>
      </c>
      <c r="F128" s="15">
        <v>93.6</v>
      </c>
      <c r="G128" s="16">
        <v>35000</v>
      </c>
      <c r="H128" s="11">
        <f>'First Calculations'!P127</f>
        <v>6218</v>
      </c>
      <c r="I128" s="12"/>
      <c r="J128" s="13">
        <f t="shared" si="2"/>
        <v>0.17765714285714285</v>
      </c>
      <c r="L128" t="str">
        <f t="shared" si="3"/>
        <v>20.c.ps.102.619  - Gainesville Youth Chorus, Inc.  $6218</v>
      </c>
    </row>
    <row r="129" spans="1:12" ht="15.75" x14ac:dyDescent="0.25">
      <c r="A129" s="15">
        <v>127</v>
      </c>
      <c r="B129" s="15" t="s">
        <v>298</v>
      </c>
      <c r="C129" s="15" t="s">
        <v>299</v>
      </c>
      <c r="D129" s="15" t="s">
        <v>115</v>
      </c>
      <c r="E129" s="16">
        <v>40000</v>
      </c>
      <c r="F129" s="15">
        <v>93.6</v>
      </c>
      <c r="G129" s="16">
        <v>40000</v>
      </c>
      <c r="H129" s="11">
        <f>'First Calculations'!P128</f>
        <v>7104</v>
      </c>
      <c r="I129" s="12"/>
      <c r="J129" s="13">
        <f t="shared" si="2"/>
        <v>0.17760000000000001</v>
      </c>
      <c r="L129" t="str">
        <f t="shared" si="3"/>
        <v>20.c.ps.102.250  - The Tallahassee Bach Parley, Inc.  $7104</v>
      </c>
    </row>
    <row r="130" spans="1:12" ht="15.75" x14ac:dyDescent="0.25">
      <c r="A130" s="15">
        <v>128</v>
      </c>
      <c r="B130" s="15" t="s">
        <v>300</v>
      </c>
      <c r="C130" s="15" t="s">
        <v>301</v>
      </c>
      <c r="D130" s="15" t="s">
        <v>87</v>
      </c>
      <c r="E130" s="16">
        <v>137268</v>
      </c>
      <c r="F130" s="15">
        <v>93.570999999999998</v>
      </c>
      <c r="G130" s="16">
        <v>137268</v>
      </c>
      <c r="H130" s="11">
        <f>'First Calculations'!P129</f>
        <v>24334</v>
      </c>
      <c r="I130" s="12"/>
      <c r="J130" s="13">
        <f t="shared" si="2"/>
        <v>0.17727365445697468</v>
      </c>
      <c r="L130" t="str">
        <f t="shared" si="3"/>
        <v>20.c.ps.180.461  - International Fringe Festival of Central Florida, Inc.  $24334</v>
      </c>
    </row>
    <row r="131" spans="1:12" ht="15.75" x14ac:dyDescent="0.25">
      <c r="A131" s="15">
        <v>129</v>
      </c>
      <c r="B131" s="15" t="s">
        <v>302</v>
      </c>
      <c r="C131" s="15" t="s">
        <v>303</v>
      </c>
      <c r="D131" s="15" t="s">
        <v>304</v>
      </c>
      <c r="E131" s="16">
        <v>150000</v>
      </c>
      <c r="F131" s="15">
        <v>93.570999999999998</v>
      </c>
      <c r="G131" s="16">
        <v>150000</v>
      </c>
      <c r="H131" s="11">
        <f>'First Calculations'!P130</f>
        <v>26589</v>
      </c>
      <c r="I131" s="12"/>
      <c r="J131" s="13">
        <f t="shared" ref="J131:J194" si="4">H131/E131</f>
        <v>0.17726</v>
      </c>
      <c r="L131" t="str">
        <f t="shared" si="3"/>
        <v>20.c.ps.170.763  - Central Florida Zoological Society, Inc.  $26589</v>
      </c>
    </row>
    <row r="132" spans="1:12" ht="15.75" x14ac:dyDescent="0.25">
      <c r="A132" s="15">
        <v>130</v>
      </c>
      <c r="B132" s="15" t="s">
        <v>305</v>
      </c>
      <c r="C132" s="15" t="s">
        <v>306</v>
      </c>
      <c r="D132" s="15" t="s">
        <v>39</v>
      </c>
      <c r="E132" s="16">
        <v>150000</v>
      </c>
      <c r="F132" s="15">
        <v>93.570999999999998</v>
      </c>
      <c r="G132" s="16">
        <v>150000</v>
      </c>
      <c r="H132" s="11">
        <f>'First Calculations'!P131</f>
        <v>26589</v>
      </c>
      <c r="I132" s="12"/>
      <c r="J132" s="13">
        <f t="shared" si="4"/>
        <v>0.17726</v>
      </c>
      <c r="L132" t="str">
        <f t="shared" ref="L132:L195" si="5">B132&amp;" - "&amp;C132&amp;" $"&amp;H132</f>
        <v>20.c.ps.180.356  - Palm Beach State College  $26589</v>
      </c>
    </row>
    <row r="133" spans="1:12" ht="15.75" x14ac:dyDescent="0.25">
      <c r="A133" s="15">
        <v>131</v>
      </c>
      <c r="B133" s="15" t="s">
        <v>307</v>
      </c>
      <c r="C133" s="15" t="s">
        <v>308</v>
      </c>
      <c r="D133" s="15" t="s">
        <v>87</v>
      </c>
      <c r="E133" s="16">
        <v>150000</v>
      </c>
      <c r="F133" s="15">
        <v>93.570999999999998</v>
      </c>
      <c r="G133" s="16">
        <v>150000</v>
      </c>
      <c r="H133" s="11">
        <f>'First Calculations'!P132</f>
        <v>26589</v>
      </c>
      <c r="I133" s="12"/>
      <c r="J133" s="13">
        <f t="shared" si="4"/>
        <v>0.17726</v>
      </c>
      <c r="L133" t="str">
        <f t="shared" si="5"/>
        <v>20.c.ps.102.668  - The Orlando Philharmonic Orchestra, Inc.  $26589</v>
      </c>
    </row>
    <row r="134" spans="1:12" ht="15.75" x14ac:dyDescent="0.25">
      <c r="A134" s="15">
        <v>132</v>
      </c>
      <c r="B134" s="15" t="s">
        <v>309</v>
      </c>
      <c r="C134" s="15" t="s">
        <v>310</v>
      </c>
      <c r="D134" s="15" t="s">
        <v>90</v>
      </c>
      <c r="E134" s="16">
        <v>150000</v>
      </c>
      <c r="F134" s="15">
        <v>93.5</v>
      </c>
      <c r="G134" s="16">
        <v>150000</v>
      </c>
      <c r="H134" s="11">
        <f>'First Calculations'!P133</f>
        <v>26569</v>
      </c>
      <c r="I134" s="12"/>
      <c r="J134" s="13">
        <f t="shared" si="4"/>
        <v>0.17712666666666665</v>
      </c>
      <c r="L134" t="str">
        <f t="shared" si="5"/>
        <v>20.c.ps.170.203  - East Coast Zoological Society of Florida, Inc.  $26569</v>
      </c>
    </row>
    <row r="135" spans="1:12" ht="15.75" x14ac:dyDescent="0.25">
      <c r="A135" s="15">
        <v>133</v>
      </c>
      <c r="B135" s="15" t="s">
        <v>311</v>
      </c>
      <c r="C135" s="15" t="s">
        <v>312</v>
      </c>
      <c r="D135" s="15" t="s">
        <v>28</v>
      </c>
      <c r="E135" s="16">
        <v>150000</v>
      </c>
      <c r="F135" s="15">
        <v>93.5</v>
      </c>
      <c r="G135" s="16">
        <v>150000</v>
      </c>
      <c r="H135" s="11">
        <f>'First Calculations'!P134</f>
        <v>26569</v>
      </c>
      <c r="I135" s="12"/>
      <c r="J135" s="13">
        <f t="shared" si="4"/>
        <v>0.17712666666666665</v>
      </c>
      <c r="L135" t="str">
        <f t="shared" si="5"/>
        <v>20.c.ps.500.731  - Miami-Dade County  $26569</v>
      </c>
    </row>
    <row r="136" spans="1:12" ht="15.75" x14ac:dyDescent="0.25">
      <c r="A136" s="15">
        <v>134</v>
      </c>
      <c r="B136" s="15" t="s">
        <v>313</v>
      </c>
      <c r="C136" s="15" t="s">
        <v>314</v>
      </c>
      <c r="D136" s="15" t="s">
        <v>87</v>
      </c>
      <c r="E136" s="16">
        <v>91000</v>
      </c>
      <c r="F136" s="15">
        <v>93.5</v>
      </c>
      <c r="G136" s="16">
        <v>91000</v>
      </c>
      <c r="H136" s="11">
        <f>'First Calculations'!P135</f>
        <v>16125</v>
      </c>
      <c r="I136" s="12"/>
      <c r="J136" s="13">
        <f t="shared" si="4"/>
        <v>0.17719780219780221</v>
      </c>
      <c r="L136" t="str">
        <f t="shared" si="5"/>
        <v>20.c.ps.142.022  - The Winter Park Playhouse, Inc.  $16125</v>
      </c>
    </row>
    <row r="137" spans="1:12" ht="15.75" x14ac:dyDescent="0.25">
      <c r="A137" s="15">
        <v>135</v>
      </c>
      <c r="B137" s="15" t="s">
        <v>315</v>
      </c>
      <c r="C137" s="15" t="s">
        <v>316</v>
      </c>
      <c r="D137" s="15" t="s">
        <v>67</v>
      </c>
      <c r="E137" s="16">
        <v>40000</v>
      </c>
      <c r="F137" s="15">
        <v>93.5</v>
      </c>
      <c r="G137" s="16">
        <v>40000</v>
      </c>
      <c r="H137" s="11">
        <f>'First Calculations'!P136</f>
        <v>7096</v>
      </c>
      <c r="I137" s="12"/>
      <c r="J137" s="13">
        <f t="shared" si="4"/>
        <v>0.1774</v>
      </c>
      <c r="L137" t="str">
        <f t="shared" si="5"/>
        <v>20.c.ps.170.725  - Matheson History Museum  $7096</v>
      </c>
    </row>
    <row r="138" spans="1:12" ht="15.75" x14ac:dyDescent="0.25">
      <c r="A138" s="15">
        <v>136</v>
      </c>
      <c r="B138" s="15" t="s">
        <v>317</v>
      </c>
      <c r="C138" s="15" t="s">
        <v>318</v>
      </c>
      <c r="D138" s="15" t="s">
        <v>33</v>
      </c>
      <c r="E138" s="16">
        <v>75000</v>
      </c>
      <c r="F138" s="15">
        <v>93.5</v>
      </c>
      <c r="G138" s="16">
        <v>75000</v>
      </c>
      <c r="H138" s="11">
        <f>'First Calculations'!P137</f>
        <v>13292</v>
      </c>
      <c r="I138" s="12"/>
      <c r="J138" s="13">
        <f t="shared" si="4"/>
        <v>0.17722666666666667</v>
      </c>
      <c r="L138" t="str">
        <f t="shared" si="5"/>
        <v>20.c.ps.142.306  - Westcoast Black Theatre Troupe of Florida, Inc.  $13292</v>
      </c>
    </row>
    <row r="139" spans="1:12" ht="15.75" x14ac:dyDescent="0.25">
      <c r="A139" s="15">
        <v>137</v>
      </c>
      <c r="B139" s="15" t="s">
        <v>319</v>
      </c>
      <c r="C139" s="15" t="s">
        <v>320</v>
      </c>
      <c r="D139" s="15" t="s">
        <v>80</v>
      </c>
      <c r="E139" s="16">
        <v>150000</v>
      </c>
      <c r="F139" s="15">
        <v>93.5</v>
      </c>
      <c r="G139" s="16">
        <v>150000</v>
      </c>
      <c r="H139" s="11">
        <f>'First Calculations'!P138</f>
        <v>26569</v>
      </c>
      <c r="I139" s="12"/>
      <c r="J139" s="13">
        <f t="shared" si="4"/>
        <v>0.17712666666666665</v>
      </c>
      <c r="L139" t="str">
        <f t="shared" si="5"/>
        <v>20.c.ps.142.748  - American Stage Company, Inc.  $26569</v>
      </c>
    </row>
    <row r="140" spans="1:12" ht="25.5" x14ac:dyDescent="0.25">
      <c r="A140" s="15">
        <v>138</v>
      </c>
      <c r="B140" s="15" t="s">
        <v>321</v>
      </c>
      <c r="C140" s="15" t="s">
        <v>322</v>
      </c>
      <c r="D140" s="15" t="s">
        <v>57</v>
      </c>
      <c r="E140" s="16">
        <v>4647</v>
      </c>
      <c r="F140" s="15">
        <v>93.429000000000002</v>
      </c>
      <c r="G140" s="16">
        <v>4647</v>
      </c>
      <c r="H140" s="11">
        <f>'First Calculations'!P139</f>
        <v>1000</v>
      </c>
      <c r="I140" s="12"/>
      <c r="J140" s="13">
        <f t="shared" si="4"/>
        <v>0.21519259737465032</v>
      </c>
      <c r="L140" t="str">
        <f t="shared" si="5"/>
        <v>20.c.ps.141.666  - Spanish Lyric Theatre, Inc.  $1000</v>
      </c>
    </row>
    <row r="141" spans="1:12" ht="15.75" x14ac:dyDescent="0.25">
      <c r="A141" s="15">
        <v>139</v>
      </c>
      <c r="B141" s="15" t="s">
        <v>323</v>
      </c>
      <c r="C141" s="15" t="s">
        <v>324</v>
      </c>
      <c r="D141" s="15" t="s">
        <v>36</v>
      </c>
      <c r="E141" s="16">
        <v>70599</v>
      </c>
      <c r="F141" s="15">
        <v>93.429000000000002</v>
      </c>
      <c r="G141" s="16">
        <v>70599</v>
      </c>
      <c r="H141" s="11">
        <f>'First Calculations'!P140</f>
        <v>12504</v>
      </c>
      <c r="I141" s="12"/>
      <c r="J141" s="13">
        <f t="shared" si="4"/>
        <v>0.17711299026898397</v>
      </c>
      <c r="L141" t="str">
        <f t="shared" si="5"/>
        <v>20.c.ps.102.392  - Florida Singing Sons, Inc.  $12504</v>
      </c>
    </row>
    <row r="142" spans="1:12" ht="15.75" x14ac:dyDescent="0.25">
      <c r="A142" s="15">
        <v>140</v>
      </c>
      <c r="B142" s="15" t="s">
        <v>325</v>
      </c>
      <c r="C142" s="15" t="s">
        <v>326</v>
      </c>
      <c r="D142" s="15" t="s">
        <v>50</v>
      </c>
      <c r="E142" s="15">
        <v>150000</v>
      </c>
      <c r="F142" s="15">
        <v>93.429000000000002</v>
      </c>
      <c r="G142" s="16">
        <v>150000</v>
      </c>
      <c r="H142" s="11">
        <f>'First Calculations'!P141</f>
        <v>26549</v>
      </c>
      <c r="I142" s="12"/>
      <c r="J142" s="13">
        <f t="shared" si="4"/>
        <v>0.17699333333333334</v>
      </c>
      <c r="L142" t="str">
        <f t="shared" si="5"/>
        <v>20.c.ps.180.156  - Florida Theatre Performing Arts Center, Inc.  $26549</v>
      </c>
    </row>
    <row r="143" spans="1:12" ht="15.75" x14ac:dyDescent="0.25">
      <c r="A143" s="15">
        <v>141</v>
      </c>
      <c r="B143" s="15" t="s">
        <v>327</v>
      </c>
      <c r="C143" s="15" t="s">
        <v>328</v>
      </c>
      <c r="D143" s="15" t="s">
        <v>287</v>
      </c>
      <c r="E143" s="16">
        <v>150000</v>
      </c>
      <c r="F143" s="15">
        <v>93.429000000000002</v>
      </c>
      <c r="G143" s="16">
        <v>150000</v>
      </c>
      <c r="H143" s="11">
        <f>'First Calculations'!P142</f>
        <v>26549</v>
      </c>
      <c r="I143" s="12"/>
      <c r="J143" s="13">
        <f t="shared" si="4"/>
        <v>0.17699333333333334</v>
      </c>
      <c r="L143" t="str">
        <f t="shared" si="5"/>
        <v>20.c.ps.114.419  - The Studios of Key West, Inc.  $26549</v>
      </c>
    </row>
    <row r="144" spans="1:12" ht="15.75" x14ac:dyDescent="0.25">
      <c r="A144" s="15">
        <v>142</v>
      </c>
      <c r="B144" s="15" t="s">
        <v>329</v>
      </c>
      <c r="C144" s="15" t="s">
        <v>330</v>
      </c>
      <c r="D144" s="15" t="s">
        <v>36</v>
      </c>
      <c r="E144" s="16">
        <v>150000</v>
      </c>
      <c r="F144" s="15">
        <v>93.4</v>
      </c>
      <c r="G144" s="16">
        <v>150000</v>
      </c>
      <c r="H144" s="11">
        <f>'First Calculations'!P143</f>
        <v>26541</v>
      </c>
      <c r="I144" s="12"/>
      <c r="J144" s="13">
        <f t="shared" si="4"/>
        <v>0.17693999999999999</v>
      </c>
      <c r="L144" t="str">
        <f t="shared" si="5"/>
        <v>20.c.ps.105.340  - Nova Southeastern University  $26541</v>
      </c>
    </row>
    <row r="145" spans="1:12" ht="15.75" x14ac:dyDescent="0.25">
      <c r="A145" s="15">
        <v>143</v>
      </c>
      <c r="B145" s="15" t="s">
        <v>331</v>
      </c>
      <c r="C145" s="15" t="s">
        <v>332</v>
      </c>
      <c r="D145" s="15" t="s">
        <v>87</v>
      </c>
      <c r="E145" s="16">
        <v>108775</v>
      </c>
      <c r="F145" s="15">
        <v>93.332999999999998</v>
      </c>
      <c r="G145" s="16">
        <v>108775</v>
      </c>
      <c r="H145" s="11">
        <f>'First Calculations'!P144</f>
        <v>19237</v>
      </c>
      <c r="I145" s="12"/>
      <c r="J145" s="13">
        <f t="shared" si="4"/>
        <v>0.176851298552057</v>
      </c>
      <c r="L145" t="str">
        <f t="shared" si="5"/>
        <v>20.c.ps.142.135  - Mad Cow Theatre, Inc.  $19237</v>
      </c>
    </row>
    <row r="146" spans="1:12" ht="15.75" x14ac:dyDescent="0.25">
      <c r="A146" s="15">
        <v>144</v>
      </c>
      <c r="B146" s="15" t="s">
        <v>333</v>
      </c>
      <c r="C146" s="15" t="s">
        <v>334</v>
      </c>
      <c r="D146" s="15" t="s">
        <v>87</v>
      </c>
      <c r="E146" s="16">
        <v>55323</v>
      </c>
      <c r="F146" s="15">
        <v>93.332999999999998</v>
      </c>
      <c r="G146" s="16">
        <v>55323</v>
      </c>
      <c r="H146" s="11">
        <f>'First Calculations'!P145</f>
        <v>9791</v>
      </c>
      <c r="I146" s="12"/>
      <c r="J146" s="13">
        <f t="shared" si="4"/>
        <v>0.17697883339659817</v>
      </c>
      <c r="L146" t="str">
        <f t="shared" si="5"/>
        <v>20.c.ps.142.240  - MicheLee Puppets, Inc.  $9791</v>
      </c>
    </row>
    <row r="147" spans="1:12" ht="15.75" x14ac:dyDescent="0.25">
      <c r="A147" s="15">
        <v>145</v>
      </c>
      <c r="B147" s="15" t="s">
        <v>335</v>
      </c>
      <c r="C147" s="15" t="s">
        <v>336</v>
      </c>
      <c r="D147" s="15" t="s">
        <v>28</v>
      </c>
      <c r="E147" s="16">
        <v>150000</v>
      </c>
      <c r="F147" s="15">
        <v>93.332999999999998</v>
      </c>
      <c r="G147" s="16">
        <v>150000</v>
      </c>
      <c r="H147" s="11">
        <f>'First Calculations'!P146</f>
        <v>26522</v>
      </c>
      <c r="I147" s="12"/>
      <c r="J147" s="13">
        <f t="shared" si="4"/>
        <v>0.17681333333333332</v>
      </c>
      <c r="L147" t="str">
        <f t="shared" si="5"/>
        <v>20.c.ps.142.083  - Actors' Playhouse Productions  $26522</v>
      </c>
    </row>
    <row r="148" spans="1:12" ht="15.75" x14ac:dyDescent="0.25">
      <c r="A148" s="15">
        <v>146</v>
      </c>
      <c r="B148" s="15" t="s">
        <v>337</v>
      </c>
      <c r="C148" s="15" t="s">
        <v>338</v>
      </c>
      <c r="D148" s="15" t="s">
        <v>80</v>
      </c>
      <c r="E148" s="16">
        <v>150000</v>
      </c>
      <c r="F148" s="15">
        <v>93.332999999999998</v>
      </c>
      <c r="G148" s="16">
        <v>150000</v>
      </c>
      <c r="H148" s="11">
        <f>'First Calculations'!P147</f>
        <v>26522</v>
      </c>
      <c r="I148" s="12"/>
      <c r="J148" s="13">
        <f t="shared" si="4"/>
        <v>0.17681333333333332</v>
      </c>
      <c r="L148" t="str">
        <f t="shared" si="5"/>
        <v>20.c.ps.170.165  - Museum of Fine Arts of St. Petersburg, Florida, Inc.  $26522</v>
      </c>
    </row>
    <row r="149" spans="1:12" ht="15.75" x14ac:dyDescent="0.25">
      <c r="A149" s="15">
        <v>147</v>
      </c>
      <c r="B149" s="15" t="s">
        <v>339</v>
      </c>
      <c r="C149" s="15" t="s">
        <v>340</v>
      </c>
      <c r="D149" s="15" t="s">
        <v>64</v>
      </c>
      <c r="E149" s="16">
        <v>150000</v>
      </c>
      <c r="F149" s="15">
        <v>93.332999999999998</v>
      </c>
      <c r="G149" s="16">
        <v>150000</v>
      </c>
      <c r="H149" s="11">
        <f>'First Calculations'!P148</f>
        <v>26522</v>
      </c>
      <c r="I149" s="12"/>
      <c r="J149" s="13">
        <f t="shared" si="4"/>
        <v>0.17681333333333332</v>
      </c>
      <c r="L149" t="str">
        <f t="shared" si="5"/>
        <v>20.c.ps.170.631  - Naples Botanical Garden, Inc.  $26522</v>
      </c>
    </row>
    <row r="150" spans="1:12" ht="15.75" x14ac:dyDescent="0.25">
      <c r="A150" s="15">
        <v>148</v>
      </c>
      <c r="B150" s="15" t="s">
        <v>341</v>
      </c>
      <c r="C150" s="15" t="s">
        <v>342</v>
      </c>
      <c r="D150" s="15" t="s">
        <v>28</v>
      </c>
      <c r="E150" s="16">
        <v>150000</v>
      </c>
      <c r="F150" s="15">
        <v>93.286000000000001</v>
      </c>
      <c r="G150" s="16">
        <v>150000</v>
      </c>
      <c r="H150" s="11">
        <f>'First Calculations'!P149</f>
        <v>26509</v>
      </c>
      <c r="I150" s="12"/>
      <c r="J150" s="13">
        <f t="shared" si="4"/>
        <v>0.17672666666666667</v>
      </c>
      <c r="L150" t="str">
        <f t="shared" si="5"/>
        <v>20.c.ps.114.144  - The Dave and Mary Alper Jewish Community Center, Inc.  $26509</v>
      </c>
    </row>
    <row r="151" spans="1:12" ht="15.75" x14ac:dyDescent="0.25">
      <c r="A151" s="15">
        <v>149</v>
      </c>
      <c r="B151" s="15" t="s">
        <v>343</v>
      </c>
      <c r="C151" s="15" t="s">
        <v>344</v>
      </c>
      <c r="D151" s="15" t="s">
        <v>136</v>
      </c>
      <c r="E151" s="16">
        <v>103006</v>
      </c>
      <c r="F151" s="15">
        <v>93.286000000000001</v>
      </c>
      <c r="G151" s="16">
        <v>103006</v>
      </c>
      <c r="H151" s="11">
        <f>'First Calculations'!P150</f>
        <v>18208</v>
      </c>
      <c r="I151" s="12"/>
      <c r="J151" s="13">
        <f t="shared" si="4"/>
        <v>0.17676640195716756</v>
      </c>
      <c r="L151" t="str">
        <f t="shared" si="5"/>
        <v>20.c.ps.141.493  - Theatre Winter Haven, Inc.  $18208</v>
      </c>
    </row>
    <row r="152" spans="1:12" ht="15.75" x14ac:dyDescent="0.25">
      <c r="A152" s="15">
        <v>150</v>
      </c>
      <c r="B152" s="15" t="s">
        <v>345</v>
      </c>
      <c r="C152" s="15" t="s">
        <v>346</v>
      </c>
      <c r="D152" s="15" t="s">
        <v>87</v>
      </c>
      <c r="E152" s="16">
        <v>50000</v>
      </c>
      <c r="F152" s="15">
        <v>93.286000000000001</v>
      </c>
      <c r="G152" s="16">
        <v>50000</v>
      </c>
      <c r="H152" s="11">
        <f>'First Calculations'!P151</f>
        <v>8846</v>
      </c>
      <c r="I152" s="12"/>
      <c r="J152" s="13">
        <f t="shared" si="4"/>
        <v>0.17691999999999999</v>
      </c>
      <c r="L152" t="str">
        <f t="shared" si="5"/>
        <v>20.c.ps.102.504  - Opera Orlando, Inc.  $8846</v>
      </c>
    </row>
    <row r="153" spans="1:12" ht="25.5" x14ac:dyDescent="0.25">
      <c r="A153" s="15">
        <v>151</v>
      </c>
      <c r="B153" s="15" t="s">
        <v>347</v>
      </c>
      <c r="C153" s="15" t="s">
        <v>348</v>
      </c>
      <c r="D153" s="15" t="s">
        <v>57</v>
      </c>
      <c r="E153" s="16">
        <v>150000</v>
      </c>
      <c r="F153" s="15">
        <v>93.286000000000001</v>
      </c>
      <c r="G153" s="16">
        <v>150000</v>
      </c>
      <c r="H153" s="11">
        <f>'First Calculations'!P152</f>
        <v>26509</v>
      </c>
      <c r="I153" s="12"/>
      <c r="J153" s="13">
        <f t="shared" si="4"/>
        <v>0.17672666666666667</v>
      </c>
      <c r="L153" t="str">
        <f t="shared" si="5"/>
        <v>20.c.ps.170.599  - Lowry Park Zoological Society of Tampa, Inc.  $26509</v>
      </c>
    </row>
    <row r="154" spans="1:12" ht="15.75" x14ac:dyDescent="0.25">
      <c r="A154" s="15">
        <v>152</v>
      </c>
      <c r="B154" s="15" t="s">
        <v>349</v>
      </c>
      <c r="C154" s="15" t="s">
        <v>350</v>
      </c>
      <c r="D154" s="15" t="s">
        <v>50</v>
      </c>
      <c r="E154" s="16">
        <v>150000</v>
      </c>
      <c r="F154" s="15">
        <v>93.286000000000001</v>
      </c>
      <c r="G154" s="16">
        <v>150000</v>
      </c>
      <c r="H154" s="11">
        <f>'First Calculations'!P153</f>
        <v>26509</v>
      </c>
      <c r="I154" s="12"/>
      <c r="J154" s="13">
        <f t="shared" si="4"/>
        <v>0.17672666666666667</v>
      </c>
      <c r="L154" t="str">
        <f t="shared" si="5"/>
        <v>20.c.ps.170.078  - Jacksonville Zoological Society, Inc.  $26509</v>
      </c>
    </row>
    <row r="155" spans="1:12" ht="15.75" x14ac:dyDescent="0.25">
      <c r="A155" s="15">
        <v>153</v>
      </c>
      <c r="B155" s="15" t="s">
        <v>351</v>
      </c>
      <c r="C155" s="15" t="s">
        <v>352</v>
      </c>
      <c r="D155" s="15" t="s">
        <v>39</v>
      </c>
      <c r="E155" s="16">
        <v>130000</v>
      </c>
      <c r="F155" s="15">
        <v>93.2</v>
      </c>
      <c r="G155" s="16">
        <v>130000</v>
      </c>
      <c r="H155" s="11">
        <f>'First Calculations'!P154</f>
        <v>22955</v>
      </c>
      <c r="I155" s="12"/>
      <c r="J155" s="13">
        <f t="shared" si="4"/>
        <v>0.17657692307692308</v>
      </c>
      <c r="L155" t="str">
        <f t="shared" si="5"/>
        <v>20.c.ps.105.208  - Lighthouse ArtCenter, Inc.  $22955</v>
      </c>
    </row>
    <row r="156" spans="1:12" ht="15.75" x14ac:dyDescent="0.25">
      <c r="A156" s="15">
        <v>154</v>
      </c>
      <c r="B156" s="15" t="s">
        <v>353</v>
      </c>
      <c r="C156" s="15" t="s">
        <v>354</v>
      </c>
      <c r="D156" s="15" t="s">
        <v>36</v>
      </c>
      <c r="E156" s="16">
        <v>40000</v>
      </c>
      <c r="F156" s="15">
        <v>93.167000000000002</v>
      </c>
      <c r="G156" s="16">
        <v>40000</v>
      </c>
      <c r="H156" s="11">
        <f>'First Calculations'!P155</f>
        <v>7071</v>
      </c>
      <c r="I156" s="12"/>
      <c r="J156" s="13">
        <f t="shared" si="4"/>
        <v>0.17677499999999999</v>
      </c>
      <c r="L156" t="str">
        <f t="shared" si="5"/>
        <v>20.c.ps.170.319  - World AIDS Museum, Incorporated  $7071</v>
      </c>
    </row>
    <row r="157" spans="1:12" ht="15.75" x14ac:dyDescent="0.25">
      <c r="A157" s="15">
        <v>155</v>
      </c>
      <c r="B157" s="15" t="s">
        <v>355</v>
      </c>
      <c r="C157" s="15" t="s">
        <v>356</v>
      </c>
      <c r="D157" s="15" t="s">
        <v>80</v>
      </c>
      <c r="E157" s="16">
        <v>150000</v>
      </c>
      <c r="F157" s="15">
        <v>93.167000000000002</v>
      </c>
      <c r="G157" s="16">
        <v>150000</v>
      </c>
      <c r="H157" s="11">
        <f>'First Calculations'!P156</f>
        <v>26475</v>
      </c>
      <c r="I157" s="12"/>
      <c r="J157" s="13">
        <f t="shared" si="4"/>
        <v>0.17649999999999999</v>
      </c>
      <c r="L157" t="str">
        <f t="shared" si="5"/>
        <v>20.c.ps.170.624  - Clearwater Marine Aquarium  $26475</v>
      </c>
    </row>
    <row r="158" spans="1:12" ht="15.75" x14ac:dyDescent="0.25">
      <c r="A158" s="15">
        <v>156</v>
      </c>
      <c r="B158" s="15" t="s">
        <v>357</v>
      </c>
      <c r="C158" s="15" t="s">
        <v>358</v>
      </c>
      <c r="D158" s="15" t="s">
        <v>359</v>
      </c>
      <c r="E158" s="16">
        <v>105856</v>
      </c>
      <c r="F158" s="15">
        <v>93.167000000000002</v>
      </c>
      <c r="G158" s="16">
        <v>105856</v>
      </c>
      <c r="H158" s="11">
        <f>'First Calculations'!P157</f>
        <v>18688</v>
      </c>
      <c r="I158" s="12"/>
      <c r="J158" s="13">
        <f t="shared" si="4"/>
        <v>0.17654171704957677</v>
      </c>
      <c r="L158" t="str">
        <f t="shared" si="5"/>
        <v>20.c.ps.101.257  - Northwest Florida Ballet, Inc.  $18688</v>
      </c>
    </row>
    <row r="159" spans="1:12" ht="15.75" x14ac:dyDescent="0.25">
      <c r="A159" s="15">
        <v>157</v>
      </c>
      <c r="B159" s="15" t="s">
        <v>360</v>
      </c>
      <c r="C159" s="15" t="s">
        <v>361</v>
      </c>
      <c r="D159" s="15" t="s">
        <v>87</v>
      </c>
      <c r="E159" s="16">
        <v>102500</v>
      </c>
      <c r="F159" s="15">
        <v>93.143000000000001</v>
      </c>
      <c r="G159" s="16">
        <v>102500</v>
      </c>
      <c r="H159" s="11">
        <f>'First Calculations'!P158</f>
        <v>18091</v>
      </c>
      <c r="I159" s="12"/>
      <c r="J159" s="13">
        <f t="shared" si="4"/>
        <v>0.17649756097560976</v>
      </c>
      <c r="L159" t="str">
        <f t="shared" si="5"/>
        <v>20.c.ps.114.644  - Downtown Arts District, Inc.  $18091</v>
      </c>
    </row>
    <row r="160" spans="1:12" ht="15.75" x14ac:dyDescent="0.25">
      <c r="A160" s="15">
        <v>158</v>
      </c>
      <c r="B160" s="15" t="s">
        <v>362</v>
      </c>
      <c r="C160" s="15" t="s">
        <v>363</v>
      </c>
      <c r="D160" s="15" t="s">
        <v>28</v>
      </c>
      <c r="E160" s="16">
        <v>97000</v>
      </c>
      <c r="F160" s="15">
        <v>93.143000000000001</v>
      </c>
      <c r="G160" s="16">
        <v>97000</v>
      </c>
      <c r="H160" s="11">
        <f>'First Calculations'!P159</f>
        <v>17121</v>
      </c>
      <c r="I160" s="12"/>
      <c r="J160" s="13">
        <f t="shared" si="4"/>
        <v>0.17650515463917527</v>
      </c>
      <c r="L160" t="str">
        <f t="shared" si="5"/>
        <v>20.c.ps.180.593  - The Rhythm Foundation, Inc.  $17121</v>
      </c>
    </row>
    <row r="161" spans="1:12" ht="15.75" x14ac:dyDescent="0.25">
      <c r="A161" s="15">
        <v>159</v>
      </c>
      <c r="B161" s="15" t="s">
        <v>364</v>
      </c>
      <c r="C161" s="15" t="s">
        <v>365</v>
      </c>
      <c r="D161" s="15" t="s">
        <v>67</v>
      </c>
      <c r="E161" s="16">
        <v>150000</v>
      </c>
      <c r="F161" s="15">
        <v>93.143000000000001</v>
      </c>
      <c r="G161" s="16">
        <v>150000</v>
      </c>
      <c r="H161" s="11">
        <f>'First Calculations'!P160</f>
        <v>26468</v>
      </c>
      <c r="I161" s="12"/>
      <c r="J161" s="13">
        <f t="shared" si="4"/>
        <v>0.17645333333333332</v>
      </c>
      <c r="L161" t="str">
        <f t="shared" si="5"/>
        <v>20.c.ps.114.496  - City of Gainesville  $26468</v>
      </c>
    </row>
    <row r="162" spans="1:12" ht="15.75" x14ac:dyDescent="0.25">
      <c r="A162" s="15">
        <v>160</v>
      </c>
      <c r="B162" s="15" t="s">
        <v>366</v>
      </c>
      <c r="C162" s="15" t="s">
        <v>367</v>
      </c>
      <c r="D162" s="15" t="s">
        <v>87</v>
      </c>
      <c r="E162" s="16">
        <v>143592</v>
      </c>
      <c r="F162" s="15">
        <v>93</v>
      </c>
      <c r="G162" s="16">
        <v>143592</v>
      </c>
      <c r="H162" s="11">
        <f>'First Calculations'!P161</f>
        <v>25299</v>
      </c>
      <c r="I162" s="12"/>
      <c r="J162" s="13">
        <f t="shared" si="4"/>
        <v>0.17618669563763997</v>
      </c>
      <c r="L162" t="str">
        <f t="shared" si="5"/>
        <v>20.c.ps.170.234  - Rollins College  $25299</v>
      </c>
    </row>
    <row r="163" spans="1:12" ht="15.75" x14ac:dyDescent="0.25">
      <c r="A163" s="15">
        <v>161</v>
      </c>
      <c r="B163" s="15" t="s">
        <v>368</v>
      </c>
      <c r="C163" s="15" t="s">
        <v>369</v>
      </c>
      <c r="D163" s="15" t="s">
        <v>28</v>
      </c>
      <c r="E163" s="16">
        <v>90000</v>
      </c>
      <c r="F163" s="15">
        <v>93</v>
      </c>
      <c r="G163" s="16">
        <v>90000</v>
      </c>
      <c r="H163" s="11">
        <f>'First Calculations'!P162</f>
        <v>15862</v>
      </c>
      <c r="I163" s="12"/>
      <c r="J163" s="13">
        <f t="shared" si="4"/>
        <v>0.17624444444444445</v>
      </c>
      <c r="L163" t="str">
        <f t="shared" si="5"/>
        <v>20.c.ps.105.782  - Locust Projects, Inc.  $15862</v>
      </c>
    </row>
    <row r="164" spans="1:12" ht="15.75" x14ac:dyDescent="0.25">
      <c r="A164" s="15">
        <v>162</v>
      </c>
      <c r="B164" s="15" t="s">
        <v>370</v>
      </c>
      <c r="C164" s="15" t="s">
        <v>371</v>
      </c>
      <c r="D164" s="15" t="s">
        <v>102</v>
      </c>
      <c r="E164" s="16">
        <v>103387</v>
      </c>
      <c r="F164" s="15">
        <v>93</v>
      </c>
      <c r="G164" s="16">
        <v>103387</v>
      </c>
      <c r="H164" s="11">
        <f>'First Calculations'!P163</f>
        <v>18220</v>
      </c>
      <c r="I164" s="12"/>
      <c r="J164" s="13">
        <f t="shared" si="4"/>
        <v>0.17623105419443449</v>
      </c>
      <c r="L164" t="str">
        <f t="shared" si="5"/>
        <v>20.c.ps.102.228  - Pensacola Opera  $18220</v>
      </c>
    </row>
    <row r="165" spans="1:12" ht="15.75" x14ac:dyDescent="0.25">
      <c r="A165" s="15">
        <v>163</v>
      </c>
      <c r="B165" s="15" t="s">
        <v>372</v>
      </c>
      <c r="C165" s="15" t="s">
        <v>373</v>
      </c>
      <c r="D165" s="15" t="s">
        <v>33</v>
      </c>
      <c r="E165" s="16">
        <v>150000</v>
      </c>
      <c r="F165" s="15">
        <v>93</v>
      </c>
      <c r="G165" s="16">
        <v>150000</v>
      </c>
      <c r="H165" s="11">
        <f>'First Calculations'!P164</f>
        <v>26427</v>
      </c>
      <c r="I165" s="12"/>
      <c r="J165" s="13">
        <f t="shared" si="4"/>
        <v>0.17618</v>
      </c>
      <c r="L165" t="str">
        <f t="shared" si="5"/>
        <v>20.c.ps.170.555  - The Marie Selby Botanical Gardens, Inc.  $26427</v>
      </c>
    </row>
    <row r="166" spans="1:12" ht="15.75" x14ac:dyDescent="0.25">
      <c r="A166" s="15">
        <v>164</v>
      </c>
      <c r="B166" s="15" t="s">
        <v>374</v>
      </c>
      <c r="C166" s="15" t="s">
        <v>375</v>
      </c>
      <c r="D166" s="15" t="s">
        <v>87</v>
      </c>
      <c r="E166" s="16">
        <v>148964</v>
      </c>
      <c r="F166" s="15">
        <v>93</v>
      </c>
      <c r="G166" s="16">
        <v>148964</v>
      </c>
      <c r="H166" s="11">
        <f>'First Calculations'!P165</f>
        <v>26245</v>
      </c>
      <c r="I166" s="12"/>
      <c r="J166" s="13">
        <f t="shared" si="4"/>
        <v>0.17618350742461267</v>
      </c>
      <c r="L166" t="str">
        <f t="shared" si="5"/>
        <v>20.c.ps.142.704  - Garden Theatre, Inc.  $26245</v>
      </c>
    </row>
    <row r="167" spans="1:12" ht="15.75" x14ac:dyDescent="0.25">
      <c r="A167" s="15">
        <v>165</v>
      </c>
      <c r="B167" s="15" t="s">
        <v>376</v>
      </c>
      <c r="C167" s="15" t="s">
        <v>377</v>
      </c>
      <c r="D167" s="15" t="s">
        <v>36</v>
      </c>
      <c r="E167" s="16">
        <v>90000</v>
      </c>
      <c r="F167" s="15">
        <v>93</v>
      </c>
      <c r="G167" s="16">
        <v>90000</v>
      </c>
      <c r="H167" s="11">
        <f>'First Calculations'!P166</f>
        <v>15862</v>
      </c>
      <c r="I167" s="12"/>
      <c r="J167" s="13">
        <f t="shared" si="4"/>
        <v>0.17624444444444445</v>
      </c>
      <c r="L167" t="str">
        <f t="shared" si="5"/>
        <v>20.c.ps.170.374  - Stonewall Library &amp; Archives, Inc.  $15862</v>
      </c>
    </row>
    <row r="168" spans="1:12" ht="15.75" x14ac:dyDescent="0.25">
      <c r="A168" s="15">
        <v>166</v>
      </c>
      <c r="B168" s="15" t="s">
        <v>378</v>
      </c>
      <c r="C168" s="15" t="s">
        <v>379</v>
      </c>
      <c r="D168" s="15" t="s">
        <v>28</v>
      </c>
      <c r="E168" s="16">
        <v>75000</v>
      </c>
      <c r="F168" s="15">
        <v>93</v>
      </c>
      <c r="G168" s="16">
        <v>75000</v>
      </c>
      <c r="H168" s="11">
        <f>'First Calculations'!P167</f>
        <v>13221</v>
      </c>
      <c r="I168" s="12"/>
      <c r="J168" s="13">
        <f t="shared" si="4"/>
        <v>0.17627999999999999</v>
      </c>
      <c r="L168" t="str">
        <f t="shared" si="5"/>
        <v>20.c.ps.170.638  - University of Miami  $13221</v>
      </c>
    </row>
    <row r="169" spans="1:12" ht="15.75" x14ac:dyDescent="0.25">
      <c r="A169" s="15">
        <v>167</v>
      </c>
      <c r="B169" s="15" t="s">
        <v>380</v>
      </c>
      <c r="C169" s="15" t="s">
        <v>381</v>
      </c>
      <c r="D169" s="15" t="s">
        <v>28</v>
      </c>
      <c r="E169" s="16">
        <v>150000</v>
      </c>
      <c r="F169" s="15">
        <v>93</v>
      </c>
      <c r="G169" s="16">
        <v>150000</v>
      </c>
      <c r="H169" s="11">
        <f>'First Calculations'!P168</f>
        <v>26427</v>
      </c>
      <c r="I169" s="12"/>
      <c r="J169" s="13">
        <f t="shared" si="4"/>
        <v>0.17618</v>
      </c>
      <c r="L169" t="str">
        <f t="shared" si="5"/>
        <v>20.c.ps.114.166  - Miami Design Preservation League, Inc.  $26427</v>
      </c>
    </row>
    <row r="170" spans="1:12" ht="15.75" x14ac:dyDescent="0.25">
      <c r="A170" s="15">
        <v>168</v>
      </c>
      <c r="B170" s="15" t="s">
        <v>382</v>
      </c>
      <c r="C170" s="15" t="s">
        <v>383</v>
      </c>
      <c r="D170" s="15" t="s">
        <v>39</v>
      </c>
      <c r="E170" s="16">
        <v>118888</v>
      </c>
      <c r="F170" s="15">
        <v>93</v>
      </c>
      <c r="G170" s="16">
        <v>118888</v>
      </c>
      <c r="H170" s="11">
        <f>'First Calculations'!P169</f>
        <v>20949</v>
      </c>
      <c r="I170" s="12"/>
      <c r="J170" s="13">
        <f t="shared" si="4"/>
        <v>0.17620785949801493</v>
      </c>
      <c r="L170" t="str">
        <f t="shared" si="5"/>
        <v>20.c.ps.114.640  - Creative City Collaborative of Delray Beach, Inc.  $20949</v>
      </c>
    </row>
    <row r="171" spans="1:12" ht="15.75" x14ac:dyDescent="0.25">
      <c r="A171" s="15">
        <v>169</v>
      </c>
      <c r="B171" s="15" t="s">
        <v>384</v>
      </c>
      <c r="C171" s="15" t="s">
        <v>385</v>
      </c>
      <c r="D171" s="15" t="s">
        <v>102</v>
      </c>
      <c r="E171" s="16">
        <v>149633</v>
      </c>
      <c r="F171" s="15">
        <v>92.875</v>
      </c>
      <c r="G171" s="16">
        <v>149633</v>
      </c>
      <c r="H171" s="11">
        <f>'First Calculations'!P170</f>
        <v>26327</v>
      </c>
      <c r="I171" s="12"/>
      <c r="J171" s="13">
        <f t="shared" si="4"/>
        <v>0.17594380918647626</v>
      </c>
      <c r="L171" t="str">
        <f t="shared" si="5"/>
        <v>20.c.ps.102.381  - The Greater Pensacola Symphony Orchestra, Incorporated  $26327</v>
      </c>
    </row>
    <row r="172" spans="1:12" ht="15.75" x14ac:dyDescent="0.25">
      <c r="A172" s="15">
        <v>170</v>
      </c>
      <c r="B172" s="15" t="s">
        <v>386</v>
      </c>
      <c r="C172" s="15" t="s">
        <v>387</v>
      </c>
      <c r="D172" s="15" t="s">
        <v>388</v>
      </c>
      <c r="E172" s="16">
        <v>25000</v>
      </c>
      <c r="F172" s="15">
        <v>92.856999999999999</v>
      </c>
      <c r="G172" s="16">
        <v>25000</v>
      </c>
      <c r="H172" s="11">
        <f>'First Calculations'!P171</f>
        <v>4410</v>
      </c>
      <c r="I172" s="12"/>
      <c r="J172" s="13">
        <f t="shared" si="4"/>
        <v>0.1764</v>
      </c>
      <c r="L172" t="str">
        <f t="shared" si="5"/>
        <v>20.c.ps.114.655  - Heathcote Botanical Gardens, Inc.  $4410</v>
      </c>
    </row>
    <row r="173" spans="1:12" ht="15.75" x14ac:dyDescent="0.25">
      <c r="A173" s="15">
        <v>171</v>
      </c>
      <c r="B173" s="15" t="s">
        <v>389</v>
      </c>
      <c r="C173" s="15" t="s">
        <v>390</v>
      </c>
      <c r="D173" s="15" t="s">
        <v>28</v>
      </c>
      <c r="E173" s="16">
        <v>6000</v>
      </c>
      <c r="F173" s="15">
        <v>92.832999999999998</v>
      </c>
      <c r="G173" s="16">
        <v>6000</v>
      </c>
      <c r="H173" s="11">
        <f>'First Calculations'!P172</f>
        <v>1070</v>
      </c>
      <c r="I173" s="12"/>
      <c r="J173" s="13">
        <f t="shared" si="4"/>
        <v>0.17833333333333334</v>
      </c>
      <c r="L173" t="str">
        <f t="shared" si="5"/>
        <v>20.c.ps.110.481  - Hispanic Heritage Literature Organization Corp  $1070</v>
      </c>
    </row>
    <row r="174" spans="1:12" ht="15.75" x14ac:dyDescent="0.25">
      <c r="A174" s="15">
        <v>172</v>
      </c>
      <c r="B174" s="15" t="s">
        <v>391</v>
      </c>
      <c r="C174" s="15" t="s">
        <v>392</v>
      </c>
      <c r="D174" s="15" t="s">
        <v>287</v>
      </c>
      <c r="E174" s="16">
        <v>90000</v>
      </c>
      <c r="F174" s="15">
        <v>92.832999999999998</v>
      </c>
      <c r="G174" s="16">
        <v>90000</v>
      </c>
      <c r="H174" s="11">
        <f>'First Calculations'!P173</f>
        <v>15834</v>
      </c>
      <c r="I174" s="12"/>
      <c r="J174" s="13">
        <f t="shared" si="4"/>
        <v>0.17593333333333333</v>
      </c>
      <c r="L174" t="str">
        <f t="shared" si="5"/>
        <v>20.c.ps.110.544  - Key West Literary Seminar, Inc.  $15834</v>
      </c>
    </row>
    <row r="175" spans="1:12" ht="15.75" x14ac:dyDescent="0.25">
      <c r="A175" s="15">
        <v>173</v>
      </c>
      <c r="B175" s="15" t="s">
        <v>393</v>
      </c>
      <c r="C175" s="15" t="s">
        <v>394</v>
      </c>
      <c r="D175" s="15" t="s">
        <v>28</v>
      </c>
      <c r="E175" s="16">
        <v>150000</v>
      </c>
      <c r="F175" s="15">
        <v>92.832999999999998</v>
      </c>
      <c r="G175" s="16">
        <v>150000</v>
      </c>
      <c r="H175" s="11">
        <f>'First Calculations'!P174</f>
        <v>26380</v>
      </c>
      <c r="I175" s="12"/>
      <c r="J175" s="13">
        <f t="shared" si="4"/>
        <v>0.17586666666666667</v>
      </c>
      <c r="L175" t="str">
        <f t="shared" si="5"/>
        <v>20.c.ps.142.127  - Gablestage, Inc.  $26380</v>
      </c>
    </row>
    <row r="176" spans="1:12" ht="15.75" x14ac:dyDescent="0.25">
      <c r="A176" s="15">
        <v>174</v>
      </c>
      <c r="B176" s="15" t="s">
        <v>395</v>
      </c>
      <c r="C176" s="15" t="s">
        <v>396</v>
      </c>
      <c r="D176" s="15" t="s">
        <v>397</v>
      </c>
      <c r="E176" s="16">
        <v>63851</v>
      </c>
      <c r="F176" s="15">
        <v>92.832999999999998</v>
      </c>
      <c r="G176" s="16">
        <v>63851</v>
      </c>
      <c r="H176" s="11">
        <f>'First Calculations'!P175</f>
        <v>11238</v>
      </c>
      <c r="I176" s="12"/>
      <c r="J176" s="13">
        <f t="shared" si="4"/>
        <v>0.17600350816745236</v>
      </c>
      <c r="L176" t="str">
        <f t="shared" si="5"/>
        <v>20.c.ps.142.756  - Emerald Coast Theatre Company  $11238</v>
      </c>
    </row>
    <row r="177" spans="1:12" ht="25.5" x14ac:dyDescent="0.25">
      <c r="A177" s="15">
        <v>175</v>
      </c>
      <c r="B177" s="15" t="s">
        <v>398</v>
      </c>
      <c r="C177" s="15" t="s">
        <v>399</v>
      </c>
      <c r="D177" s="15" t="s">
        <v>57</v>
      </c>
      <c r="E177" s="16">
        <v>40950</v>
      </c>
      <c r="F177" s="15">
        <v>92.832999999999998</v>
      </c>
      <c r="G177" s="16">
        <v>40950</v>
      </c>
      <c r="H177" s="11">
        <f>'First Calculations'!P176</f>
        <v>7213</v>
      </c>
      <c r="I177" s="12"/>
      <c r="J177" s="13">
        <f t="shared" si="4"/>
        <v>0.17614163614163614</v>
      </c>
      <c r="L177" t="str">
        <f t="shared" si="5"/>
        <v>20.c.ps.142.308  - The Jobsite Theater, Inc.  $7213</v>
      </c>
    </row>
    <row r="178" spans="1:12" ht="15.75" x14ac:dyDescent="0.25">
      <c r="A178" s="15">
        <v>176</v>
      </c>
      <c r="B178" s="15" t="s">
        <v>400</v>
      </c>
      <c r="C178" s="15" t="s">
        <v>401</v>
      </c>
      <c r="D178" s="15" t="s">
        <v>287</v>
      </c>
      <c r="E178" s="16">
        <v>20000</v>
      </c>
      <c r="F178" s="15">
        <v>92.832999999999998</v>
      </c>
      <c r="G178" s="16">
        <v>20000</v>
      </c>
      <c r="H178" s="11">
        <f>'First Calculations'!P177</f>
        <v>3530</v>
      </c>
      <c r="I178" s="12"/>
      <c r="J178" s="13">
        <f t="shared" si="4"/>
        <v>0.17649999999999999</v>
      </c>
      <c r="L178" t="str">
        <f t="shared" si="5"/>
        <v>20.c.ps.200.510  - Bahama Village Music Program, Inc.  $3530</v>
      </c>
    </row>
    <row r="179" spans="1:12" ht="15.75" x14ac:dyDescent="0.25">
      <c r="A179" s="15">
        <v>177</v>
      </c>
      <c r="B179" s="15" t="s">
        <v>402</v>
      </c>
      <c r="C179" s="15" t="s">
        <v>403</v>
      </c>
      <c r="D179" s="15" t="s">
        <v>102</v>
      </c>
      <c r="E179" s="16">
        <v>35600</v>
      </c>
      <c r="F179" s="15">
        <v>92.8</v>
      </c>
      <c r="G179" s="16">
        <v>35600</v>
      </c>
      <c r="H179" s="11">
        <f>'First Calculations'!P178</f>
        <v>6270</v>
      </c>
      <c r="I179" s="12"/>
      <c r="J179" s="13">
        <f t="shared" si="4"/>
        <v>0.17612359550561799</v>
      </c>
      <c r="L179" t="str">
        <f t="shared" si="5"/>
        <v>20.c.ps.102.361  - Jazz Society of Pensacola, Inc.  $6270</v>
      </c>
    </row>
    <row r="180" spans="1:12" ht="15.75" x14ac:dyDescent="0.25">
      <c r="A180" s="15">
        <v>178</v>
      </c>
      <c r="B180" s="15" t="s">
        <v>404</v>
      </c>
      <c r="C180" s="15" t="s">
        <v>405</v>
      </c>
      <c r="D180" s="15" t="s">
        <v>33</v>
      </c>
      <c r="E180" s="16">
        <v>87000</v>
      </c>
      <c r="F180" s="15">
        <v>92.713999999999999</v>
      </c>
      <c r="G180" s="16">
        <v>87000</v>
      </c>
      <c r="H180" s="11">
        <f>'First Calculations'!P179</f>
        <v>15287</v>
      </c>
      <c r="I180" s="12"/>
      <c r="J180" s="13">
        <f t="shared" si="4"/>
        <v>0.17571264367816092</v>
      </c>
      <c r="L180" t="str">
        <f t="shared" si="5"/>
        <v>20.c.ps.170.714  - Save Our Seabirds, Inc.  $15287</v>
      </c>
    </row>
    <row r="181" spans="1:12" ht="25.5" x14ac:dyDescent="0.25">
      <c r="A181" s="15">
        <v>179</v>
      </c>
      <c r="B181" s="15" t="s">
        <v>406</v>
      </c>
      <c r="C181" s="15" t="s">
        <v>407</v>
      </c>
      <c r="D181" s="15" t="s">
        <v>57</v>
      </c>
      <c r="E181" s="16">
        <v>51750</v>
      </c>
      <c r="F181" s="15">
        <v>92.667000000000002</v>
      </c>
      <c r="G181" s="16">
        <v>51750</v>
      </c>
      <c r="H181" s="11">
        <f>'First Calculations'!P180</f>
        <v>9095</v>
      </c>
      <c r="I181" s="12"/>
      <c r="J181" s="13">
        <f t="shared" si="4"/>
        <v>0.17574879227053139</v>
      </c>
      <c r="L181" t="str">
        <f t="shared" si="5"/>
        <v>20.c.ps.142.528  - Stage Works, Inc.  $9095</v>
      </c>
    </row>
    <row r="182" spans="1:12" ht="15.75" x14ac:dyDescent="0.25">
      <c r="A182" s="15">
        <v>180</v>
      </c>
      <c r="B182" s="15" t="s">
        <v>408</v>
      </c>
      <c r="C182" s="15" t="s">
        <v>409</v>
      </c>
      <c r="D182" s="15" t="s">
        <v>304</v>
      </c>
      <c r="E182" s="16">
        <v>25000</v>
      </c>
      <c r="F182" s="15">
        <v>92.667000000000002</v>
      </c>
      <c r="G182" s="16">
        <v>25000</v>
      </c>
      <c r="H182" s="11">
        <f>'First Calculations'!P181</f>
        <v>4401</v>
      </c>
      <c r="I182" s="12"/>
      <c r="J182" s="13">
        <f t="shared" si="4"/>
        <v>0.17604</v>
      </c>
      <c r="L182" t="str">
        <f t="shared" si="5"/>
        <v>20.c.ps.170.636  - City of Sanford  $4401</v>
      </c>
    </row>
    <row r="183" spans="1:12" ht="15.75" x14ac:dyDescent="0.25">
      <c r="A183" s="15">
        <v>181</v>
      </c>
      <c r="B183" s="15" t="s">
        <v>410</v>
      </c>
      <c r="C183" s="15" t="s">
        <v>411</v>
      </c>
      <c r="D183" s="15" t="s">
        <v>28</v>
      </c>
      <c r="E183" s="16">
        <v>150000</v>
      </c>
      <c r="F183" s="15">
        <v>92.625</v>
      </c>
      <c r="G183" s="16">
        <v>150000</v>
      </c>
      <c r="H183" s="11">
        <f>'First Calculations'!P182</f>
        <v>26321</v>
      </c>
      <c r="I183" s="12"/>
      <c r="J183" s="13">
        <f t="shared" si="4"/>
        <v>0.17547333333333334</v>
      </c>
      <c r="L183" t="str">
        <f t="shared" si="5"/>
        <v>20.c.ps.102.626  - Florida Grand Opera, Inc.  $26321</v>
      </c>
    </row>
    <row r="184" spans="1:12" ht="15.75" x14ac:dyDescent="0.25">
      <c r="A184" s="15">
        <v>182</v>
      </c>
      <c r="B184" s="15" t="s">
        <v>412</v>
      </c>
      <c r="C184" s="15" t="s">
        <v>413</v>
      </c>
      <c r="D184" s="15" t="s">
        <v>28</v>
      </c>
      <c r="E184" s="16">
        <v>17000</v>
      </c>
      <c r="F184" s="15">
        <v>92.6</v>
      </c>
      <c r="G184" s="16">
        <v>17000</v>
      </c>
      <c r="H184" s="11">
        <f>'First Calculations'!P183</f>
        <v>2995</v>
      </c>
      <c r="I184" s="12"/>
      <c r="J184" s="13">
        <f t="shared" si="4"/>
        <v>0.1761764705882353</v>
      </c>
      <c r="L184" t="str">
        <f t="shared" si="5"/>
        <v>20.c.ps.102.612  - The Children's Voice Chorus, Inc.  $2995</v>
      </c>
    </row>
    <row r="185" spans="1:12" ht="15.75" x14ac:dyDescent="0.25">
      <c r="A185" s="15">
        <v>183</v>
      </c>
      <c r="B185" s="15" t="s">
        <v>414</v>
      </c>
      <c r="C185" s="15" t="s">
        <v>415</v>
      </c>
      <c r="D185" s="15" t="s">
        <v>33</v>
      </c>
      <c r="E185" s="16">
        <v>150000</v>
      </c>
      <c r="F185" s="15">
        <v>92.570999999999998</v>
      </c>
      <c r="G185" s="16">
        <v>150000</v>
      </c>
      <c r="H185" s="11">
        <f>'First Calculations'!P184</f>
        <v>26305</v>
      </c>
      <c r="I185" s="12"/>
      <c r="J185" s="13">
        <f t="shared" si="4"/>
        <v>0.17536666666666667</v>
      </c>
      <c r="L185" t="str">
        <f t="shared" si="5"/>
        <v>20.c.ps.114.716  - The Circus Arts Conservatory, Inc.  $26305</v>
      </c>
    </row>
    <row r="186" spans="1:12" ht="15.75" x14ac:dyDescent="0.25">
      <c r="A186" s="15">
        <v>184</v>
      </c>
      <c r="B186" s="15" t="s">
        <v>416</v>
      </c>
      <c r="C186" s="15" t="s">
        <v>417</v>
      </c>
      <c r="D186" s="15" t="s">
        <v>28</v>
      </c>
      <c r="E186" s="16">
        <v>25900</v>
      </c>
      <c r="F186" s="15">
        <v>92.570999999999998</v>
      </c>
      <c r="G186" s="16">
        <v>25900</v>
      </c>
      <c r="H186" s="11">
        <f>'First Calculations'!P185</f>
        <v>4554</v>
      </c>
      <c r="I186" s="12"/>
      <c r="J186" s="13">
        <f t="shared" si="4"/>
        <v>0.17583011583011582</v>
      </c>
      <c r="L186" t="str">
        <f t="shared" si="5"/>
        <v>20.c.ps.101.169  - The Dance Now! Ensemble, Inc.  $4554</v>
      </c>
    </row>
    <row r="187" spans="1:12" ht="15.75" x14ac:dyDescent="0.25">
      <c r="A187" s="15">
        <v>185</v>
      </c>
      <c r="B187" s="15" t="s">
        <v>418</v>
      </c>
      <c r="C187" s="15" t="s">
        <v>217</v>
      </c>
      <c r="D187" s="15" t="s">
        <v>28</v>
      </c>
      <c r="E187" s="16">
        <v>55196</v>
      </c>
      <c r="F187" s="15">
        <v>92.570999999999998</v>
      </c>
      <c r="G187" s="16">
        <v>55196</v>
      </c>
      <c r="H187" s="11">
        <f>'First Calculations'!P186</f>
        <v>9689</v>
      </c>
      <c r="I187" s="12"/>
      <c r="J187" s="13">
        <f t="shared" si="4"/>
        <v>0.17553808246974417</v>
      </c>
      <c r="L187" t="str">
        <f t="shared" si="5"/>
        <v>20.c.ps.114.472  - Miami Dade College  $9689</v>
      </c>
    </row>
    <row r="188" spans="1:12" ht="15.75" x14ac:dyDescent="0.25">
      <c r="A188" s="15">
        <v>186</v>
      </c>
      <c r="B188" s="15" t="s">
        <v>419</v>
      </c>
      <c r="C188" s="15" t="s">
        <v>420</v>
      </c>
      <c r="D188" s="15" t="s">
        <v>124</v>
      </c>
      <c r="E188" s="16">
        <v>150000</v>
      </c>
      <c r="F188" s="15">
        <v>92.570999999999998</v>
      </c>
      <c r="G188" s="16">
        <v>150000</v>
      </c>
      <c r="H188" s="11">
        <f>'First Calculations'!P187</f>
        <v>26305</v>
      </c>
      <c r="I188" s="12"/>
      <c r="J188" s="13">
        <f t="shared" si="4"/>
        <v>0.17536666666666667</v>
      </c>
      <c r="L188" t="str">
        <f t="shared" si="5"/>
        <v>20.c.ps.170.321  - Shell Museum and Educational Foundation, Inc.  $26305</v>
      </c>
    </row>
    <row r="189" spans="1:12" ht="15.75" x14ac:dyDescent="0.25">
      <c r="A189" s="15">
        <v>187</v>
      </c>
      <c r="B189" s="15" t="s">
        <v>421</v>
      </c>
      <c r="C189" s="15" t="s">
        <v>422</v>
      </c>
      <c r="D189" s="15" t="s">
        <v>115</v>
      </c>
      <c r="E189" s="16">
        <v>29195</v>
      </c>
      <c r="F189" s="15">
        <v>92.5</v>
      </c>
      <c r="G189" s="16">
        <v>29195</v>
      </c>
      <c r="H189" s="11">
        <f>'First Calculations'!P188</f>
        <v>5128</v>
      </c>
      <c r="I189" s="12"/>
      <c r="J189" s="13">
        <f t="shared" si="4"/>
        <v>0.1756465148141805</v>
      </c>
      <c r="L189" t="str">
        <f t="shared" si="5"/>
        <v>20.c.ps.180.622  - The Artist Series of Tallahassee, Inc.  $5128</v>
      </c>
    </row>
    <row r="190" spans="1:12" ht="15.75" x14ac:dyDescent="0.25">
      <c r="A190" s="15">
        <v>188</v>
      </c>
      <c r="B190" s="15" t="s">
        <v>423</v>
      </c>
      <c r="C190" s="15" t="s">
        <v>424</v>
      </c>
      <c r="D190" s="15" t="s">
        <v>28</v>
      </c>
      <c r="E190" s="16">
        <v>103827</v>
      </c>
      <c r="F190" s="15">
        <v>92.5</v>
      </c>
      <c r="G190" s="16">
        <v>103827</v>
      </c>
      <c r="H190" s="11">
        <f>'First Calculations'!P189</f>
        <v>18199</v>
      </c>
      <c r="I190" s="12"/>
      <c r="J190" s="13">
        <f t="shared" si="4"/>
        <v>0.17528195941325475</v>
      </c>
      <c r="L190" t="str">
        <f t="shared" si="5"/>
        <v>20.c.ps.142.132  - Miami New Drama  $18199</v>
      </c>
    </row>
    <row r="191" spans="1:12" ht="15.75" x14ac:dyDescent="0.25">
      <c r="A191" s="15">
        <v>189</v>
      </c>
      <c r="B191" s="15" t="s">
        <v>425</v>
      </c>
      <c r="C191" s="15" t="s">
        <v>426</v>
      </c>
      <c r="D191" s="15" t="s">
        <v>102</v>
      </c>
      <c r="E191" s="16">
        <v>22685</v>
      </c>
      <c r="F191" s="15">
        <v>92.5</v>
      </c>
      <c r="G191" s="16">
        <v>22685</v>
      </c>
      <c r="H191" s="11">
        <f>'First Calculations'!P190</f>
        <v>3988</v>
      </c>
      <c r="I191" s="12"/>
      <c r="J191" s="13">
        <f t="shared" si="4"/>
        <v>0.17579898611417236</v>
      </c>
      <c r="L191" t="str">
        <f t="shared" si="5"/>
        <v>20.c.ps.102.457  - The Choral Society of Pensacola, Inc.  $3988</v>
      </c>
    </row>
    <row r="192" spans="1:12" ht="25.5" x14ac:dyDescent="0.25">
      <c r="A192" s="15">
        <v>190</v>
      </c>
      <c r="B192" s="15" t="s">
        <v>427</v>
      </c>
      <c r="C192" s="15" t="s">
        <v>428</v>
      </c>
      <c r="D192" s="15" t="s">
        <v>57</v>
      </c>
      <c r="E192" s="16">
        <v>144895</v>
      </c>
      <c r="F192" s="15">
        <v>92.5</v>
      </c>
      <c r="G192" s="16">
        <v>144895</v>
      </c>
      <c r="H192" s="11">
        <f>'First Calculations'!P191</f>
        <v>25391</v>
      </c>
      <c r="I192" s="12"/>
      <c r="J192" s="13">
        <f t="shared" si="4"/>
        <v>0.17523724076055075</v>
      </c>
      <c r="L192" t="str">
        <f t="shared" si="5"/>
        <v>20.c.ps.600.040  - VSA Florida, Inc.  $25391</v>
      </c>
    </row>
    <row r="193" spans="1:12" ht="15.75" x14ac:dyDescent="0.25">
      <c r="A193" s="15">
        <v>191</v>
      </c>
      <c r="B193" s="15" t="s">
        <v>429</v>
      </c>
      <c r="C193" s="15" t="s">
        <v>430</v>
      </c>
      <c r="D193" s="15" t="s">
        <v>36</v>
      </c>
      <c r="E193" s="16">
        <v>44000</v>
      </c>
      <c r="F193" s="15">
        <v>92.5</v>
      </c>
      <c r="G193" s="16">
        <v>44000</v>
      </c>
      <c r="H193" s="11">
        <f>'First Calculations'!P192</f>
        <v>7721</v>
      </c>
      <c r="I193" s="12"/>
      <c r="J193" s="13">
        <f t="shared" si="4"/>
        <v>0.17547727272727273</v>
      </c>
      <c r="L193" t="str">
        <f t="shared" si="5"/>
        <v>20.c.ps.142.526  - Island City Stage, Inc.  $7721</v>
      </c>
    </row>
    <row r="194" spans="1:12" ht="25.5" x14ac:dyDescent="0.25">
      <c r="A194" s="15">
        <v>192</v>
      </c>
      <c r="B194" s="15" t="s">
        <v>431</v>
      </c>
      <c r="C194" s="15" t="s">
        <v>432</v>
      </c>
      <c r="D194" s="15" t="s">
        <v>57</v>
      </c>
      <c r="E194" s="16">
        <v>150000</v>
      </c>
      <c r="F194" s="15">
        <v>92.5</v>
      </c>
      <c r="G194" s="16">
        <v>150000</v>
      </c>
      <c r="H194" s="11">
        <f>'First Calculations'!P193</f>
        <v>26285</v>
      </c>
      <c r="I194" s="12"/>
      <c r="J194" s="13">
        <f t="shared" si="4"/>
        <v>0.17523333333333332</v>
      </c>
      <c r="L194" t="str">
        <f t="shared" si="5"/>
        <v>20.c.ps.170.232  - Children's Museum of Tampa, Inc.  $26285</v>
      </c>
    </row>
    <row r="195" spans="1:12" ht="15.75" x14ac:dyDescent="0.25">
      <c r="A195" s="15">
        <v>193</v>
      </c>
      <c r="B195" s="15" t="s">
        <v>433</v>
      </c>
      <c r="C195" s="15" t="s">
        <v>434</v>
      </c>
      <c r="D195" s="15" t="s">
        <v>73</v>
      </c>
      <c r="E195" s="16">
        <v>55615</v>
      </c>
      <c r="F195" s="15">
        <v>92.429000000000002</v>
      </c>
      <c r="G195" s="16">
        <v>55615</v>
      </c>
      <c r="H195" s="11">
        <f>'First Calculations'!P194</f>
        <v>9748</v>
      </c>
      <c r="I195" s="12"/>
      <c r="J195" s="13">
        <f t="shared" ref="J195:J258" si="6">H195/E195</f>
        <v>0.17527645419401242</v>
      </c>
      <c r="L195" t="str">
        <f t="shared" si="5"/>
        <v>20.c.ps.170.275  - Daytona State College  $9748</v>
      </c>
    </row>
    <row r="196" spans="1:12" ht="15.75" x14ac:dyDescent="0.25">
      <c r="A196" s="15">
        <v>194</v>
      </c>
      <c r="B196" s="15" t="s">
        <v>435</v>
      </c>
      <c r="C196" s="15" t="s">
        <v>436</v>
      </c>
      <c r="D196" s="15" t="s">
        <v>50</v>
      </c>
      <c r="E196" s="16">
        <v>62500</v>
      </c>
      <c r="F196" s="15">
        <v>92.429000000000002</v>
      </c>
      <c r="G196" s="16">
        <v>62500</v>
      </c>
      <c r="H196" s="11">
        <f>'First Calculations'!P195</f>
        <v>10953</v>
      </c>
      <c r="I196" s="12"/>
      <c r="J196" s="13">
        <f t="shared" si="6"/>
        <v>0.17524799999999999</v>
      </c>
      <c r="L196" t="str">
        <f t="shared" ref="L196:L259" si="7">B196&amp;" - "&amp;C196&amp;" $"&amp;H196</f>
        <v>20.c.ps.170.601  - Beaches Area Historical Society, Inc.  $10953</v>
      </c>
    </row>
    <row r="197" spans="1:12" ht="15.75" x14ac:dyDescent="0.25">
      <c r="A197" s="15">
        <v>195</v>
      </c>
      <c r="B197" s="15" t="s">
        <v>437</v>
      </c>
      <c r="C197" s="15" t="s">
        <v>438</v>
      </c>
      <c r="D197" s="15" t="s">
        <v>39</v>
      </c>
      <c r="E197" s="16">
        <v>125000</v>
      </c>
      <c r="F197" s="15">
        <v>92.429000000000002</v>
      </c>
      <c r="G197" s="16">
        <v>125000</v>
      </c>
      <c r="H197" s="11">
        <f>'First Calculations'!P196</f>
        <v>21890</v>
      </c>
      <c r="I197" s="12"/>
      <c r="J197" s="13">
        <f t="shared" si="6"/>
        <v>0.17512</v>
      </c>
      <c r="L197" t="str">
        <f t="shared" si="7"/>
        <v>20.c.ps.114.513  - School of the Arts Foundation, Inc.  $21890</v>
      </c>
    </row>
    <row r="198" spans="1:12" ht="15.75" x14ac:dyDescent="0.25">
      <c r="A198" s="15">
        <v>196</v>
      </c>
      <c r="B198" s="15" t="s">
        <v>439</v>
      </c>
      <c r="C198" s="15" t="s">
        <v>440</v>
      </c>
      <c r="D198" s="15" t="s">
        <v>39</v>
      </c>
      <c r="E198" s="16">
        <v>150000</v>
      </c>
      <c r="F198" s="15">
        <v>92.429000000000002</v>
      </c>
      <c r="G198" s="16">
        <v>150000</v>
      </c>
      <c r="H198" s="11">
        <f>'First Calculations'!P197</f>
        <v>26265</v>
      </c>
      <c r="I198" s="12"/>
      <c r="J198" s="13">
        <f t="shared" si="6"/>
        <v>0.17510000000000001</v>
      </c>
      <c r="L198" t="str">
        <f t="shared" si="7"/>
        <v>20.c.ps.170.168  - The Zoological Society of the Palm Beaches, Inc  $26265</v>
      </c>
    </row>
    <row r="199" spans="1:12" ht="15.75" x14ac:dyDescent="0.25">
      <c r="A199" s="15">
        <v>197</v>
      </c>
      <c r="B199" s="15" t="s">
        <v>441</v>
      </c>
      <c r="C199" s="15" t="s">
        <v>442</v>
      </c>
      <c r="D199" s="15" t="s">
        <v>50</v>
      </c>
      <c r="E199" s="16">
        <v>44070</v>
      </c>
      <c r="F199" s="15">
        <v>92.429000000000002</v>
      </c>
      <c r="G199" s="16">
        <v>44070</v>
      </c>
      <c r="H199" s="11">
        <f>'First Calculations'!P198</f>
        <v>7727</v>
      </c>
      <c r="I199" s="12"/>
      <c r="J199" s="13">
        <f t="shared" si="6"/>
        <v>0.17533469480372135</v>
      </c>
      <c r="L199" t="str">
        <f t="shared" si="7"/>
        <v>20.c.ps.102.104  - Beaches Fine Arts Series, Inc.  $7727</v>
      </c>
    </row>
    <row r="200" spans="1:12" ht="15.75" x14ac:dyDescent="0.25">
      <c r="A200" s="15">
        <v>198</v>
      </c>
      <c r="B200" s="15" t="s">
        <v>443</v>
      </c>
      <c r="C200" s="15" t="s">
        <v>444</v>
      </c>
      <c r="D200" s="15" t="s">
        <v>36</v>
      </c>
      <c r="E200" s="16">
        <v>84391</v>
      </c>
      <c r="F200" s="15">
        <v>92.4</v>
      </c>
      <c r="G200" s="16">
        <v>84391</v>
      </c>
      <c r="H200" s="11">
        <f>'First Calculations'!P199</f>
        <v>14779</v>
      </c>
      <c r="I200" s="12"/>
      <c r="J200" s="13">
        <f t="shared" si="6"/>
        <v>0.17512530957092581</v>
      </c>
      <c r="L200" t="str">
        <f t="shared" si="7"/>
        <v>20.c.ps.105.652  - Coral Springs Museum of Art, Inc.  $14779</v>
      </c>
    </row>
    <row r="201" spans="1:12" ht="15.75" x14ac:dyDescent="0.25">
      <c r="A201" s="15">
        <v>199</v>
      </c>
      <c r="B201" s="15" t="s">
        <v>445</v>
      </c>
      <c r="C201" s="15" t="s">
        <v>446</v>
      </c>
      <c r="D201" s="15" t="s">
        <v>115</v>
      </c>
      <c r="E201" s="16">
        <v>81000</v>
      </c>
      <c r="F201" s="15">
        <v>92.332999999999998</v>
      </c>
      <c r="G201" s="16">
        <v>81000</v>
      </c>
      <c r="H201" s="11">
        <f>'First Calculations'!P200</f>
        <v>14175</v>
      </c>
      <c r="I201" s="12"/>
      <c r="J201" s="13">
        <f t="shared" si="6"/>
        <v>0.17499999999999999</v>
      </c>
      <c r="L201" t="str">
        <f t="shared" si="7"/>
        <v>20.c.ps.170.028  - Florida State University  $14175</v>
      </c>
    </row>
    <row r="202" spans="1:12" ht="15.75" x14ac:dyDescent="0.25">
      <c r="A202" s="15">
        <v>200</v>
      </c>
      <c r="B202" s="15" t="s">
        <v>447</v>
      </c>
      <c r="C202" s="15" t="s">
        <v>448</v>
      </c>
      <c r="D202" s="15" t="s">
        <v>124</v>
      </c>
      <c r="E202" s="16">
        <v>93456</v>
      </c>
      <c r="F202" s="15">
        <v>92.332999999999998</v>
      </c>
      <c r="G202" s="16">
        <v>93456</v>
      </c>
      <c r="H202" s="11">
        <f>'First Calculations'!P201</f>
        <v>16353</v>
      </c>
      <c r="I202" s="12"/>
      <c r="J202" s="13">
        <f t="shared" si="6"/>
        <v>0.17498073959938368</v>
      </c>
      <c r="L202" t="str">
        <f t="shared" si="7"/>
        <v>20.c.ps.500.109  - Lee County Alliance of the Arts, Inc.  $16353</v>
      </c>
    </row>
    <row r="203" spans="1:12" ht="15.75" x14ac:dyDescent="0.25">
      <c r="A203" s="15">
        <v>201</v>
      </c>
      <c r="B203" s="15" t="s">
        <v>449</v>
      </c>
      <c r="C203" s="15" t="s">
        <v>450</v>
      </c>
      <c r="D203" s="15" t="s">
        <v>39</v>
      </c>
      <c r="E203" s="16">
        <v>150000</v>
      </c>
      <c r="F203" s="15">
        <v>92.332999999999998</v>
      </c>
      <c r="G203" s="16">
        <v>150000</v>
      </c>
      <c r="H203" s="11">
        <f>'First Calculations'!P202</f>
        <v>26238</v>
      </c>
      <c r="I203" s="12"/>
      <c r="J203" s="13">
        <f t="shared" si="6"/>
        <v>0.17491999999999999</v>
      </c>
      <c r="L203" t="str">
        <f t="shared" si="7"/>
        <v>20.c.ps.170.271  - The Morikami, Inc.  $26238</v>
      </c>
    </row>
    <row r="204" spans="1:12" ht="15.75" x14ac:dyDescent="0.25">
      <c r="A204" s="15">
        <v>202</v>
      </c>
      <c r="B204" s="15" t="s">
        <v>451</v>
      </c>
      <c r="C204" s="15" t="s">
        <v>452</v>
      </c>
      <c r="D204" s="15" t="s">
        <v>287</v>
      </c>
      <c r="E204" s="16">
        <v>150000</v>
      </c>
      <c r="F204" s="15">
        <v>92.332999999999998</v>
      </c>
      <c r="G204" s="16">
        <v>150000</v>
      </c>
      <c r="H204" s="11">
        <f>'First Calculations'!P203</f>
        <v>26238</v>
      </c>
      <c r="I204" s="12"/>
      <c r="J204" s="13">
        <f t="shared" si="6"/>
        <v>0.17491999999999999</v>
      </c>
      <c r="L204" t="str">
        <f t="shared" si="7"/>
        <v>20.c.ps.170.428  - Mel Fisher Maritime Heritage Society, Inc.  $26238</v>
      </c>
    </row>
    <row r="205" spans="1:12" ht="15.75" x14ac:dyDescent="0.25">
      <c r="A205" s="15">
        <v>203</v>
      </c>
      <c r="B205" s="15" t="s">
        <v>453</v>
      </c>
      <c r="C205" s="15" t="s">
        <v>454</v>
      </c>
      <c r="D205" s="15" t="s">
        <v>28</v>
      </c>
      <c r="E205" s="16">
        <v>150000</v>
      </c>
      <c r="F205" s="15">
        <v>92.286000000000001</v>
      </c>
      <c r="G205" s="16">
        <v>150000</v>
      </c>
      <c r="H205" s="11">
        <f>'First Calculations'!P204</f>
        <v>26225</v>
      </c>
      <c r="I205" s="12"/>
      <c r="J205" s="13">
        <f t="shared" si="6"/>
        <v>0.17483333333333334</v>
      </c>
      <c r="L205" t="str">
        <f t="shared" si="7"/>
        <v>20.c.ps.180.736  - Miami-Dade County Auditorium  $26225</v>
      </c>
    </row>
    <row r="206" spans="1:12" ht="15.75" x14ac:dyDescent="0.25">
      <c r="A206" s="15">
        <v>204</v>
      </c>
      <c r="B206" s="15" t="s">
        <v>455</v>
      </c>
      <c r="C206" s="15" t="s">
        <v>456</v>
      </c>
      <c r="D206" s="15" t="s">
        <v>28</v>
      </c>
      <c r="E206" s="16">
        <v>150000</v>
      </c>
      <c r="F206" s="15">
        <v>92.25</v>
      </c>
      <c r="G206" s="16">
        <v>150000</v>
      </c>
      <c r="H206" s="11">
        <f>'First Calculations'!P205</f>
        <v>26214</v>
      </c>
      <c r="I206" s="12"/>
      <c r="J206" s="13">
        <f t="shared" si="6"/>
        <v>0.17476</v>
      </c>
      <c r="L206" t="str">
        <f t="shared" si="7"/>
        <v>20.c.ps.109.194  - Center for the Advancement of Jewish Education, Inc.  $26214</v>
      </c>
    </row>
    <row r="207" spans="1:12" ht="15.75" x14ac:dyDescent="0.25">
      <c r="A207" s="15">
        <v>205</v>
      </c>
      <c r="B207" s="15" t="s">
        <v>457</v>
      </c>
      <c r="C207" s="15" t="s">
        <v>458</v>
      </c>
      <c r="D207" s="15" t="s">
        <v>39</v>
      </c>
      <c r="E207" s="16">
        <v>150000</v>
      </c>
      <c r="F207" s="15">
        <v>92.2</v>
      </c>
      <c r="G207" s="16">
        <v>150000</v>
      </c>
      <c r="H207" s="11">
        <f>'First Calculations'!P206</f>
        <v>26200</v>
      </c>
      <c r="I207" s="12"/>
      <c r="J207" s="13">
        <f t="shared" si="6"/>
        <v>0.17466666666666666</v>
      </c>
      <c r="L207" t="str">
        <f t="shared" si="7"/>
        <v>20.c.ps.105.642  - The Armory Art Center, Inc.  $26200</v>
      </c>
    </row>
    <row r="208" spans="1:12" ht="15.75" x14ac:dyDescent="0.25">
      <c r="A208" s="15">
        <v>206</v>
      </c>
      <c r="B208" s="15" t="s">
        <v>459</v>
      </c>
      <c r="C208" s="15" t="s">
        <v>460</v>
      </c>
      <c r="D208" s="15" t="s">
        <v>28</v>
      </c>
      <c r="E208" s="16">
        <v>40000</v>
      </c>
      <c r="F208" s="15">
        <v>92.167000000000002</v>
      </c>
      <c r="G208" s="16">
        <v>40000</v>
      </c>
      <c r="H208" s="11">
        <f>'First Calculations'!P207</f>
        <v>6995</v>
      </c>
      <c r="I208" s="12"/>
      <c r="J208" s="13">
        <f t="shared" si="6"/>
        <v>0.174875</v>
      </c>
      <c r="L208" t="str">
        <f t="shared" si="7"/>
        <v>20.c.ps.114.200  - Arts &amp; Business Council of Miami, Inc.  $6995</v>
      </c>
    </row>
    <row r="209" spans="1:12" ht="15.75" x14ac:dyDescent="0.25">
      <c r="A209" s="15">
        <v>207</v>
      </c>
      <c r="B209" s="15" t="s">
        <v>461</v>
      </c>
      <c r="C209" s="15" t="s">
        <v>462</v>
      </c>
      <c r="D209" s="15" t="s">
        <v>80</v>
      </c>
      <c r="E209" s="16">
        <v>25000</v>
      </c>
      <c r="F209" s="15">
        <v>92.167000000000002</v>
      </c>
      <c r="G209" s="16">
        <v>25000</v>
      </c>
      <c r="H209" s="11">
        <f>'First Calculations'!P208</f>
        <v>4378</v>
      </c>
      <c r="I209" s="12"/>
      <c r="J209" s="13">
        <f t="shared" si="6"/>
        <v>0.17512</v>
      </c>
      <c r="L209" t="str">
        <f t="shared" si="7"/>
        <v>20.c.ps.200.532  - In Touch with Communities Around the World DBA Arts Conservatory for Teens  $4378</v>
      </c>
    </row>
    <row r="210" spans="1:12" ht="15.75" x14ac:dyDescent="0.25">
      <c r="A210" s="15">
        <v>208</v>
      </c>
      <c r="B210" s="15" t="s">
        <v>463</v>
      </c>
      <c r="C210" s="15" t="s">
        <v>464</v>
      </c>
      <c r="D210" s="15" t="s">
        <v>287</v>
      </c>
      <c r="E210" s="16">
        <v>67000</v>
      </c>
      <c r="F210" s="15">
        <v>92.167000000000002</v>
      </c>
      <c r="G210" s="16">
        <v>67000</v>
      </c>
      <c r="H210" s="11">
        <f>'First Calculations'!P209</f>
        <v>11707</v>
      </c>
      <c r="I210" s="12"/>
      <c r="J210" s="13">
        <f t="shared" si="6"/>
        <v>0.17473134328358209</v>
      </c>
      <c r="L210" t="str">
        <f t="shared" si="7"/>
        <v>20.c.ps.170.558  - Key West Botanical Garden Society, Inc.  $11707</v>
      </c>
    </row>
    <row r="211" spans="1:12" ht="15.75" x14ac:dyDescent="0.25">
      <c r="A211" s="15">
        <v>209</v>
      </c>
      <c r="B211" s="15" t="s">
        <v>465</v>
      </c>
      <c r="C211" s="15" t="s">
        <v>466</v>
      </c>
      <c r="D211" s="15" t="s">
        <v>124</v>
      </c>
      <c r="E211" s="16">
        <v>50000</v>
      </c>
      <c r="F211" s="15">
        <v>92.167000000000002</v>
      </c>
      <c r="G211" s="16">
        <v>50000</v>
      </c>
      <c r="H211" s="11">
        <f>'First Calculations'!P210</f>
        <v>8740</v>
      </c>
      <c r="I211" s="12"/>
      <c r="J211" s="13">
        <f t="shared" si="6"/>
        <v>0.17480000000000001</v>
      </c>
      <c r="L211" t="str">
        <f t="shared" si="7"/>
        <v>20.c.ps.114.312  - Ding Darling Wildlife Society, Inc.  $8740</v>
      </c>
    </row>
    <row r="212" spans="1:12" ht="15.75" x14ac:dyDescent="0.25">
      <c r="A212" s="15">
        <v>210</v>
      </c>
      <c r="B212" s="15" t="s">
        <v>467</v>
      </c>
      <c r="C212" s="15" t="s">
        <v>468</v>
      </c>
      <c r="D212" s="15" t="s">
        <v>469</v>
      </c>
      <c r="E212" s="16">
        <v>90000</v>
      </c>
      <c r="F212" s="15">
        <v>92.167000000000002</v>
      </c>
      <c r="G212" s="16">
        <v>90000</v>
      </c>
      <c r="H212" s="11">
        <f>'First Calculations'!P211</f>
        <v>15720</v>
      </c>
      <c r="I212" s="12"/>
      <c r="J212" s="13">
        <f t="shared" si="6"/>
        <v>0.17466666666666666</v>
      </c>
      <c r="L212" t="str">
        <f t="shared" si="7"/>
        <v>20.c.ps.180.123  - South Florida State College  $15720</v>
      </c>
    </row>
    <row r="213" spans="1:12" ht="15.75" x14ac:dyDescent="0.25">
      <c r="A213" s="15">
        <v>211</v>
      </c>
      <c r="B213" s="15" t="s">
        <v>470</v>
      </c>
      <c r="C213" s="15" t="s">
        <v>471</v>
      </c>
      <c r="D213" s="15" t="s">
        <v>124</v>
      </c>
      <c r="E213" s="16">
        <v>94000</v>
      </c>
      <c r="F213" s="15">
        <v>92.143000000000001</v>
      </c>
      <c r="G213" s="16">
        <v>94000</v>
      </c>
      <c r="H213" s="11">
        <f>'First Calculations'!P212</f>
        <v>16414</v>
      </c>
      <c r="I213" s="12"/>
      <c r="J213" s="13">
        <f t="shared" si="6"/>
        <v>0.17461702127659576</v>
      </c>
      <c r="L213" t="str">
        <f t="shared" si="7"/>
        <v>20.c.ps.114.643  - Florida Arts, Inc.  $16414</v>
      </c>
    </row>
    <row r="214" spans="1:12" ht="15.75" x14ac:dyDescent="0.25">
      <c r="A214" s="15">
        <v>212</v>
      </c>
      <c r="B214" s="15" t="s">
        <v>472</v>
      </c>
      <c r="C214" s="15" t="s">
        <v>473</v>
      </c>
      <c r="D214" s="15" t="s">
        <v>36</v>
      </c>
      <c r="E214" s="16">
        <v>12800</v>
      </c>
      <c r="F214" s="15">
        <v>92.143000000000001</v>
      </c>
      <c r="G214" s="16">
        <v>12800</v>
      </c>
      <c r="H214" s="11">
        <f>'First Calculations'!P213</f>
        <v>2248</v>
      </c>
      <c r="I214" s="12"/>
      <c r="J214" s="13">
        <f t="shared" si="6"/>
        <v>0.175625</v>
      </c>
      <c r="L214" t="str">
        <f t="shared" si="7"/>
        <v>20.c.ps.114.520  - Broward College  $2248</v>
      </c>
    </row>
    <row r="215" spans="1:12" ht="15.75" x14ac:dyDescent="0.25">
      <c r="A215" s="15">
        <v>213</v>
      </c>
      <c r="B215" s="15" t="s">
        <v>474</v>
      </c>
      <c r="C215" s="15" t="s">
        <v>475</v>
      </c>
      <c r="D215" s="15" t="s">
        <v>28</v>
      </c>
      <c r="E215" s="16">
        <v>19398</v>
      </c>
      <c r="F215" s="15">
        <v>92.143000000000001</v>
      </c>
      <c r="G215" s="16">
        <v>19398</v>
      </c>
      <c r="H215" s="11">
        <f>'First Calculations'!P214</f>
        <v>3399</v>
      </c>
      <c r="I215" s="12"/>
      <c r="J215" s="13">
        <f t="shared" si="6"/>
        <v>0.17522424992267244</v>
      </c>
      <c r="L215" t="str">
        <f t="shared" si="7"/>
        <v>20.c.ps.141.547  - Seminole Cultural Arts Theatre, Inc.  $3399</v>
      </c>
    </row>
    <row r="216" spans="1:12" ht="15.75" x14ac:dyDescent="0.25">
      <c r="A216" s="15">
        <v>214</v>
      </c>
      <c r="B216" s="15" t="s">
        <v>476</v>
      </c>
      <c r="C216" s="15" t="s">
        <v>477</v>
      </c>
      <c r="D216" s="15" t="s">
        <v>95</v>
      </c>
      <c r="E216" s="16">
        <v>52600</v>
      </c>
      <c r="F216" s="15">
        <v>92.143000000000001</v>
      </c>
      <c r="G216" s="16">
        <v>52600</v>
      </c>
      <c r="H216" s="11">
        <f>'First Calculations'!P215</f>
        <v>9192</v>
      </c>
      <c r="I216" s="12"/>
      <c r="J216" s="13">
        <f t="shared" si="6"/>
        <v>0.17475285171102661</v>
      </c>
      <c r="L216" t="str">
        <f t="shared" si="7"/>
        <v>20.c.ps.170.212  - Amelia Island Museum of History, Inc.  $9192</v>
      </c>
    </row>
    <row r="217" spans="1:12" ht="15.75" x14ac:dyDescent="0.25">
      <c r="A217" s="15">
        <v>215</v>
      </c>
      <c r="B217" s="15" t="s">
        <v>478</v>
      </c>
      <c r="C217" s="15" t="s">
        <v>479</v>
      </c>
      <c r="D217" s="15" t="s">
        <v>36</v>
      </c>
      <c r="E217" s="16">
        <v>150000</v>
      </c>
      <c r="F217" s="15">
        <v>92.125</v>
      </c>
      <c r="G217" s="16">
        <v>150000</v>
      </c>
      <c r="H217" s="11">
        <f>'First Calculations'!P216</f>
        <v>26179</v>
      </c>
      <c r="I217" s="12"/>
      <c r="J217" s="13">
        <f t="shared" si="6"/>
        <v>0.17452666666666666</v>
      </c>
      <c r="L217" t="str">
        <f t="shared" si="7"/>
        <v>20.c.ps.102.238  - South Florida Symphony Orchestra  $26179</v>
      </c>
    </row>
    <row r="218" spans="1:12" ht="15.75" x14ac:dyDescent="0.25">
      <c r="A218" s="15">
        <v>216</v>
      </c>
      <c r="B218" s="15" t="s">
        <v>480</v>
      </c>
      <c r="C218" s="15" t="s">
        <v>481</v>
      </c>
      <c r="D218" s="15" t="s">
        <v>50</v>
      </c>
      <c r="E218" s="16">
        <v>25000</v>
      </c>
      <c r="F218" s="15">
        <v>92</v>
      </c>
      <c r="G218" s="16">
        <v>25000</v>
      </c>
      <c r="H218" s="11">
        <f>'First Calculations'!P217</f>
        <v>4370</v>
      </c>
      <c r="I218" s="12"/>
      <c r="J218" s="13">
        <f t="shared" si="6"/>
        <v>0.17480000000000001</v>
      </c>
      <c r="L218" t="str">
        <f t="shared" si="7"/>
        <v>20.c.ps.114.605  - Downtown Vision Alliance, Inc.  $4370</v>
      </c>
    </row>
    <row r="219" spans="1:12" ht="15.75" x14ac:dyDescent="0.25">
      <c r="A219" s="15">
        <v>217</v>
      </c>
      <c r="B219" s="15" t="s">
        <v>482</v>
      </c>
      <c r="C219" s="15" t="s">
        <v>483</v>
      </c>
      <c r="D219" s="15" t="s">
        <v>133</v>
      </c>
      <c r="E219" s="16">
        <v>150000</v>
      </c>
      <c r="F219" s="15">
        <v>92</v>
      </c>
      <c r="G219" s="16">
        <v>150000</v>
      </c>
      <c r="H219" s="11">
        <f>'First Calculations'!P218</f>
        <v>26143</v>
      </c>
      <c r="I219" s="12"/>
      <c r="J219" s="13">
        <f t="shared" si="6"/>
        <v>0.17428666666666667</v>
      </c>
      <c r="L219" t="str">
        <f t="shared" si="7"/>
        <v>20.c.ps.170.549  - South Florida Museum and Bishop Planetarium, Inc.  $26143</v>
      </c>
    </row>
    <row r="220" spans="1:12" ht="15.75" x14ac:dyDescent="0.25">
      <c r="A220" s="15">
        <v>218</v>
      </c>
      <c r="B220" s="15" t="s">
        <v>484</v>
      </c>
      <c r="C220" s="15" t="s">
        <v>485</v>
      </c>
      <c r="D220" s="15" t="s">
        <v>87</v>
      </c>
      <c r="E220" s="16">
        <v>150000</v>
      </c>
      <c r="F220" s="15">
        <v>92</v>
      </c>
      <c r="G220" s="16">
        <v>150000</v>
      </c>
      <c r="H220" s="11">
        <f>'First Calculations'!P219</f>
        <v>26143</v>
      </c>
      <c r="I220" s="12"/>
      <c r="J220" s="13">
        <f t="shared" si="6"/>
        <v>0.17428666666666667</v>
      </c>
      <c r="L220" t="str">
        <f t="shared" si="7"/>
        <v>20.c.ps.170.106  - Orlando Museum of Art, Inc.  $26143</v>
      </c>
    </row>
    <row r="221" spans="1:12" ht="15.75" x14ac:dyDescent="0.25">
      <c r="A221" s="15">
        <v>219</v>
      </c>
      <c r="B221" s="15" t="s">
        <v>486</v>
      </c>
      <c r="C221" s="15" t="s">
        <v>487</v>
      </c>
      <c r="D221" s="15" t="s">
        <v>67</v>
      </c>
      <c r="E221" s="16">
        <v>150000</v>
      </c>
      <c r="F221" s="15">
        <v>92</v>
      </c>
      <c r="G221" s="16">
        <v>150000</v>
      </c>
      <c r="H221" s="11">
        <f>'First Calculations'!P220</f>
        <v>26143</v>
      </c>
      <c r="I221" s="12"/>
      <c r="J221" s="13">
        <f t="shared" si="6"/>
        <v>0.17428666666666667</v>
      </c>
      <c r="L221" t="str">
        <f t="shared" si="7"/>
        <v>20.c.ps.142.740  - The Hippodrome State Theatre, Inc.  $26143</v>
      </c>
    </row>
    <row r="222" spans="1:12" ht="15.75" x14ac:dyDescent="0.25">
      <c r="A222" s="15">
        <v>220</v>
      </c>
      <c r="B222" s="15" t="s">
        <v>488</v>
      </c>
      <c r="C222" s="15" t="s">
        <v>489</v>
      </c>
      <c r="D222" s="15" t="s">
        <v>136</v>
      </c>
      <c r="E222" s="16">
        <v>102816</v>
      </c>
      <c r="F222" s="15">
        <v>92</v>
      </c>
      <c r="G222" s="16">
        <v>102816</v>
      </c>
      <c r="H222" s="11">
        <f>'First Calculations'!P221</f>
        <v>17924</v>
      </c>
      <c r="I222" s="12"/>
      <c r="J222" s="13">
        <f t="shared" si="6"/>
        <v>0.17433084344849051</v>
      </c>
      <c r="L222" t="str">
        <f t="shared" si="7"/>
        <v>20.c.ps.180.608  - Polk Theatre, Inc.  $17924</v>
      </c>
    </row>
    <row r="223" spans="1:12" ht="15.75" x14ac:dyDescent="0.25">
      <c r="A223" s="15">
        <v>221</v>
      </c>
      <c r="B223" s="15" t="s">
        <v>490</v>
      </c>
      <c r="C223" s="15" t="s">
        <v>491</v>
      </c>
      <c r="D223" s="15" t="s">
        <v>388</v>
      </c>
      <c r="E223" s="16">
        <v>90000</v>
      </c>
      <c r="F223" s="15">
        <v>92</v>
      </c>
      <c r="G223" s="16">
        <v>90000</v>
      </c>
      <c r="H223" s="11">
        <f>'First Calculations'!P222</f>
        <v>15692</v>
      </c>
      <c r="I223" s="12"/>
      <c r="J223" s="13">
        <f t="shared" si="6"/>
        <v>0.17435555555555557</v>
      </c>
      <c r="L223" t="str">
        <f t="shared" si="7"/>
        <v>20.c.ps.102.454  - Atlantic Classical Orchestra, Inc.  $15692</v>
      </c>
    </row>
    <row r="224" spans="1:12" ht="15.75" x14ac:dyDescent="0.25">
      <c r="A224" s="15">
        <v>222</v>
      </c>
      <c r="B224" s="15" t="s">
        <v>492</v>
      </c>
      <c r="C224" s="15" t="s">
        <v>493</v>
      </c>
      <c r="D224" s="15" t="s">
        <v>115</v>
      </c>
      <c r="E224" s="16">
        <v>125000</v>
      </c>
      <c r="F224" s="15">
        <v>92</v>
      </c>
      <c r="G224" s="16">
        <v>125000</v>
      </c>
      <c r="H224" s="11">
        <f>'First Calculations'!P223</f>
        <v>21789</v>
      </c>
      <c r="I224" s="12"/>
      <c r="J224" s="13">
        <f t="shared" si="6"/>
        <v>0.17431199999999999</v>
      </c>
      <c r="L224" t="str">
        <f t="shared" si="7"/>
        <v>20.c.ps.114.502  - Tallahassee Community College  $21789</v>
      </c>
    </row>
    <row r="225" spans="1:12" ht="15.75" x14ac:dyDescent="0.25">
      <c r="A225" s="15">
        <v>223</v>
      </c>
      <c r="B225" s="15" t="s">
        <v>494</v>
      </c>
      <c r="C225" s="15" t="s">
        <v>495</v>
      </c>
      <c r="D225" s="15" t="s">
        <v>115</v>
      </c>
      <c r="E225" s="16">
        <v>87500</v>
      </c>
      <c r="F225" s="15">
        <v>92</v>
      </c>
      <c r="G225" s="16">
        <v>87500</v>
      </c>
      <c r="H225" s="11">
        <f>'First Calculations'!P224</f>
        <v>15256</v>
      </c>
      <c r="I225" s="12"/>
      <c r="J225" s="13">
        <f t="shared" si="6"/>
        <v>0.17435428571428571</v>
      </c>
      <c r="L225" t="str">
        <f t="shared" si="7"/>
        <v>20.c.ps.114.436  - Goodwood Museum and Gardens, Inc.  $15256</v>
      </c>
    </row>
    <row r="226" spans="1:12" ht="15.75" x14ac:dyDescent="0.25">
      <c r="A226" s="15">
        <v>224</v>
      </c>
      <c r="B226" s="15" t="s">
        <v>496</v>
      </c>
      <c r="C226" s="15" t="s">
        <v>497</v>
      </c>
      <c r="D226" s="15" t="s">
        <v>28</v>
      </c>
      <c r="E226" s="16">
        <v>25000</v>
      </c>
      <c r="F226" s="15">
        <v>92</v>
      </c>
      <c r="G226" s="16">
        <v>25000</v>
      </c>
      <c r="H226" s="11">
        <f>'First Calculations'!P225</f>
        <v>4370</v>
      </c>
      <c r="I226" s="12"/>
      <c r="J226" s="13">
        <f t="shared" si="6"/>
        <v>0.17480000000000001</v>
      </c>
      <c r="L226" t="str">
        <f t="shared" si="7"/>
        <v>20.c.ps.114.262  - AmplifyMe, Inc  $4370</v>
      </c>
    </row>
    <row r="227" spans="1:12" ht="15.75" x14ac:dyDescent="0.25">
      <c r="A227" s="15">
        <v>225</v>
      </c>
      <c r="B227" s="15" t="s">
        <v>498</v>
      </c>
      <c r="C227" s="15" t="s">
        <v>499</v>
      </c>
      <c r="D227" s="15" t="s">
        <v>28</v>
      </c>
      <c r="E227" s="16">
        <v>5000</v>
      </c>
      <c r="F227" s="15">
        <v>92</v>
      </c>
      <c r="G227" s="16">
        <v>5000</v>
      </c>
      <c r="H227" s="11">
        <f>'First Calculations'!P226</f>
        <v>1000</v>
      </c>
      <c r="I227" s="12"/>
      <c r="J227" s="13">
        <f t="shared" si="6"/>
        <v>0.2</v>
      </c>
      <c r="L227" t="str">
        <f t="shared" si="7"/>
        <v>20.c.ps.142.036  - El Ingenio, Inc.  $1000</v>
      </c>
    </row>
    <row r="228" spans="1:12" ht="15.75" x14ac:dyDescent="0.25">
      <c r="A228" s="15">
        <v>226</v>
      </c>
      <c r="B228" s="15" t="s">
        <v>500</v>
      </c>
      <c r="C228" s="15" t="s">
        <v>501</v>
      </c>
      <c r="D228" s="15" t="s">
        <v>115</v>
      </c>
      <c r="E228" s="16">
        <v>90000</v>
      </c>
      <c r="F228" s="15">
        <v>92</v>
      </c>
      <c r="G228" s="16">
        <v>90000</v>
      </c>
      <c r="H228" s="11">
        <f>'First Calculations'!P227</f>
        <v>15692</v>
      </c>
      <c r="I228" s="12"/>
      <c r="J228" s="13">
        <f t="shared" si="6"/>
        <v>0.17435555555555557</v>
      </c>
      <c r="L228" t="str">
        <f t="shared" si="7"/>
        <v>20.c.ps.141.215  - Young Actors Theatre of Tallahassee, Inc.  $15692</v>
      </c>
    </row>
    <row r="229" spans="1:12" ht="15.75" x14ac:dyDescent="0.25">
      <c r="A229" s="15">
        <v>227</v>
      </c>
      <c r="B229" s="15" t="s">
        <v>502</v>
      </c>
      <c r="C229" s="15" t="s">
        <v>503</v>
      </c>
      <c r="D229" s="15" t="s">
        <v>28</v>
      </c>
      <c r="E229" s="16">
        <v>25000</v>
      </c>
      <c r="F229" s="15">
        <v>92</v>
      </c>
      <c r="G229" s="16">
        <v>25000</v>
      </c>
      <c r="H229" s="11">
        <f>'First Calculations'!P228</f>
        <v>4370</v>
      </c>
      <c r="I229" s="12"/>
      <c r="J229" s="13">
        <f t="shared" si="6"/>
        <v>0.17480000000000001</v>
      </c>
      <c r="L229" t="str">
        <f t="shared" si="7"/>
        <v>20.c.ps.114.682  - Marjory Stoneman Douglas Biscayne Nature Center, Inc.  $4370</v>
      </c>
    </row>
    <row r="230" spans="1:12" ht="15.75" x14ac:dyDescent="0.25">
      <c r="A230" s="15">
        <v>228</v>
      </c>
      <c r="B230" s="15" t="s">
        <v>504</v>
      </c>
      <c r="C230" s="15" t="s">
        <v>505</v>
      </c>
      <c r="D230" s="15" t="s">
        <v>33</v>
      </c>
      <c r="E230" s="16">
        <v>90000</v>
      </c>
      <c r="F230" s="15">
        <v>92</v>
      </c>
      <c r="G230" s="16">
        <v>90000</v>
      </c>
      <c r="H230" s="11">
        <f>'First Calculations'!P229</f>
        <v>15692</v>
      </c>
      <c r="I230" s="12"/>
      <c r="J230" s="13">
        <f t="shared" si="6"/>
        <v>0.17435555555555557</v>
      </c>
      <c r="L230" t="str">
        <f t="shared" si="7"/>
        <v>20.c.ps.105.042  - Coexistence, Inc.  $15692</v>
      </c>
    </row>
    <row r="231" spans="1:12" ht="15.75" x14ac:dyDescent="0.25">
      <c r="A231" s="15">
        <v>229</v>
      </c>
      <c r="B231" s="15" t="s">
        <v>506</v>
      </c>
      <c r="C231" s="15" t="s">
        <v>507</v>
      </c>
      <c r="D231" s="15" t="s">
        <v>80</v>
      </c>
      <c r="E231" s="16">
        <v>150000</v>
      </c>
      <c r="F231" s="15">
        <v>91.856999999999999</v>
      </c>
      <c r="G231" s="16">
        <v>150000</v>
      </c>
      <c r="H231" s="11">
        <f>'First Calculations'!P230</f>
        <v>26103</v>
      </c>
      <c r="I231" s="12"/>
      <c r="J231" s="13">
        <f t="shared" si="6"/>
        <v>0.17402000000000001</v>
      </c>
      <c r="L231" t="str">
        <f t="shared" si="7"/>
        <v>20.c.ps.180.460  - Clearwater Jazz Holiday Foundation, Inc.  $26103</v>
      </c>
    </row>
    <row r="232" spans="1:12" ht="15.75" x14ac:dyDescent="0.25">
      <c r="A232" s="15">
        <v>230</v>
      </c>
      <c r="B232" s="15" t="s">
        <v>508</v>
      </c>
      <c r="C232" s="15" t="s">
        <v>509</v>
      </c>
      <c r="D232" s="15" t="s">
        <v>510</v>
      </c>
      <c r="E232" s="16">
        <v>18420</v>
      </c>
      <c r="F232" s="15">
        <v>91.832999999999998</v>
      </c>
      <c r="G232" s="16">
        <v>18420</v>
      </c>
      <c r="H232" s="11">
        <f>'First Calculations'!P231</f>
        <v>3218</v>
      </c>
      <c r="I232" s="12"/>
      <c r="J232" s="13">
        <f t="shared" si="6"/>
        <v>0.1747014115092291</v>
      </c>
      <c r="L232" t="str">
        <f t="shared" si="7"/>
        <v>20.c.ps.170.387  - Flagler Beach Historical Museum, Inc.  $3218</v>
      </c>
    </row>
    <row r="233" spans="1:12" ht="15.75" x14ac:dyDescent="0.25">
      <c r="A233" s="15">
        <v>231</v>
      </c>
      <c r="B233" s="15" t="s">
        <v>511</v>
      </c>
      <c r="C233" s="15" t="s">
        <v>512</v>
      </c>
      <c r="D233" s="15" t="s">
        <v>36</v>
      </c>
      <c r="E233" s="16">
        <v>150000</v>
      </c>
      <c r="F233" s="15">
        <v>91.832999999999998</v>
      </c>
      <c r="G233" s="16">
        <v>150000</v>
      </c>
      <c r="H233" s="11">
        <f>'First Calculations'!P232</f>
        <v>26096</v>
      </c>
      <c r="I233" s="12"/>
      <c r="J233" s="13">
        <f t="shared" si="6"/>
        <v>0.17397333333333334</v>
      </c>
      <c r="L233" t="str">
        <f t="shared" si="7"/>
        <v>20.c.ps.500.546  - Broward County  $26096</v>
      </c>
    </row>
    <row r="234" spans="1:12" ht="15.75" x14ac:dyDescent="0.25">
      <c r="A234" s="15">
        <v>232</v>
      </c>
      <c r="B234" s="15" t="s">
        <v>513</v>
      </c>
      <c r="C234" s="15" t="s">
        <v>514</v>
      </c>
      <c r="D234" s="15" t="s">
        <v>33</v>
      </c>
      <c r="E234" s="16">
        <v>60900</v>
      </c>
      <c r="F234" s="15">
        <v>91.8</v>
      </c>
      <c r="G234" s="16">
        <v>60900</v>
      </c>
      <c r="H234" s="11">
        <f>'First Calculations'!P233</f>
        <v>10600</v>
      </c>
      <c r="I234" s="12"/>
      <c r="J234" s="13">
        <f t="shared" si="6"/>
        <v>0.17405582922824303</v>
      </c>
      <c r="L234" t="str">
        <f t="shared" si="7"/>
        <v>20.c.ps.105.709  - Art Center Sarasota Inc.  $10600</v>
      </c>
    </row>
    <row r="235" spans="1:12" ht="15.75" x14ac:dyDescent="0.25">
      <c r="A235" s="15">
        <v>233</v>
      </c>
      <c r="B235" s="15" t="s">
        <v>515</v>
      </c>
      <c r="C235" s="15" t="s">
        <v>516</v>
      </c>
      <c r="D235" s="15" t="s">
        <v>33</v>
      </c>
      <c r="E235" s="16">
        <v>150000</v>
      </c>
      <c r="F235" s="15">
        <v>91.75</v>
      </c>
      <c r="G235" s="16">
        <v>150000</v>
      </c>
      <c r="H235" s="11">
        <f>'First Calculations'!P234</f>
        <v>26072</v>
      </c>
      <c r="I235" s="12"/>
      <c r="J235" s="13">
        <f t="shared" si="6"/>
        <v>0.17381333333333332</v>
      </c>
      <c r="L235" t="str">
        <f t="shared" si="7"/>
        <v>20.c.ps.102.548  - Sarasota Opera Association, Inc.  $26072</v>
      </c>
    </row>
    <row r="236" spans="1:12" ht="15.75" x14ac:dyDescent="0.25">
      <c r="A236" s="15">
        <v>234</v>
      </c>
      <c r="B236" s="15" t="s">
        <v>517</v>
      </c>
      <c r="C236" s="15" t="s">
        <v>518</v>
      </c>
      <c r="D236" s="15" t="s">
        <v>28</v>
      </c>
      <c r="E236" s="16">
        <v>150000</v>
      </c>
      <c r="F236" s="15">
        <v>91.713999999999999</v>
      </c>
      <c r="G236" s="16">
        <v>150000</v>
      </c>
      <c r="H236" s="11">
        <f>'First Calculations'!P235</f>
        <v>26062</v>
      </c>
      <c r="I236" s="12"/>
      <c r="J236" s="13">
        <f t="shared" si="6"/>
        <v>0.17374666666666666</v>
      </c>
      <c r="L236" t="str">
        <f t="shared" si="7"/>
        <v>20.c.ps.170.323  - Historical Association of Southern Florida, Inc.  $26062</v>
      </c>
    </row>
    <row r="237" spans="1:12" ht="15.75" x14ac:dyDescent="0.25">
      <c r="A237" s="15">
        <v>235</v>
      </c>
      <c r="B237" s="15" t="s">
        <v>519</v>
      </c>
      <c r="C237" s="15" t="s">
        <v>520</v>
      </c>
      <c r="D237" s="15" t="s">
        <v>28</v>
      </c>
      <c r="E237" s="16">
        <v>25000</v>
      </c>
      <c r="F237" s="15">
        <v>91.713999999999999</v>
      </c>
      <c r="G237" s="16">
        <v>25000</v>
      </c>
      <c r="H237" s="11">
        <f>'First Calculations'!P236</f>
        <v>4356</v>
      </c>
      <c r="I237" s="12"/>
      <c r="J237" s="13">
        <f t="shared" si="6"/>
        <v>0.17424000000000001</v>
      </c>
      <c r="L237" t="str">
        <f t="shared" si="7"/>
        <v>20.c.ps.102.489  - Nu Deco Ensemble, Inc.  $4356</v>
      </c>
    </row>
    <row r="238" spans="1:12" ht="15.75" x14ac:dyDescent="0.25">
      <c r="A238" s="15">
        <v>236</v>
      </c>
      <c r="B238" s="15" t="s">
        <v>521</v>
      </c>
      <c r="C238" s="15" t="s">
        <v>522</v>
      </c>
      <c r="D238" s="15" t="s">
        <v>50</v>
      </c>
      <c r="E238" s="16">
        <v>150000</v>
      </c>
      <c r="F238" s="15">
        <v>91.667000000000002</v>
      </c>
      <c r="G238" s="16">
        <v>150000</v>
      </c>
      <c r="H238" s="11">
        <f>'First Calculations'!P237</f>
        <v>26049</v>
      </c>
      <c r="I238" s="12"/>
      <c r="J238" s="13">
        <f t="shared" si="6"/>
        <v>0.17366000000000001</v>
      </c>
      <c r="L238" t="str">
        <f t="shared" si="7"/>
        <v>20.c.ps.170.735  - Museum of Contemporary Art Jacksonville, Inc.  $26049</v>
      </c>
    </row>
    <row r="239" spans="1:12" ht="15.75" x14ac:dyDescent="0.25">
      <c r="A239" s="15">
        <v>237</v>
      </c>
      <c r="B239" s="15" t="s">
        <v>523</v>
      </c>
      <c r="C239" s="15" t="s">
        <v>524</v>
      </c>
      <c r="D239" s="15" t="s">
        <v>80</v>
      </c>
      <c r="E239" s="16">
        <v>150000</v>
      </c>
      <c r="F239" s="15">
        <v>91.6</v>
      </c>
      <c r="G239" s="16">
        <v>150000</v>
      </c>
      <c r="H239" s="11">
        <f>'First Calculations'!P238</f>
        <v>26030</v>
      </c>
      <c r="I239" s="12"/>
      <c r="J239" s="13">
        <f t="shared" si="6"/>
        <v>0.17353333333333334</v>
      </c>
      <c r="L239" t="str">
        <f t="shared" si="7"/>
        <v>20.c.ps.105.705  - The Dunedin Fine Art Center, Inc.  $26030</v>
      </c>
    </row>
    <row r="240" spans="1:12" ht="15.75" x14ac:dyDescent="0.25">
      <c r="A240" s="15">
        <v>238</v>
      </c>
      <c r="B240" s="15" t="s">
        <v>525</v>
      </c>
      <c r="C240" s="15" t="s">
        <v>526</v>
      </c>
      <c r="D240" s="15" t="s">
        <v>80</v>
      </c>
      <c r="E240" s="16">
        <v>35510</v>
      </c>
      <c r="F240" s="15">
        <v>91.570999999999998</v>
      </c>
      <c r="G240" s="16">
        <v>35510</v>
      </c>
      <c r="H240" s="11">
        <f>'First Calculations'!P239</f>
        <v>6172</v>
      </c>
      <c r="I240" s="12"/>
      <c r="J240" s="13">
        <f t="shared" si="6"/>
        <v>0.17381019431146155</v>
      </c>
      <c r="L240" t="str">
        <f t="shared" si="7"/>
        <v>20.c.ps.114.093  - The Studio @ 620, Inc.  $6172</v>
      </c>
    </row>
    <row r="241" spans="1:12" ht="15.75" x14ac:dyDescent="0.25">
      <c r="A241" s="15">
        <v>239</v>
      </c>
      <c r="B241" s="15" t="s">
        <v>527</v>
      </c>
      <c r="C241" s="15" t="s">
        <v>528</v>
      </c>
      <c r="D241" s="15" t="s">
        <v>136</v>
      </c>
      <c r="E241" s="16">
        <v>150000</v>
      </c>
      <c r="F241" s="15">
        <v>91.570999999999998</v>
      </c>
      <c r="G241" s="16">
        <v>150000</v>
      </c>
      <c r="H241" s="11">
        <f>'First Calculations'!P240</f>
        <v>26021</v>
      </c>
      <c r="I241" s="12"/>
      <c r="J241" s="13">
        <f t="shared" si="6"/>
        <v>0.17347333333333334</v>
      </c>
      <c r="L241" t="str">
        <f t="shared" si="7"/>
        <v>20.c.ps.170.706  - Polk Museum of Art, Inc.  $26021</v>
      </c>
    </row>
    <row r="242" spans="1:12" ht="15.75" x14ac:dyDescent="0.25">
      <c r="A242" s="15">
        <v>240</v>
      </c>
      <c r="B242" s="15" t="s">
        <v>529</v>
      </c>
      <c r="C242" s="15" t="s">
        <v>530</v>
      </c>
      <c r="D242" s="15" t="s">
        <v>90</v>
      </c>
      <c r="E242" s="16">
        <v>25000</v>
      </c>
      <c r="F242" s="15">
        <v>91.5</v>
      </c>
      <c r="G242" s="16">
        <v>25000</v>
      </c>
      <c r="H242" s="11">
        <f>'First Calculations'!P241</f>
        <v>4346</v>
      </c>
      <c r="I242" s="12"/>
      <c r="J242" s="13">
        <f t="shared" si="6"/>
        <v>0.17383999999999999</v>
      </c>
      <c r="L242" t="str">
        <f t="shared" si="7"/>
        <v>20.c.ps.170.750  - U.S. Space Walk of Fame Museum, Inc.  $4346</v>
      </c>
    </row>
    <row r="243" spans="1:12" ht="15.75" x14ac:dyDescent="0.25">
      <c r="A243" s="15">
        <v>241</v>
      </c>
      <c r="B243" s="15" t="s">
        <v>531</v>
      </c>
      <c r="C243" s="15" t="s">
        <v>532</v>
      </c>
      <c r="D243" s="15" t="s">
        <v>115</v>
      </c>
      <c r="E243" s="16">
        <v>150000</v>
      </c>
      <c r="F243" s="15">
        <v>91.5</v>
      </c>
      <c r="G243" s="16">
        <v>150000</v>
      </c>
      <c r="H243" s="11">
        <f>'First Calculations'!P242</f>
        <v>26001</v>
      </c>
      <c r="I243" s="12"/>
      <c r="J243" s="13">
        <f t="shared" si="6"/>
        <v>0.17333999999999999</v>
      </c>
      <c r="L243" t="str">
        <f t="shared" si="7"/>
        <v>20.c.ps.600.276  - The Florida Music Education Association, Inc.  $26001</v>
      </c>
    </row>
    <row r="244" spans="1:12" ht="15.75" x14ac:dyDescent="0.25">
      <c r="A244" s="15">
        <v>242</v>
      </c>
      <c r="B244" s="15" t="s">
        <v>533</v>
      </c>
      <c r="C244" s="15" t="s">
        <v>534</v>
      </c>
      <c r="D244" s="15" t="s">
        <v>36</v>
      </c>
      <c r="E244" s="16">
        <v>109349</v>
      </c>
      <c r="F244" s="15">
        <v>91.5</v>
      </c>
      <c r="G244" s="16">
        <v>109349</v>
      </c>
      <c r="H244" s="11">
        <f>'First Calculations'!P243</f>
        <v>18959</v>
      </c>
      <c r="I244" s="12"/>
      <c r="J244" s="13">
        <f t="shared" si="6"/>
        <v>0.17338064362728511</v>
      </c>
      <c r="L244" t="str">
        <f t="shared" si="7"/>
        <v>20.c.ps.109.225  - The Broward County Film Society, Inc.  $18959</v>
      </c>
    </row>
    <row r="245" spans="1:12" ht="15.75" x14ac:dyDescent="0.25">
      <c r="A245" s="15">
        <v>243</v>
      </c>
      <c r="B245" s="15" t="s">
        <v>535</v>
      </c>
      <c r="C245" s="15" t="s">
        <v>217</v>
      </c>
      <c r="D245" s="15" t="s">
        <v>28</v>
      </c>
      <c r="E245" s="16">
        <v>90000</v>
      </c>
      <c r="F245" s="15">
        <v>91.429000000000002</v>
      </c>
      <c r="G245" s="16">
        <v>90000</v>
      </c>
      <c r="H245" s="11">
        <f>'First Calculations'!P244</f>
        <v>15595</v>
      </c>
      <c r="I245" s="12"/>
      <c r="J245" s="13">
        <f t="shared" si="6"/>
        <v>0.17327777777777778</v>
      </c>
      <c r="L245" t="str">
        <f t="shared" si="7"/>
        <v>20.c.ps.170.341  - Miami Dade College  $15595</v>
      </c>
    </row>
    <row r="246" spans="1:12" ht="15.75" x14ac:dyDescent="0.25">
      <c r="A246" s="15">
        <v>244</v>
      </c>
      <c r="B246" s="15" t="s">
        <v>536</v>
      </c>
      <c r="C246" s="15" t="s">
        <v>537</v>
      </c>
      <c r="D246" s="15" t="s">
        <v>73</v>
      </c>
      <c r="E246" s="16">
        <v>73000</v>
      </c>
      <c r="F246" s="15">
        <v>91.429000000000002</v>
      </c>
      <c r="G246" s="16">
        <v>73000</v>
      </c>
      <c r="H246" s="11">
        <f>'First Calculations'!P245</f>
        <v>12652</v>
      </c>
      <c r="I246" s="12"/>
      <c r="J246" s="13">
        <f t="shared" si="6"/>
        <v>0.17331506849315068</v>
      </c>
      <c r="L246" t="str">
        <f t="shared" si="7"/>
        <v>20.c.ps.141.030  - Sands Theater Center, Inc.  $12652</v>
      </c>
    </row>
    <row r="247" spans="1:12" ht="15.75" x14ac:dyDescent="0.25">
      <c r="A247" s="15">
        <v>245</v>
      </c>
      <c r="B247" s="15" t="s">
        <v>538</v>
      </c>
      <c r="C247" s="15" t="s">
        <v>539</v>
      </c>
      <c r="D247" s="15" t="s">
        <v>28</v>
      </c>
      <c r="E247" s="16">
        <v>22250</v>
      </c>
      <c r="F247" s="15">
        <v>91.429000000000002</v>
      </c>
      <c r="G247" s="16">
        <v>22250</v>
      </c>
      <c r="H247" s="11">
        <f>'First Calculations'!P246</f>
        <v>3867</v>
      </c>
      <c r="I247" s="12"/>
      <c r="J247" s="13">
        <f t="shared" si="6"/>
        <v>0.17379775280898876</v>
      </c>
      <c r="L247" t="str">
        <f t="shared" si="7"/>
        <v>20.c.ps.114.567  - Miami Center for Architecture &amp; Design, Inc.  $3867</v>
      </c>
    </row>
    <row r="248" spans="1:12" ht="15.75" x14ac:dyDescent="0.25">
      <c r="A248" s="15">
        <v>246</v>
      </c>
      <c r="B248" s="15" t="s">
        <v>540</v>
      </c>
      <c r="C248" s="15" t="s">
        <v>541</v>
      </c>
      <c r="D248" s="15" t="s">
        <v>28</v>
      </c>
      <c r="E248" s="16">
        <v>150000</v>
      </c>
      <c r="F248" s="15">
        <v>91.429000000000002</v>
      </c>
      <c r="G248" s="16">
        <v>150000</v>
      </c>
      <c r="H248" s="11">
        <f>'First Calculations'!P247</f>
        <v>25981</v>
      </c>
      <c r="I248" s="12"/>
      <c r="J248" s="13">
        <f t="shared" si="6"/>
        <v>0.17320666666666668</v>
      </c>
      <c r="L248" t="str">
        <f t="shared" si="7"/>
        <v>20.c.ps.180.468  - Olympia Center, Inc.  $25981</v>
      </c>
    </row>
    <row r="249" spans="1:12" ht="15.75" x14ac:dyDescent="0.25">
      <c r="A249" s="15">
        <v>247</v>
      </c>
      <c r="B249" s="15" t="s">
        <v>542</v>
      </c>
      <c r="C249" s="15" t="s">
        <v>543</v>
      </c>
      <c r="D249" s="15" t="s">
        <v>87</v>
      </c>
      <c r="E249" s="16">
        <v>90000</v>
      </c>
      <c r="F249" s="15">
        <v>91.429000000000002</v>
      </c>
      <c r="G249" s="16">
        <v>90000</v>
      </c>
      <c r="H249" s="11">
        <f>'First Calculations'!P248</f>
        <v>15595</v>
      </c>
      <c r="I249" s="12"/>
      <c r="J249" s="13">
        <f t="shared" si="6"/>
        <v>0.17327777777777778</v>
      </c>
      <c r="L249" t="str">
        <f t="shared" si="7"/>
        <v>20.c.ps.114.295  - Association to Preserve the Eatonville Community  $15595</v>
      </c>
    </row>
    <row r="250" spans="1:12" ht="15.75" x14ac:dyDescent="0.25">
      <c r="A250" s="15">
        <v>248</v>
      </c>
      <c r="B250" s="15" t="s">
        <v>544</v>
      </c>
      <c r="C250" s="15" t="s">
        <v>545</v>
      </c>
      <c r="D250" s="15" t="s">
        <v>73</v>
      </c>
      <c r="E250" s="16">
        <v>46058</v>
      </c>
      <c r="F250" s="15">
        <v>91.429000000000002</v>
      </c>
      <c r="G250" s="16">
        <v>46058</v>
      </c>
      <c r="H250" s="11">
        <f>'First Calculations'!P249</f>
        <v>7988</v>
      </c>
      <c r="I250" s="12"/>
      <c r="J250" s="13">
        <f t="shared" si="6"/>
        <v>0.17343349689521906</v>
      </c>
      <c r="L250" t="str">
        <f t="shared" si="7"/>
        <v>20.c.ps.114.315  - The Hub on Canal, Inc.  $7988</v>
      </c>
    </row>
    <row r="251" spans="1:12" ht="15.75" x14ac:dyDescent="0.25">
      <c r="A251" s="15">
        <v>249</v>
      </c>
      <c r="B251" s="15" t="s">
        <v>546</v>
      </c>
      <c r="C251" s="15" t="s">
        <v>547</v>
      </c>
      <c r="D251" s="15" t="s">
        <v>87</v>
      </c>
      <c r="E251" s="16">
        <v>56338</v>
      </c>
      <c r="F251" s="15">
        <v>91.429000000000002</v>
      </c>
      <c r="G251" s="16">
        <v>56338</v>
      </c>
      <c r="H251" s="11">
        <f>'First Calculations'!P250</f>
        <v>9768</v>
      </c>
      <c r="I251" s="12"/>
      <c r="J251" s="13">
        <f t="shared" si="6"/>
        <v>0.17338208669104335</v>
      </c>
      <c r="L251" t="str">
        <f t="shared" si="7"/>
        <v>20.c.ps.170.708  - Winter Garden Heritage Foundation, Inc.  $9768</v>
      </c>
    </row>
    <row r="252" spans="1:12" ht="15.75" x14ac:dyDescent="0.25">
      <c r="A252" s="15">
        <v>250</v>
      </c>
      <c r="B252" s="15" t="s">
        <v>548</v>
      </c>
      <c r="C252" s="15" t="s">
        <v>549</v>
      </c>
      <c r="D252" s="15" t="s">
        <v>80</v>
      </c>
      <c r="E252" s="16">
        <v>50000</v>
      </c>
      <c r="F252" s="15">
        <v>91.429000000000002</v>
      </c>
      <c r="G252" s="16">
        <v>50000</v>
      </c>
      <c r="H252" s="11">
        <f>'First Calculations'!P251</f>
        <v>8670</v>
      </c>
      <c r="I252" s="12"/>
      <c r="J252" s="13">
        <f t="shared" si="6"/>
        <v>0.1734</v>
      </c>
      <c r="L252" t="str">
        <f t="shared" si="7"/>
        <v>20.c.ps.114.050  - City of Tarpon Springs  $8670</v>
      </c>
    </row>
    <row r="253" spans="1:12" ht="15.75" x14ac:dyDescent="0.25">
      <c r="A253" s="15">
        <v>251</v>
      </c>
      <c r="B253" s="15" t="s">
        <v>550</v>
      </c>
      <c r="C253" s="15" t="s">
        <v>551</v>
      </c>
      <c r="D253" s="15" t="s">
        <v>73</v>
      </c>
      <c r="E253" s="16">
        <v>1175</v>
      </c>
      <c r="F253" s="15">
        <v>91.332999999999998</v>
      </c>
      <c r="G253" s="16">
        <v>1175</v>
      </c>
      <c r="H253" s="11">
        <f>'First Calculations'!P252</f>
        <v>1000</v>
      </c>
      <c r="I253" s="12"/>
      <c r="J253" s="13">
        <f t="shared" si="6"/>
        <v>0.85106382978723405</v>
      </c>
      <c r="L253" t="str">
        <f t="shared" si="7"/>
        <v>20.c.ps.170.366  - African American Museum of the Arts, Inc.  $1000</v>
      </c>
    </row>
    <row r="254" spans="1:12" ht="25.5" x14ac:dyDescent="0.25">
      <c r="A254" s="15">
        <v>252</v>
      </c>
      <c r="B254" s="15" t="s">
        <v>552</v>
      </c>
      <c r="C254" s="15" t="s">
        <v>553</v>
      </c>
      <c r="D254" s="15" t="s">
        <v>57</v>
      </c>
      <c r="E254" s="16">
        <v>146937</v>
      </c>
      <c r="F254" s="15">
        <v>91.332999999999998</v>
      </c>
      <c r="G254" s="16">
        <v>146937</v>
      </c>
      <c r="H254" s="11">
        <f>'First Calculations'!P253</f>
        <v>25424</v>
      </c>
      <c r="I254" s="12"/>
      <c r="J254" s="13">
        <f t="shared" si="6"/>
        <v>0.17302653518174455</v>
      </c>
      <c r="L254" t="str">
        <f t="shared" si="7"/>
        <v>20.c.ps.170.764  - The University of South Florida  $25424</v>
      </c>
    </row>
    <row r="255" spans="1:12" ht="15.75" x14ac:dyDescent="0.25">
      <c r="A255" s="15">
        <v>253</v>
      </c>
      <c r="B255" s="15" t="s">
        <v>554</v>
      </c>
      <c r="C255" s="15" t="s">
        <v>555</v>
      </c>
      <c r="D255" s="15" t="s">
        <v>36</v>
      </c>
      <c r="E255" s="16">
        <v>124774</v>
      </c>
      <c r="F255" s="15">
        <v>91.332999999999998</v>
      </c>
      <c r="G255" s="16">
        <v>124774</v>
      </c>
      <c r="H255" s="11">
        <f>'First Calculations'!P254</f>
        <v>21592</v>
      </c>
      <c r="I255" s="12"/>
      <c r="J255" s="13">
        <f t="shared" si="6"/>
        <v>0.17304887236122909</v>
      </c>
      <c r="L255" t="str">
        <f t="shared" si="7"/>
        <v>20.c.ps.142.224  - Slow Burn Theatre Company, Inc.  $21592</v>
      </c>
    </row>
    <row r="256" spans="1:12" ht="15.75" x14ac:dyDescent="0.25">
      <c r="A256" s="15">
        <v>254</v>
      </c>
      <c r="B256" s="15" t="s">
        <v>556</v>
      </c>
      <c r="C256" s="15" t="s">
        <v>557</v>
      </c>
      <c r="D256" s="15" t="s">
        <v>28</v>
      </c>
      <c r="E256" s="16">
        <v>150000</v>
      </c>
      <c r="F256" s="15">
        <v>91.332999999999998</v>
      </c>
      <c r="G256" s="16">
        <v>150000</v>
      </c>
      <c r="H256" s="11">
        <f>'First Calculations'!P255</f>
        <v>25954</v>
      </c>
      <c r="I256" s="12"/>
      <c r="J256" s="13">
        <f t="shared" si="6"/>
        <v>0.17302666666666666</v>
      </c>
      <c r="L256" t="str">
        <f t="shared" si="7"/>
        <v>20.c.ps.101.175  - Thomas Armour Youth Ballet, Inc.  $25954</v>
      </c>
    </row>
    <row r="257" spans="1:12" ht="15.75" x14ac:dyDescent="0.25">
      <c r="A257" s="15">
        <v>255</v>
      </c>
      <c r="B257" s="15" t="s">
        <v>558</v>
      </c>
      <c r="C257" s="15" t="s">
        <v>559</v>
      </c>
      <c r="D257" s="15" t="s">
        <v>287</v>
      </c>
      <c r="E257" s="16">
        <v>38200</v>
      </c>
      <c r="F257" s="15">
        <v>91.286000000000001</v>
      </c>
      <c r="G257" s="16">
        <v>38200</v>
      </c>
      <c r="H257" s="11">
        <f>'First Calculations'!P256</f>
        <v>6617</v>
      </c>
      <c r="I257" s="12"/>
      <c r="J257" s="13">
        <f t="shared" si="6"/>
        <v>0.17321989528795811</v>
      </c>
      <c r="L257" t="str">
        <f t="shared" si="7"/>
        <v>20.c.ps.141.768  - Marathon Community Theatre, Inc.  $6617</v>
      </c>
    </row>
    <row r="258" spans="1:12" ht="15.75" x14ac:dyDescent="0.25">
      <c r="A258" s="15">
        <v>256</v>
      </c>
      <c r="B258" s="15" t="s">
        <v>560</v>
      </c>
      <c r="C258" s="15" t="s">
        <v>561</v>
      </c>
      <c r="D258" s="15" t="s">
        <v>28</v>
      </c>
      <c r="E258" s="16">
        <v>25000</v>
      </c>
      <c r="F258" s="15">
        <v>91.25</v>
      </c>
      <c r="G258" s="16">
        <v>25000</v>
      </c>
      <c r="H258" s="11">
        <f>'First Calculations'!P257</f>
        <v>4334</v>
      </c>
      <c r="I258" s="12"/>
      <c r="J258" s="13">
        <f t="shared" si="6"/>
        <v>0.17335999999999999</v>
      </c>
      <c r="L258" t="str">
        <f t="shared" si="7"/>
        <v>20.c.ps.109.762  - Borscht Corp  $4334</v>
      </c>
    </row>
    <row r="259" spans="1:12" ht="15.75" x14ac:dyDescent="0.25">
      <c r="A259" s="15">
        <v>257</v>
      </c>
      <c r="B259" s="15" t="s">
        <v>562</v>
      </c>
      <c r="C259" s="15" t="s">
        <v>563</v>
      </c>
      <c r="D259" s="15" t="s">
        <v>359</v>
      </c>
      <c r="E259" s="16">
        <v>126478</v>
      </c>
      <c r="F259" s="15">
        <v>91.25</v>
      </c>
      <c r="G259" s="16">
        <v>126478</v>
      </c>
      <c r="H259" s="11">
        <f>'First Calculations'!P258</f>
        <v>21866</v>
      </c>
      <c r="I259" s="12"/>
      <c r="J259" s="13">
        <f t="shared" ref="J259:J322" si="8">H259/E259</f>
        <v>0.17288382169231012</v>
      </c>
      <c r="L259" t="str">
        <f t="shared" si="7"/>
        <v>20.c.ps.102.646  - Sinfonia Gulf Coast, Inc.  $21866</v>
      </c>
    </row>
    <row r="260" spans="1:12" ht="15.75" x14ac:dyDescent="0.25">
      <c r="A260" s="15">
        <v>258</v>
      </c>
      <c r="B260" s="15" t="s">
        <v>564</v>
      </c>
      <c r="C260" s="15" t="s">
        <v>565</v>
      </c>
      <c r="D260" s="15" t="s">
        <v>397</v>
      </c>
      <c r="E260" s="16">
        <v>150000</v>
      </c>
      <c r="F260" s="15">
        <v>91.167000000000002</v>
      </c>
      <c r="G260" s="16">
        <v>150000</v>
      </c>
      <c r="H260" s="11">
        <f>'First Calculations'!P259</f>
        <v>25907</v>
      </c>
      <c r="I260" s="12"/>
      <c r="J260" s="13">
        <f t="shared" si="8"/>
        <v>0.17271333333333333</v>
      </c>
      <c r="L260" t="str">
        <f t="shared" ref="L260:L323" si="9">B260&amp;" - "&amp;C260&amp;" $"&amp;H260</f>
        <v>20.c.ps.500.757  - Cultural Arts Alliance of Walton County, Inc.  $25907</v>
      </c>
    </row>
    <row r="261" spans="1:12" ht="15.75" x14ac:dyDescent="0.25">
      <c r="A261" s="15">
        <v>259</v>
      </c>
      <c r="B261" s="15" t="s">
        <v>566</v>
      </c>
      <c r="C261" s="15" t="s">
        <v>567</v>
      </c>
      <c r="D261" s="15" t="s">
        <v>36</v>
      </c>
      <c r="E261" s="16">
        <v>150000</v>
      </c>
      <c r="F261" s="15">
        <v>91.167000000000002</v>
      </c>
      <c r="G261" s="16">
        <v>150000</v>
      </c>
      <c r="H261" s="11">
        <f>'First Calculations'!P260</f>
        <v>25907</v>
      </c>
      <c r="I261" s="12"/>
      <c r="J261" s="13">
        <f t="shared" si="8"/>
        <v>0.17271333333333333</v>
      </c>
      <c r="L261" t="str">
        <f t="shared" si="9"/>
        <v>20.c.ps.170.038  - Bonnet House, Inc.  $25907</v>
      </c>
    </row>
    <row r="262" spans="1:12" ht="15.75" x14ac:dyDescent="0.25">
      <c r="A262" s="15">
        <v>260</v>
      </c>
      <c r="B262" s="15" t="s">
        <v>568</v>
      </c>
      <c r="C262" s="15" t="s">
        <v>569</v>
      </c>
      <c r="D262" s="15" t="s">
        <v>36</v>
      </c>
      <c r="E262" s="16">
        <v>50408</v>
      </c>
      <c r="F262" s="15">
        <v>91.143000000000001</v>
      </c>
      <c r="G262" s="16">
        <v>50408</v>
      </c>
      <c r="H262" s="11">
        <f>'First Calculations'!P261</f>
        <v>8714</v>
      </c>
      <c r="I262" s="12"/>
      <c r="J262" s="13">
        <f t="shared" si="8"/>
        <v>0.17286938581177591</v>
      </c>
      <c r="L262" t="str">
        <f t="shared" si="9"/>
        <v>20.c.ps.102.423  - The Girlchoir of South Florida, Inc.  $8714</v>
      </c>
    </row>
    <row r="263" spans="1:12" ht="15.75" x14ac:dyDescent="0.25">
      <c r="A263" s="15">
        <v>261</v>
      </c>
      <c r="B263" s="15" t="s">
        <v>570</v>
      </c>
      <c r="C263" s="15" t="s">
        <v>571</v>
      </c>
      <c r="D263" s="15" t="s">
        <v>572</v>
      </c>
      <c r="E263" s="16">
        <v>23600</v>
      </c>
      <c r="F263" s="15">
        <v>91.143000000000001</v>
      </c>
      <c r="G263" s="16">
        <v>23600</v>
      </c>
      <c r="H263" s="11">
        <f>'First Calculations'!P262</f>
        <v>4088</v>
      </c>
      <c r="I263" s="12"/>
      <c r="J263" s="13">
        <f t="shared" si="8"/>
        <v>0.17322033898305084</v>
      </c>
      <c r="L263" t="str">
        <f t="shared" si="9"/>
        <v>20.c.ps.114.635  - Young Performing Artists Corporation  $4088</v>
      </c>
    </row>
    <row r="264" spans="1:12" ht="15.75" x14ac:dyDescent="0.25">
      <c r="A264" s="15">
        <v>262</v>
      </c>
      <c r="B264" s="15" t="s">
        <v>573</v>
      </c>
      <c r="C264" s="15" t="s">
        <v>574</v>
      </c>
      <c r="D264" s="15" t="s">
        <v>73</v>
      </c>
      <c r="E264" s="16">
        <v>150000</v>
      </c>
      <c r="F264" s="15">
        <v>91.143000000000001</v>
      </c>
      <c r="G264" s="16">
        <v>150000</v>
      </c>
      <c r="H264" s="11">
        <f>'First Calculations'!P263</f>
        <v>25900</v>
      </c>
      <c r="I264" s="12"/>
      <c r="J264" s="13">
        <f t="shared" si="8"/>
        <v>0.17266666666666666</v>
      </c>
      <c r="L264" t="str">
        <f t="shared" si="9"/>
        <v>20.c.ps.170.370  - Museum of Arts and Sciences, Inc.  $25900</v>
      </c>
    </row>
    <row r="265" spans="1:12" ht="15.75" x14ac:dyDescent="0.25">
      <c r="A265" s="15">
        <v>263</v>
      </c>
      <c r="B265" s="15" t="s">
        <v>575</v>
      </c>
      <c r="C265" s="15" t="s">
        <v>576</v>
      </c>
      <c r="D265" s="15" t="s">
        <v>64</v>
      </c>
      <c r="E265" s="16">
        <v>81112</v>
      </c>
      <c r="F265" s="15">
        <v>91.143000000000001</v>
      </c>
      <c r="G265" s="16">
        <v>81112</v>
      </c>
      <c r="H265" s="11">
        <f>'First Calculations'!P264</f>
        <v>14012</v>
      </c>
      <c r="I265" s="12"/>
      <c r="J265" s="13">
        <f t="shared" si="8"/>
        <v>0.17274879179406252</v>
      </c>
      <c r="L265" t="str">
        <f t="shared" si="9"/>
        <v>20.c.ps.102.372  - Gulfshore Opera, Inc.  $14012</v>
      </c>
    </row>
    <row r="266" spans="1:12" ht="15.75" x14ac:dyDescent="0.25">
      <c r="A266" s="15">
        <v>264</v>
      </c>
      <c r="B266" s="15" t="s">
        <v>577</v>
      </c>
      <c r="C266" s="15" t="s">
        <v>578</v>
      </c>
      <c r="D266" s="15" t="s">
        <v>39</v>
      </c>
      <c r="E266" s="16">
        <v>130000</v>
      </c>
      <c r="F266" s="15">
        <v>91.143000000000001</v>
      </c>
      <c r="G266" s="16">
        <v>130000</v>
      </c>
      <c r="H266" s="11">
        <f>'First Calculations'!P265</f>
        <v>22449</v>
      </c>
      <c r="I266" s="12"/>
      <c r="J266" s="13">
        <f t="shared" si="8"/>
        <v>0.17268461538461538</v>
      </c>
      <c r="L266" t="str">
        <f t="shared" si="9"/>
        <v>20.c.ps.170.045  - Loxahatchee River Historical Society, Inc.  $22449</v>
      </c>
    </row>
    <row r="267" spans="1:12" ht="15.75" x14ac:dyDescent="0.25">
      <c r="A267" s="15">
        <v>265</v>
      </c>
      <c r="B267" s="15" t="s">
        <v>579</v>
      </c>
      <c r="C267" s="15" t="s">
        <v>580</v>
      </c>
      <c r="D267" s="15" t="s">
        <v>36</v>
      </c>
      <c r="E267" s="16">
        <v>150000</v>
      </c>
      <c r="F267" s="15">
        <v>91.125</v>
      </c>
      <c r="G267" s="16">
        <v>150000</v>
      </c>
      <c r="H267" s="11">
        <f>'First Calculations'!P266</f>
        <v>25895</v>
      </c>
      <c r="I267" s="12"/>
      <c r="J267" s="13">
        <f t="shared" si="8"/>
        <v>0.17263333333333333</v>
      </c>
      <c r="L267" t="str">
        <f t="shared" si="9"/>
        <v>20.c.ps.102.654  - Symphony of the Americas, Inc.  $25895</v>
      </c>
    </row>
    <row r="268" spans="1:12" ht="15.75" x14ac:dyDescent="0.25">
      <c r="A268" s="15">
        <v>266</v>
      </c>
      <c r="B268" s="15" t="s">
        <v>581</v>
      </c>
      <c r="C268" s="15" t="s">
        <v>582</v>
      </c>
      <c r="D268" s="15" t="s">
        <v>39</v>
      </c>
      <c r="E268" s="16">
        <v>150000</v>
      </c>
      <c r="F268" s="15">
        <v>91</v>
      </c>
      <c r="G268" s="16">
        <v>150000</v>
      </c>
      <c r="H268" s="11">
        <f>'First Calculations'!P267</f>
        <v>25859</v>
      </c>
      <c r="I268" s="12"/>
      <c r="J268" s="13">
        <f t="shared" si="8"/>
        <v>0.17239333333333334</v>
      </c>
      <c r="L268" t="str">
        <f t="shared" si="9"/>
        <v>20.c.ps.114.465  - Adolph &amp; Rose Levis Jewish Community Center, Inc.  $25859</v>
      </c>
    </row>
    <row r="269" spans="1:12" ht="15.75" x14ac:dyDescent="0.25">
      <c r="A269" s="15">
        <v>267</v>
      </c>
      <c r="B269" s="15" t="s">
        <v>583</v>
      </c>
      <c r="C269" s="15" t="s">
        <v>584</v>
      </c>
      <c r="D269" s="15" t="s">
        <v>28</v>
      </c>
      <c r="E269" s="16">
        <v>90000</v>
      </c>
      <c r="F269" s="15">
        <v>91</v>
      </c>
      <c r="G269" s="16">
        <v>90000</v>
      </c>
      <c r="H269" s="11">
        <f>'First Calculations'!P268</f>
        <v>15522</v>
      </c>
      <c r="I269" s="12"/>
      <c r="J269" s="13">
        <f t="shared" si="8"/>
        <v>0.17246666666666666</v>
      </c>
      <c r="L269" t="str">
        <f t="shared" si="9"/>
        <v>20.c.ps.114.364  - Centro Cultural Español de Cooperación Iberoamericana, Inc.  $15522</v>
      </c>
    </row>
    <row r="270" spans="1:12" ht="15.75" x14ac:dyDescent="0.25">
      <c r="A270" s="15">
        <v>268</v>
      </c>
      <c r="B270" s="15" t="s">
        <v>585</v>
      </c>
      <c r="C270" s="15" t="s">
        <v>586</v>
      </c>
      <c r="D270" s="15" t="s">
        <v>28</v>
      </c>
      <c r="E270" s="16">
        <v>95900</v>
      </c>
      <c r="F270" s="15">
        <v>91</v>
      </c>
      <c r="G270" s="16">
        <v>95900</v>
      </c>
      <c r="H270" s="11">
        <f>'First Calculations'!P269</f>
        <v>16538</v>
      </c>
      <c r="I270" s="12"/>
      <c r="J270" s="13">
        <f t="shared" si="8"/>
        <v>0.1724504692387904</v>
      </c>
      <c r="L270" t="str">
        <f t="shared" si="9"/>
        <v>20.c.ps.109.359  - Living Arts Trust, Inc.  $16538</v>
      </c>
    </row>
    <row r="271" spans="1:12" ht="15.75" x14ac:dyDescent="0.25">
      <c r="A271" s="15">
        <v>269</v>
      </c>
      <c r="B271" s="15" t="s">
        <v>587</v>
      </c>
      <c r="C271" s="15" t="s">
        <v>588</v>
      </c>
      <c r="D271" s="15" t="s">
        <v>33</v>
      </c>
      <c r="E271" s="16">
        <v>89844</v>
      </c>
      <c r="F271" s="15">
        <v>91</v>
      </c>
      <c r="G271" s="16">
        <v>89844</v>
      </c>
      <c r="H271" s="11">
        <f>'First Calculations'!P270</f>
        <v>15495</v>
      </c>
      <c r="I271" s="12"/>
      <c r="J271" s="13">
        <f t="shared" si="8"/>
        <v>0.17246560705222386</v>
      </c>
      <c r="L271" t="str">
        <f t="shared" si="9"/>
        <v>20.c.ps.109.715  - Sarasota Film Festival, Inc.  $15495</v>
      </c>
    </row>
    <row r="272" spans="1:12" ht="15.75" x14ac:dyDescent="0.25">
      <c r="A272" s="15">
        <v>270</v>
      </c>
      <c r="B272" s="15" t="s">
        <v>589</v>
      </c>
      <c r="C272" s="15" t="s">
        <v>590</v>
      </c>
      <c r="D272" s="15" t="s">
        <v>136</v>
      </c>
      <c r="E272" s="16">
        <v>40000</v>
      </c>
      <c r="F272" s="15">
        <v>91</v>
      </c>
      <c r="G272" s="16">
        <v>40000</v>
      </c>
      <c r="H272" s="11">
        <f>'First Calculations'!P271</f>
        <v>6907</v>
      </c>
      <c r="I272" s="12"/>
      <c r="J272" s="13">
        <f t="shared" si="8"/>
        <v>0.172675</v>
      </c>
      <c r="L272" t="str">
        <f t="shared" si="9"/>
        <v>20.c.ps.141.375  - Lakeland Community Theatre, Inc.  $6907</v>
      </c>
    </row>
    <row r="273" spans="1:12" ht="15.75" x14ac:dyDescent="0.25">
      <c r="A273" s="15">
        <v>271</v>
      </c>
      <c r="B273" s="15" t="s">
        <v>591</v>
      </c>
      <c r="C273" s="15" t="s">
        <v>592</v>
      </c>
      <c r="D273" s="15" t="s">
        <v>593</v>
      </c>
      <c r="E273" s="16">
        <v>50000</v>
      </c>
      <c r="F273" s="15">
        <v>91</v>
      </c>
      <c r="G273" s="16">
        <v>50000</v>
      </c>
      <c r="H273" s="11">
        <f>'First Calculations'!P272</f>
        <v>8630</v>
      </c>
      <c r="I273" s="12"/>
      <c r="J273" s="13">
        <f t="shared" si="8"/>
        <v>0.1726</v>
      </c>
      <c r="L273" t="str">
        <f t="shared" si="9"/>
        <v>20.c.ps.180.588  - Romanza-St. Augustine, Inc.  $8630</v>
      </c>
    </row>
    <row r="274" spans="1:12" ht="15.75" x14ac:dyDescent="0.25">
      <c r="A274" s="15">
        <v>272</v>
      </c>
      <c r="B274" s="15" t="s">
        <v>594</v>
      </c>
      <c r="C274" s="15" t="s">
        <v>595</v>
      </c>
      <c r="D274" s="15" t="s">
        <v>124</v>
      </c>
      <c r="E274" s="16">
        <v>150000</v>
      </c>
      <c r="F274" s="15">
        <v>91</v>
      </c>
      <c r="G274" s="16">
        <v>150000</v>
      </c>
      <c r="H274" s="11">
        <f>'First Calculations'!P273</f>
        <v>25859</v>
      </c>
      <c r="I274" s="12"/>
      <c r="J274" s="13">
        <f t="shared" si="8"/>
        <v>0.17239333333333334</v>
      </c>
      <c r="L274" t="str">
        <f t="shared" si="9"/>
        <v>20.c.ps.102.663  - Southwest Florida Symphony Orchestra and Chorus Association, Inc.  $25859</v>
      </c>
    </row>
    <row r="275" spans="1:12" ht="15.75" x14ac:dyDescent="0.25">
      <c r="A275" s="15">
        <v>273</v>
      </c>
      <c r="B275" s="15" t="s">
        <v>596</v>
      </c>
      <c r="C275" s="15" t="s">
        <v>597</v>
      </c>
      <c r="D275" s="15" t="s">
        <v>80</v>
      </c>
      <c r="E275" s="16">
        <v>90000</v>
      </c>
      <c r="F275" s="15">
        <v>91</v>
      </c>
      <c r="G275" s="16">
        <v>90000</v>
      </c>
      <c r="H275" s="11">
        <f>'First Calculations'!P274</f>
        <v>15522</v>
      </c>
      <c r="I275" s="12"/>
      <c r="J275" s="13">
        <f t="shared" si="8"/>
        <v>0.17246666666666666</v>
      </c>
      <c r="L275" t="str">
        <f t="shared" si="9"/>
        <v>20.c.ps.114.267  - Creative Clay, Inc.  $15522</v>
      </c>
    </row>
    <row r="276" spans="1:12" ht="15.75" x14ac:dyDescent="0.25">
      <c r="A276" s="15">
        <v>274</v>
      </c>
      <c r="B276" s="15" t="s">
        <v>598</v>
      </c>
      <c r="C276" s="15" t="s">
        <v>599</v>
      </c>
      <c r="D276" s="15" t="s">
        <v>80</v>
      </c>
      <c r="E276" s="16">
        <v>135000</v>
      </c>
      <c r="F276" s="15">
        <v>90.875</v>
      </c>
      <c r="G276" s="16">
        <v>135000</v>
      </c>
      <c r="H276" s="11">
        <f>'First Calculations'!P275</f>
        <v>23243</v>
      </c>
      <c r="I276" s="12"/>
      <c r="J276" s="13">
        <f t="shared" si="8"/>
        <v>0.17217037037037036</v>
      </c>
      <c r="L276" t="str">
        <f t="shared" si="9"/>
        <v>20.c.ps.102.543  - St. Petersburg Opera Company  $23243</v>
      </c>
    </row>
    <row r="277" spans="1:12" ht="15.75" x14ac:dyDescent="0.25">
      <c r="A277" s="15">
        <v>275</v>
      </c>
      <c r="B277" s="15" t="s">
        <v>600</v>
      </c>
      <c r="C277" s="15" t="s">
        <v>601</v>
      </c>
      <c r="D277" s="15" t="s">
        <v>90</v>
      </c>
      <c r="E277" s="16">
        <v>150000</v>
      </c>
      <c r="F277" s="15">
        <v>90.856999999999999</v>
      </c>
      <c r="G277" s="16">
        <v>150000</v>
      </c>
      <c r="H277" s="11">
        <f>'First Calculations'!P276</f>
        <v>25819</v>
      </c>
      <c r="I277" s="12"/>
      <c r="J277" s="13">
        <f t="shared" si="8"/>
        <v>0.17212666666666668</v>
      </c>
      <c r="L277" t="str">
        <f t="shared" si="9"/>
        <v>20.c.ps.180.589  - Maxwell C. King Center for the Performing Arts, Inc.  $25819</v>
      </c>
    </row>
    <row r="278" spans="1:12" ht="15.75" x14ac:dyDescent="0.25">
      <c r="A278" s="15">
        <v>276</v>
      </c>
      <c r="B278" s="15" t="s">
        <v>602</v>
      </c>
      <c r="C278" s="15" t="s">
        <v>603</v>
      </c>
      <c r="D278" s="15" t="s">
        <v>593</v>
      </c>
      <c r="E278" s="16">
        <v>150000</v>
      </c>
      <c r="F278" s="15">
        <v>90.856999999999999</v>
      </c>
      <c r="G278" s="16">
        <v>150000</v>
      </c>
      <c r="H278" s="11">
        <f>'First Calculations'!P277</f>
        <v>25819</v>
      </c>
      <c r="I278" s="12"/>
      <c r="J278" s="13">
        <f t="shared" si="8"/>
        <v>0.17212666666666668</v>
      </c>
      <c r="L278" t="str">
        <f t="shared" si="9"/>
        <v>20.c.ps.170.080  - The Saint Augustine Lighthouse and Museum  $25819</v>
      </c>
    </row>
    <row r="279" spans="1:12" ht="15.75" x14ac:dyDescent="0.25">
      <c r="A279" s="15">
        <v>277</v>
      </c>
      <c r="B279" s="15" t="s">
        <v>604</v>
      </c>
      <c r="C279" s="15" t="s">
        <v>605</v>
      </c>
      <c r="D279" s="15" t="s">
        <v>39</v>
      </c>
      <c r="E279" s="16">
        <v>150000</v>
      </c>
      <c r="F279" s="15">
        <v>90.856999999999999</v>
      </c>
      <c r="G279" s="16">
        <v>150000</v>
      </c>
      <c r="H279" s="11">
        <f>'First Calculations'!P278</f>
        <v>25819</v>
      </c>
      <c r="I279" s="12"/>
      <c r="J279" s="13">
        <f t="shared" si="8"/>
        <v>0.17212666666666668</v>
      </c>
      <c r="L279" t="str">
        <f t="shared" si="9"/>
        <v>20.c.ps.170.434  - South Florida Science Center and Aquarium, Inc.  $25819</v>
      </c>
    </row>
    <row r="280" spans="1:12" ht="15.75" x14ac:dyDescent="0.25">
      <c r="A280" s="15">
        <v>278</v>
      </c>
      <c r="B280" s="15" t="s">
        <v>606</v>
      </c>
      <c r="C280" s="15" t="s">
        <v>607</v>
      </c>
      <c r="D280" s="15" t="s">
        <v>136</v>
      </c>
      <c r="E280" s="16">
        <v>150000</v>
      </c>
      <c r="F280" s="15">
        <v>90.832999999999998</v>
      </c>
      <c r="G280" s="16">
        <v>150000</v>
      </c>
      <c r="H280" s="11">
        <f>'First Calculations'!P279</f>
        <v>25812</v>
      </c>
      <c r="I280" s="12"/>
      <c r="J280" s="13">
        <f t="shared" si="8"/>
        <v>0.17208000000000001</v>
      </c>
      <c r="L280" t="str">
        <f t="shared" si="9"/>
        <v>20.c.ps.170.111  - Bok Tower Gardens, Inc.  $25812</v>
      </c>
    </row>
    <row r="281" spans="1:12" ht="15.75" x14ac:dyDescent="0.25">
      <c r="A281" s="15">
        <v>279</v>
      </c>
      <c r="B281" s="15" t="s">
        <v>608</v>
      </c>
      <c r="C281" s="15" t="s">
        <v>609</v>
      </c>
      <c r="D281" s="15" t="s">
        <v>28</v>
      </c>
      <c r="E281" s="16">
        <v>43000</v>
      </c>
      <c r="F281" s="15">
        <v>90.75</v>
      </c>
      <c r="G281" s="16">
        <v>43000</v>
      </c>
      <c r="H281" s="11">
        <f>'First Calculations'!P280</f>
        <v>7403</v>
      </c>
      <c r="I281" s="12"/>
      <c r="J281" s="13">
        <f t="shared" si="8"/>
        <v>0.17216279069767443</v>
      </c>
      <c r="L281" t="str">
        <f t="shared" si="9"/>
        <v>20.c.ps.109.293  - Miami Beach Film Society, Inc.  $7403</v>
      </c>
    </row>
    <row r="282" spans="1:12" ht="15.75" x14ac:dyDescent="0.25">
      <c r="A282" s="15">
        <v>280</v>
      </c>
      <c r="B282" s="15" t="s">
        <v>610</v>
      </c>
      <c r="C282" s="15" t="s">
        <v>611</v>
      </c>
      <c r="D282" s="15" t="s">
        <v>39</v>
      </c>
      <c r="E282" s="16">
        <v>150000</v>
      </c>
      <c r="F282" s="15">
        <v>90.713999999999999</v>
      </c>
      <c r="G282" s="16">
        <v>150000</v>
      </c>
      <c r="H282" s="11">
        <f>'First Calculations'!P281</f>
        <v>25778</v>
      </c>
      <c r="I282" s="12"/>
      <c r="J282" s="13">
        <f t="shared" si="8"/>
        <v>0.17185333333333333</v>
      </c>
      <c r="L282" t="str">
        <f t="shared" si="9"/>
        <v>20.c.ps.180.226  - Sunfest of Palm Beach County, Inc.  $25778</v>
      </c>
    </row>
    <row r="283" spans="1:12" ht="15.75" x14ac:dyDescent="0.25">
      <c r="A283" s="15">
        <v>281</v>
      </c>
      <c r="B283" s="15" t="s">
        <v>612</v>
      </c>
      <c r="C283" s="15" t="s">
        <v>613</v>
      </c>
      <c r="D283" s="15" t="s">
        <v>36</v>
      </c>
      <c r="E283" s="16">
        <v>85000</v>
      </c>
      <c r="F283" s="15">
        <v>90.713999999999999</v>
      </c>
      <c r="G283" s="16">
        <v>85000</v>
      </c>
      <c r="H283" s="11">
        <f>'First Calculations'!P282</f>
        <v>14614</v>
      </c>
      <c r="I283" s="12"/>
      <c r="J283" s="13">
        <f t="shared" si="8"/>
        <v>0.17192941176470589</v>
      </c>
      <c r="L283" t="str">
        <f t="shared" si="9"/>
        <v>20.c.ps.170.430  - Fort Lauderdale Historical Society, Inc.  $14614</v>
      </c>
    </row>
    <row r="284" spans="1:12" ht="25.5" x14ac:dyDescent="0.25">
      <c r="A284" s="15">
        <v>282</v>
      </c>
      <c r="B284" s="15" t="s">
        <v>614</v>
      </c>
      <c r="C284" s="15" t="s">
        <v>615</v>
      </c>
      <c r="D284" s="15" t="s">
        <v>57</v>
      </c>
      <c r="E284" s="16">
        <v>39300</v>
      </c>
      <c r="F284" s="15">
        <v>90.667000000000002</v>
      </c>
      <c r="G284" s="16">
        <v>39300</v>
      </c>
      <c r="H284" s="11">
        <f>'First Calculations'!P283</f>
        <v>6761</v>
      </c>
      <c r="I284" s="12"/>
      <c r="J284" s="13">
        <f t="shared" si="8"/>
        <v>0.17203562340966921</v>
      </c>
      <c r="L284" t="str">
        <f t="shared" si="9"/>
        <v>20.c.ps.109.214  - Friends of the Festival, Inc.  $6761</v>
      </c>
    </row>
    <row r="285" spans="1:12" ht="25.5" x14ac:dyDescent="0.25">
      <c r="A285" s="15">
        <v>283</v>
      </c>
      <c r="B285" s="15" t="s">
        <v>616</v>
      </c>
      <c r="C285" s="15" t="s">
        <v>617</v>
      </c>
      <c r="D285" s="15" t="s">
        <v>57</v>
      </c>
      <c r="E285" s="16">
        <v>150000</v>
      </c>
      <c r="F285" s="15">
        <v>90.667000000000002</v>
      </c>
      <c r="G285" s="16">
        <v>150000</v>
      </c>
      <c r="H285" s="11">
        <f>'First Calculations'!P284</f>
        <v>25765</v>
      </c>
      <c r="I285" s="12"/>
      <c r="J285" s="13">
        <f t="shared" si="8"/>
        <v>0.17176666666666668</v>
      </c>
      <c r="L285" t="str">
        <f t="shared" si="9"/>
        <v>20.c.ps.170.696  - Tampa Museum of Art, Inc.  $25765</v>
      </c>
    </row>
    <row r="286" spans="1:12" ht="15.75" x14ac:dyDescent="0.25">
      <c r="A286" s="15">
        <v>284</v>
      </c>
      <c r="B286" s="15" t="s">
        <v>618</v>
      </c>
      <c r="C286" s="15" t="s">
        <v>619</v>
      </c>
      <c r="D286" s="15" t="s">
        <v>50</v>
      </c>
      <c r="E286" s="16">
        <v>150000</v>
      </c>
      <c r="F286" s="15">
        <v>90.667000000000002</v>
      </c>
      <c r="G286" s="16">
        <v>150000</v>
      </c>
      <c r="H286" s="11">
        <f>'First Calculations'!P285</f>
        <v>25765</v>
      </c>
      <c r="I286" s="12"/>
      <c r="J286" s="13">
        <f t="shared" si="8"/>
        <v>0.17176666666666668</v>
      </c>
      <c r="L286" t="str">
        <f t="shared" si="9"/>
        <v>20.c.ps.500.573  - Cultural Council of Greater Jacksonville, Inc.  $25765</v>
      </c>
    </row>
    <row r="287" spans="1:12" ht="15.75" x14ac:dyDescent="0.25">
      <c r="A287" s="15">
        <v>285</v>
      </c>
      <c r="B287" s="15" t="s">
        <v>620</v>
      </c>
      <c r="C287" s="15" t="s">
        <v>621</v>
      </c>
      <c r="D287" s="15" t="s">
        <v>87</v>
      </c>
      <c r="E287" s="16">
        <v>46000</v>
      </c>
      <c r="F287" s="15">
        <v>90.667000000000002</v>
      </c>
      <c r="G287" s="16">
        <v>46000</v>
      </c>
      <c r="H287" s="11">
        <f>'First Calculations'!P286</f>
        <v>7912</v>
      </c>
      <c r="I287" s="12"/>
      <c r="J287" s="13">
        <f t="shared" si="8"/>
        <v>0.17199999999999999</v>
      </c>
      <c r="L287" t="str">
        <f t="shared" si="9"/>
        <v>20.c.ps.180.786  - Creative City Project, Inc.  $7912</v>
      </c>
    </row>
    <row r="288" spans="1:12" ht="25.5" x14ac:dyDescent="0.25">
      <c r="A288" s="15">
        <v>286</v>
      </c>
      <c r="B288" s="15" t="s">
        <v>622</v>
      </c>
      <c r="C288" s="15" t="s">
        <v>623</v>
      </c>
      <c r="D288" s="15" t="s">
        <v>57</v>
      </c>
      <c r="E288" s="16">
        <v>139300</v>
      </c>
      <c r="F288" s="15">
        <v>90.570999999999998</v>
      </c>
      <c r="G288" s="16">
        <v>139300</v>
      </c>
      <c r="H288" s="11">
        <f>'First Calculations'!P287</f>
        <v>23903</v>
      </c>
      <c r="I288" s="12"/>
      <c r="J288" s="13">
        <f t="shared" si="8"/>
        <v>0.17159368269921033</v>
      </c>
      <c r="L288" t="str">
        <f t="shared" si="9"/>
        <v>20.c.ps.180.745  - Gasparilla Music Foundation, Inc  $23903</v>
      </c>
    </row>
    <row r="289" spans="1:12" ht="15.75" x14ac:dyDescent="0.25">
      <c r="A289" s="15">
        <v>287</v>
      </c>
      <c r="B289" s="15" t="s">
        <v>624</v>
      </c>
      <c r="C289" s="15" t="s">
        <v>625</v>
      </c>
      <c r="D289" s="15" t="s">
        <v>36</v>
      </c>
      <c r="E289" s="16">
        <v>67359</v>
      </c>
      <c r="F289" s="15">
        <v>90.570999999999998</v>
      </c>
      <c r="G289" s="16">
        <v>67359</v>
      </c>
      <c r="H289" s="11">
        <f>'First Calculations'!P288</f>
        <v>11566</v>
      </c>
      <c r="I289" s="12"/>
      <c r="J289" s="13">
        <f t="shared" si="8"/>
        <v>0.17170682462625633</v>
      </c>
      <c r="L289" t="str">
        <f t="shared" si="9"/>
        <v>20.c.ps.170.098  - Davie School Foundation, Inc.  $11566</v>
      </c>
    </row>
    <row r="290" spans="1:12" ht="15.75" x14ac:dyDescent="0.25">
      <c r="A290" s="15">
        <v>288</v>
      </c>
      <c r="B290" s="15" t="s">
        <v>626</v>
      </c>
      <c r="C290" s="15" t="s">
        <v>627</v>
      </c>
      <c r="D290" s="15" t="s">
        <v>124</v>
      </c>
      <c r="E290" s="16">
        <v>25000</v>
      </c>
      <c r="F290" s="15">
        <v>90.570999999999998</v>
      </c>
      <c r="G290" s="16">
        <v>25000</v>
      </c>
      <c r="H290" s="11">
        <f>'First Calculations'!P289</f>
        <v>4302</v>
      </c>
      <c r="I290" s="12"/>
      <c r="J290" s="13">
        <f t="shared" si="8"/>
        <v>0.17208000000000001</v>
      </c>
      <c r="L290" t="str">
        <f t="shared" si="9"/>
        <v>20.c.ps.114.656  - Barrier Island Group for the Arts, Inc.  $4302</v>
      </c>
    </row>
    <row r="291" spans="1:12" ht="15.75" x14ac:dyDescent="0.25">
      <c r="A291" s="15">
        <v>289</v>
      </c>
      <c r="B291" s="15" t="s">
        <v>628</v>
      </c>
      <c r="C291" s="15" t="s">
        <v>629</v>
      </c>
      <c r="D291" s="15" t="s">
        <v>593</v>
      </c>
      <c r="E291" s="16">
        <v>76000</v>
      </c>
      <c r="F291" s="15">
        <v>90.570999999999998</v>
      </c>
      <c r="G291" s="16">
        <v>76000</v>
      </c>
      <c r="H291" s="11">
        <f>'First Calculations'!P290</f>
        <v>13048</v>
      </c>
      <c r="I291" s="12"/>
      <c r="J291" s="13">
        <f t="shared" si="8"/>
        <v>0.1716842105263158</v>
      </c>
      <c r="L291" t="str">
        <f t="shared" si="9"/>
        <v>20.c.ps.141.180  - Limelight Theatre, Inc.  $13048</v>
      </c>
    </row>
    <row r="292" spans="1:12" ht="15.75" x14ac:dyDescent="0.25">
      <c r="A292" s="15">
        <v>290</v>
      </c>
      <c r="B292" s="15" t="s">
        <v>630</v>
      </c>
      <c r="C292" s="15" t="s">
        <v>631</v>
      </c>
      <c r="D292" s="15" t="s">
        <v>593</v>
      </c>
      <c r="E292" s="16">
        <v>90000</v>
      </c>
      <c r="F292" s="15">
        <v>90.570999999999998</v>
      </c>
      <c r="G292" s="16">
        <v>90000</v>
      </c>
      <c r="H292" s="11">
        <f>'First Calculations'!P291</f>
        <v>15448</v>
      </c>
      <c r="I292" s="12"/>
      <c r="J292" s="13">
        <f t="shared" si="8"/>
        <v>0.17164444444444443</v>
      </c>
      <c r="L292" t="str">
        <f t="shared" si="9"/>
        <v>20.c.ps.114.259  - The Cultural Center at Ponte Vedra Beach, Inc.  $15448</v>
      </c>
    </row>
    <row r="293" spans="1:12" ht="15.75" x14ac:dyDescent="0.25">
      <c r="A293" s="15">
        <v>291</v>
      </c>
      <c r="B293" s="15" t="s">
        <v>632</v>
      </c>
      <c r="C293" s="15" t="s">
        <v>633</v>
      </c>
      <c r="D293" s="15" t="s">
        <v>172</v>
      </c>
      <c r="E293" s="16">
        <v>150000</v>
      </c>
      <c r="F293" s="15">
        <v>90.5</v>
      </c>
      <c r="G293" s="16">
        <v>150000</v>
      </c>
      <c r="H293" s="11">
        <f>'First Calculations'!P292</f>
        <v>25717</v>
      </c>
      <c r="I293" s="12"/>
      <c r="J293" s="13">
        <f t="shared" si="8"/>
        <v>0.17144666666666666</v>
      </c>
      <c r="L293" t="str">
        <f t="shared" si="9"/>
        <v>20.c.ps.170.329  - Vero Beach Museum of Art, Inc.  $25717</v>
      </c>
    </row>
    <row r="294" spans="1:12" ht="15.75" x14ac:dyDescent="0.25">
      <c r="A294" s="15">
        <v>292</v>
      </c>
      <c r="B294" s="15" t="s">
        <v>634</v>
      </c>
      <c r="C294" s="15" t="s">
        <v>635</v>
      </c>
      <c r="D294" s="15" t="s">
        <v>33</v>
      </c>
      <c r="E294" s="16">
        <v>25000</v>
      </c>
      <c r="F294" s="15">
        <v>90.5</v>
      </c>
      <c r="G294" s="16">
        <v>25000</v>
      </c>
      <c r="H294" s="11">
        <f>'First Calculations'!P293</f>
        <v>4299</v>
      </c>
      <c r="I294" s="12"/>
      <c r="J294" s="13">
        <f t="shared" si="8"/>
        <v>0.17196</v>
      </c>
      <c r="L294" t="str">
        <f t="shared" si="9"/>
        <v>20.c.ps.180.201  - WSLR  $4299</v>
      </c>
    </row>
    <row r="295" spans="1:12" ht="15.75" x14ac:dyDescent="0.25">
      <c r="A295" s="15">
        <v>293</v>
      </c>
      <c r="B295" s="15" t="s">
        <v>636</v>
      </c>
      <c r="C295" s="15" t="s">
        <v>637</v>
      </c>
      <c r="D295" s="15" t="s">
        <v>39</v>
      </c>
      <c r="E295" s="16">
        <v>150000</v>
      </c>
      <c r="F295" s="15">
        <v>90.5</v>
      </c>
      <c r="G295" s="16">
        <v>150000</v>
      </c>
      <c r="H295" s="11">
        <f>'First Calculations'!P294</f>
        <v>25717</v>
      </c>
      <c r="I295" s="12"/>
      <c r="J295" s="13">
        <f t="shared" si="8"/>
        <v>0.17144666666666666</v>
      </c>
      <c r="L295" t="str">
        <f t="shared" si="9"/>
        <v>20.c.ps.500.294  - Cultural Council of Palm Beach County, Inc.  $25717</v>
      </c>
    </row>
    <row r="296" spans="1:12" ht="15.75" x14ac:dyDescent="0.25">
      <c r="A296" s="15">
        <v>294</v>
      </c>
      <c r="B296" s="15" t="s">
        <v>638</v>
      </c>
      <c r="C296" s="15" t="s">
        <v>217</v>
      </c>
      <c r="D296" s="15" t="s">
        <v>28</v>
      </c>
      <c r="E296" s="16">
        <v>90000</v>
      </c>
      <c r="F296" s="15">
        <v>90.5</v>
      </c>
      <c r="G296" s="16">
        <v>90000</v>
      </c>
      <c r="H296" s="11">
        <f>'First Calculations'!P295</f>
        <v>15436</v>
      </c>
      <c r="I296" s="12"/>
      <c r="J296" s="13">
        <f t="shared" si="8"/>
        <v>0.17151111111111111</v>
      </c>
      <c r="L296" t="str">
        <f t="shared" si="9"/>
        <v>20.c.ps.180.328  - Miami Dade College  $15436</v>
      </c>
    </row>
    <row r="297" spans="1:12" ht="15.75" x14ac:dyDescent="0.25">
      <c r="A297" s="15">
        <v>295</v>
      </c>
      <c r="B297" s="15" t="s">
        <v>639</v>
      </c>
      <c r="C297" s="15" t="s">
        <v>640</v>
      </c>
      <c r="D297" s="15" t="s">
        <v>28</v>
      </c>
      <c r="E297" s="16">
        <v>150000</v>
      </c>
      <c r="F297" s="15">
        <v>90.429000000000002</v>
      </c>
      <c r="G297" s="16">
        <v>150000</v>
      </c>
      <c r="H297" s="11">
        <f>'First Calculations'!P296</f>
        <v>25697</v>
      </c>
      <c r="I297" s="12"/>
      <c r="J297" s="13">
        <f t="shared" si="8"/>
        <v>0.17131333333333335</v>
      </c>
      <c r="L297" t="str">
        <f t="shared" si="9"/>
        <v>20.c.ps.170.561  - The Florida International University Board of Trustees  $25697</v>
      </c>
    </row>
    <row r="298" spans="1:12" ht="15.75" x14ac:dyDescent="0.25">
      <c r="A298" s="15">
        <v>296</v>
      </c>
      <c r="B298" s="15" t="s">
        <v>641</v>
      </c>
      <c r="C298" s="15" t="s">
        <v>642</v>
      </c>
      <c r="D298" s="15" t="s">
        <v>36</v>
      </c>
      <c r="E298" s="16">
        <v>150000</v>
      </c>
      <c r="F298" s="15">
        <v>90.429000000000002</v>
      </c>
      <c r="G298" s="16">
        <v>150000</v>
      </c>
      <c r="H298" s="11">
        <f>'First Calculations'!P297</f>
        <v>25697</v>
      </c>
      <c r="I298" s="12"/>
      <c r="J298" s="13">
        <f t="shared" si="8"/>
        <v>0.17131333333333335</v>
      </c>
      <c r="L298" t="str">
        <f t="shared" si="9"/>
        <v>20.c.ps.170.283  - Flamingo Gardens, Inc.  $25697</v>
      </c>
    </row>
    <row r="299" spans="1:12" ht="15.75" x14ac:dyDescent="0.25">
      <c r="A299" s="15">
        <v>297</v>
      </c>
      <c r="B299" s="15" t="s">
        <v>643</v>
      </c>
      <c r="C299" s="15" t="s">
        <v>644</v>
      </c>
      <c r="D299" s="15" t="s">
        <v>593</v>
      </c>
      <c r="E299" s="16">
        <v>40000</v>
      </c>
      <c r="F299" s="15">
        <v>90.4</v>
      </c>
      <c r="G299" s="16">
        <v>40000</v>
      </c>
      <c r="H299" s="11">
        <f>'First Calculations'!P298</f>
        <v>6861</v>
      </c>
      <c r="I299" s="12"/>
      <c r="J299" s="13">
        <f t="shared" si="8"/>
        <v>0.17152500000000001</v>
      </c>
      <c r="L299" t="str">
        <f t="shared" si="9"/>
        <v>20.c.ps.105.363  - The St. Augustine Art Association  $6861</v>
      </c>
    </row>
    <row r="300" spans="1:12" ht="15.75" x14ac:dyDescent="0.25">
      <c r="A300" s="15">
        <v>298</v>
      </c>
      <c r="B300" s="15" t="s">
        <v>645</v>
      </c>
      <c r="C300" s="15" t="s">
        <v>646</v>
      </c>
      <c r="D300" s="15" t="s">
        <v>28</v>
      </c>
      <c r="E300" s="16">
        <v>15000</v>
      </c>
      <c r="F300" s="15">
        <v>90.332999999999998</v>
      </c>
      <c r="G300" s="16">
        <v>15000</v>
      </c>
      <c r="H300" s="11">
        <f>'First Calculations'!P299</f>
        <v>2580</v>
      </c>
      <c r="I300" s="12"/>
      <c r="J300" s="13">
        <f t="shared" si="8"/>
        <v>0.17199999999999999</v>
      </c>
      <c r="L300" t="str">
        <f t="shared" si="9"/>
        <v>20.c.ps.142.130  - Arca Images, Inc.  $2580</v>
      </c>
    </row>
    <row r="301" spans="1:12" ht="15.75" x14ac:dyDescent="0.25">
      <c r="A301" s="15">
        <v>299</v>
      </c>
      <c r="B301" s="15" t="s">
        <v>647</v>
      </c>
      <c r="C301" s="15" t="s">
        <v>648</v>
      </c>
      <c r="D301" s="15" t="s">
        <v>67</v>
      </c>
      <c r="E301" s="16">
        <v>48288</v>
      </c>
      <c r="F301" s="15">
        <v>90.286000000000001</v>
      </c>
      <c r="G301" s="16">
        <v>48288</v>
      </c>
      <c r="H301" s="11">
        <f>'First Calculations'!P300</f>
        <v>8269</v>
      </c>
      <c r="I301" s="12"/>
      <c r="J301" s="13">
        <f t="shared" si="8"/>
        <v>0.17124337309476476</v>
      </c>
      <c r="L301" t="str">
        <f t="shared" si="9"/>
        <v>20.c.ps.114.751  - Santa Fe College  $8269</v>
      </c>
    </row>
    <row r="302" spans="1:12" ht="15.75" x14ac:dyDescent="0.25">
      <c r="A302" s="15">
        <v>300</v>
      </c>
      <c r="B302" s="15" t="s">
        <v>649</v>
      </c>
      <c r="C302" s="15" t="s">
        <v>650</v>
      </c>
      <c r="D302" s="15" t="s">
        <v>87</v>
      </c>
      <c r="E302" s="16">
        <v>150000</v>
      </c>
      <c r="F302" s="15">
        <v>90.25</v>
      </c>
      <c r="G302" s="16">
        <v>150000</v>
      </c>
      <c r="H302" s="11">
        <f>'First Calculations'!P301</f>
        <v>25646</v>
      </c>
      <c r="I302" s="12"/>
      <c r="J302" s="13">
        <f t="shared" si="8"/>
        <v>0.17097333333333334</v>
      </c>
      <c r="L302" t="str">
        <f t="shared" si="9"/>
        <v>20.c.ps.109.350  - The University of Central Florida Board of Trustees  $25646</v>
      </c>
    </row>
    <row r="303" spans="1:12" ht="15.75" x14ac:dyDescent="0.25">
      <c r="A303" s="15">
        <v>301</v>
      </c>
      <c r="B303" s="15" t="s">
        <v>651</v>
      </c>
      <c r="C303" s="15" t="s">
        <v>652</v>
      </c>
      <c r="D303" s="15" t="s">
        <v>90</v>
      </c>
      <c r="E303" s="16">
        <v>40000</v>
      </c>
      <c r="F303" s="15">
        <v>90.2</v>
      </c>
      <c r="G303" s="16">
        <v>40000</v>
      </c>
      <c r="H303" s="11">
        <f>'First Calculations'!P302</f>
        <v>6846</v>
      </c>
      <c r="I303" s="12"/>
      <c r="J303" s="13">
        <f t="shared" si="8"/>
        <v>0.17115</v>
      </c>
      <c r="L303" t="str">
        <f t="shared" si="9"/>
        <v>20.c.ps.102.160  - Melbourne Municipal Band Association, Inc.  $6846</v>
      </c>
    </row>
    <row r="304" spans="1:12" ht="15.75" x14ac:dyDescent="0.25">
      <c r="A304" s="15">
        <v>302</v>
      </c>
      <c r="B304" s="15" t="s">
        <v>653</v>
      </c>
      <c r="C304" s="15" t="s">
        <v>654</v>
      </c>
      <c r="D304" s="15" t="s">
        <v>287</v>
      </c>
      <c r="E304" s="16">
        <v>39223</v>
      </c>
      <c r="F304" s="15">
        <v>90.167000000000002</v>
      </c>
      <c r="G304" s="16">
        <v>39223</v>
      </c>
      <c r="H304" s="11">
        <f>'First Calculations'!P303</f>
        <v>6711</v>
      </c>
      <c r="I304" s="12"/>
      <c r="J304" s="13">
        <f t="shared" si="8"/>
        <v>0.17109859011294393</v>
      </c>
      <c r="L304" t="str">
        <f t="shared" si="9"/>
        <v>20.c.ps.500.070  - Monroe Council of the Arts Corporation  $6711</v>
      </c>
    </row>
    <row r="305" spans="1:12" ht="15.75" x14ac:dyDescent="0.25">
      <c r="A305" s="15">
        <v>303</v>
      </c>
      <c r="B305" s="15" t="s">
        <v>655</v>
      </c>
      <c r="C305" s="15" t="s">
        <v>656</v>
      </c>
      <c r="D305" s="15" t="s">
        <v>28</v>
      </c>
      <c r="E305" s="16">
        <v>73000</v>
      </c>
      <c r="F305" s="15">
        <v>90.167000000000002</v>
      </c>
      <c r="G305" s="16">
        <v>73000</v>
      </c>
      <c r="H305" s="11">
        <f>'First Calculations'!P304</f>
        <v>12477</v>
      </c>
      <c r="I305" s="12"/>
      <c r="J305" s="13">
        <f t="shared" si="8"/>
        <v>0.17091780821917807</v>
      </c>
      <c r="L305" t="str">
        <f t="shared" si="9"/>
        <v>20.c.ps.180.139  - Fundarte, Inc.  $12477</v>
      </c>
    </row>
    <row r="306" spans="1:12" ht="15.75" x14ac:dyDescent="0.25">
      <c r="A306" s="15">
        <v>304</v>
      </c>
      <c r="B306" s="15" t="s">
        <v>657</v>
      </c>
      <c r="C306" s="15" t="s">
        <v>658</v>
      </c>
      <c r="D306" s="15" t="s">
        <v>115</v>
      </c>
      <c r="E306" s="16">
        <v>150000</v>
      </c>
      <c r="F306" s="15">
        <v>90.167000000000002</v>
      </c>
      <c r="G306" s="16">
        <v>150000</v>
      </c>
      <c r="H306" s="11">
        <f>'First Calculations'!P305</f>
        <v>25623</v>
      </c>
      <c r="I306" s="12"/>
      <c r="J306" s="13">
        <f t="shared" si="8"/>
        <v>0.17082</v>
      </c>
      <c r="L306" t="str">
        <f t="shared" si="9"/>
        <v>20.c.ps.500.149  - Tallahassee-Leon County Cultural Resources Commission  $25623</v>
      </c>
    </row>
    <row r="307" spans="1:12" ht="15.75" x14ac:dyDescent="0.25">
      <c r="A307" s="15">
        <v>305</v>
      </c>
      <c r="B307" s="15" t="s">
        <v>659</v>
      </c>
      <c r="C307" s="15" t="s">
        <v>217</v>
      </c>
      <c r="D307" s="15" t="s">
        <v>28</v>
      </c>
      <c r="E307" s="16">
        <v>36029</v>
      </c>
      <c r="F307" s="15">
        <v>90.167000000000002</v>
      </c>
      <c r="G307" s="16">
        <v>36029</v>
      </c>
      <c r="H307" s="11">
        <f>'First Calculations'!P306</f>
        <v>6166</v>
      </c>
      <c r="I307" s="12"/>
      <c r="J307" s="13">
        <f t="shared" si="8"/>
        <v>0.17113991506841711</v>
      </c>
      <c r="L307" t="str">
        <f t="shared" si="9"/>
        <v>20.c.ps.142.618  - Miami Dade College  $6166</v>
      </c>
    </row>
    <row r="308" spans="1:12" ht="15.75" x14ac:dyDescent="0.25">
      <c r="A308" s="15">
        <v>306</v>
      </c>
      <c r="B308" s="15" t="s">
        <v>660</v>
      </c>
      <c r="C308" s="15" t="s">
        <v>661</v>
      </c>
      <c r="D308" s="15" t="s">
        <v>359</v>
      </c>
      <c r="E308" s="16">
        <v>24579</v>
      </c>
      <c r="F308" s="15">
        <v>90.143000000000001</v>
      </c>
      <c r="G308" s="16">
        <v>24579</v>
      </c>
      <c r="H308" s="11">
        <f>'First Calculations'!P307</f>
        <v>4210</v>
      </c>
      <c r="I308" s="12"/>
      <c r="J308" s="13">
        <f t="shared" si="8"/>
        <v>0.17128442979779487</v>
      </c>
      <c r="L308" t="str">
        <f t="shared" si="9"/>
        <v>20.c.ps.170.290  - Emerald Coast Science Center  $4210</v>
      </c>
    </row>
    <row r="309" spans="1:12" ht="15.75" x14ac:dyDescent="0.25">
      <c r="A309" s="15">
        <v>307</v>
      </c>
      <c r="B309" s="15" t="s">
        <v>662</v>
      </c>
      <c r="C309" s="15" t="s">
        <v>663</v>
      </c>
      <c r="D309" s="15" t="s">
        <v>304</v>
      </c>
      <c r="E309" s="16">
        <v>25000</v>
      </c>
      <c r="F309" s="15">
        <v>90.143000000000001</v>
      </c>
      <c r="G309" s="16">
        <v>25000</v>
      </c>
      <c r="H309" s="11">
        <f>'First Calculations'!P308</f>
        <v>4282</v>
      </c>
      <c r="I309" s="12"/>
      <c r="J309" s="13">
        <f t="shared" si="8"/>
        <v>0.17127999999999999</v>
      </c>
      <c r="L309" t="str">
        <f t="shared" si="9"/>
        <v>20.c.ps.141.617  - Ritz Community Theater Projects, Inc.  $4282</v>
      </c>
    </row>
    <row r="310" spans="1:12" ht="15.75" x14ac:dyDescent="0.25">
      <c r="A310" s="15">
        <v>308</v>
      </c>
      <c r="B310" s="15" t="s">
        <v>664</v>
      </c>
      <c r="C310" s="15" t="s">
        <v>665</v>
      </c>
      <c r="D310" s="15" t="s">
        <v>39</v>
      </c>
      <c r="E310" s="16">
        <v>50121</v>
      </c>
      <c r="F310" s="15">
        <v>90.143000000000001</v>
      </c>
      <c r="G310" s="16">
        <v>50121</v>
      </c>
      <c r="H310" s="11">
        <f>'First Calculations'!P309</f>
        <v>8569</v>
      </c>
      <c r="I310" s="12"/>
      <c r="J310" s="13">
        <f t="shared" si="8"/>
        <v>0.17096626164681472</v>
      </c>
      <c r="L310" t="str">
        <f t="shared" si="9"/>
        <v>20.c.ps.170.385  - Expanding and Preserving Our Cultural Heritage, Inc.  $8569</v>
      </c>
    </row>
    <row r="311" spans="1:12" ht="15.75" x14ac:dyDescent="0.25">
      <c r="A311" s="15">
        <v>309</v>
      </c>
      <c r="B311" s="15" t="s">
        <v>666</v>
      </c>
      <c r="C311" s="15" t="s">
        <v>667</v>
      </c>
      <c r="D311" s="15" t="s">
        <v>28</v>
      </c>
      <c r="E311" s="16">
        <v>40000</v>
      </c>
      <c r="F311" s="15">
        <v>90.143000000000001</v>
      </c>
      <c r="G311" s="16">
        <v>40000</v>
      </c>
      <c r="H311" s="11">
        <f>'First Calculations'!P310</f>
        <v>6842</v>
      </c>
      <c r="I311" s="12"/>
      <c r="J311" s="13">
        <f t="shared" si="8"/>
        <v>0.17105000000000001</v>
      </c>
      <c r="L311" t="str">
        <f t="shared" si="9"/>
        <v>20.c.ps.101.152  - Karen Peterson and Dancers, Inc.  $6842</v>
      </c>
    </row>
    <row r="312" spans="1:12" ht="25.5" x14ac:dyDescent="0.25">
      <c r="A312" s="15">
        <v>310</v>
      </c>
      <c r="B312" s="15" t="s">
        <v>668</v>
      </c>
      <c r="C312" s="15" t="s">
        <v>669</v>
      </c>
      <c r="D312" s="15" t="s">
        <v>57</v>
      </c>
      <c r="E312" s="16">
        <v>40000</v>
      </c>
      <c r="F312" s="15">
        <v>90.143000000000001</v>
      </c>
      <c r="G312" s="16">
        <v>40000</v>
      </c>
      <c r="H312" s="11">
        <f>'First Calculations'!P311</f>
        <v>6842</v>
      </c>
      <c r="I312" s="12"/>
      <c r="J312" s="13">
        <f t="shared" si="8"/>
        <v>0.17105000000000001</v>
      </c>
      <c r="L312" t="str">
        <f t="shared" si="9"/>
        <v>20.c.ps.114.382  - Firehouse Cultural Center, Inc.  $6842</v>
      </c>
    </row>
    <row r="313" spans="1:12" ht="15.75" x14ac:dyDescent="0.25">
      <c r="A313" s="15">
        <v>311</v>
      </c>
      <c r="B313" s="15" t="s">
        <v>670</v>
      </c>
      <c r="C313" s="15" t="s">
        <v>671</v>
      </c>
      <c r="D313" s="15" t="s">
        <v>36</v>
      </c>
      <c r="E313" s="16">
        <v>29205</v>
      </c>
      <c r="F313" s="15">
        <v>90</v>
      </c>
      <c r="G313" s="16">
        <v>29205</v>
      </c>
      <c r="H313" s="11">
        <f>'First Calculations'!P312</f>
        <v>4992</v>
      </c>
      <c r="I313" s="12"/>
      <c r="J313" s="13">
        <f t="shared" si="8"/>
        <v>0.170929635336415</v>
      </c>
      <c r="L313" t="str">
        <f t="shared" si="9"/>
        <v>20.c.ps.102.126  - Master Chorale of South Florida, Inc.  $4992</v>
      </c>
    </row>
    <row r="314" spans="1:12" ht="15.75" x14ac:dyDescent="0.25">
      <c r="A314" s="15">
        <v>312</v>
      </c>
      <c r="B314" s="15" t="s">
        <v>672</v>
      </c>
      <c r="C314" s="15" t="s">
        <v>673</v>
      </c>
      <c r="D314" s="15" t="s">
        <v>36</v>
      </c>
      <c r="E314" s="16">
        <v>150000</v>
      </c>
      <c r="F314" s="15">
        <v>90</v>
      </c>
      <c r="G314" s="16">
        <v>150000</v>
      </c>
      <c r="H314" s="11">
        <f>'First Calculations'!P313</f>
        <v>25575</v>
      </c>
      <c r="I314" s="12"/>
      <c r="J314" s="13">
        <f t="shared" si="8"/>
        <v>0.17050000000000001</v>
      </c>
      <c r="L314" t="str">
        <f t="shared" si="9"/>
        <v>20.c.ps.114.369  - City of Coral Springs  $25575</v>
      </c>
    </row>
    <row r="315" spans="1:12" ht="15.75" x14ac:dyDescent="0.25">
      <c r="A315" s="15">
        <v>313</v>
      </c>
      <c r="B315" s="15" t="s">
        <v>674</v>
      </c>
      <c r="C315" s="15" t="s">
        <v>675</v>
      </c>
      <c r="D315" s="15" t="s">
        <v>39</v>
      </c>
      <c r="E315" s="16">
        <v>90000</v>
      </c>
      <c r="F315" s="15">
        <v>90</v>
      </c>
      <c r="G315" s="16">
        <v>90000</v>
      </c>
      <c r="H315" s="11">
        <f>'First Calculations'!P314</f>
        <v>15351</v>
      </c>
      <c r="I315" s="12"/>
      <c r="J315" s="13">
        <f t="shared" si="8"/>
        <v>0.17056666666666667</v>
      </c>
      <c r="L315" t="str">
        <f t="shared" si="9"/>
        <v>20.c.ps.141.413  - The Lake Worth Playhouse, Inc.  $15351</v>
      </c>
    </row>
    <row r="316" spans="1:12" ht="15.75" x14ac:dyDescent="0.25">
      <c r="A316" s="15">
        <v>314</v>
      </c>
      <c r="B316" s="15" t="s">
        <v>676</v>
      </c>
      <c r="C316" s="15" t="s">
        <v>677</v>
      </c>
      <c r="D316" s="15" t="s">
        <v>90</v>
      </c>
      <c r="E316" s="16">
        <v>90000</v>
      </c>
      <c r="F316" s="15">
        <v>90</v>
      </c>
      <c r="G316" s="16">
        <v>90000</v>
      </c>
      <c r="H316" s="11">
        <f>'First Calculations'!P315</f>
        <v>15351</v>
      </c>
      <c r="I316" s="12"/>
      <c r="J316" s="13">
        <f t="shared" si="8"/>
        <v>0.17056666666666667</v>
      </c>
      <c r="L316" t="str">
        <f t="shared" si="9"/>
        <v>20.c.ps.114.407  - The Florida Historical Society  $15351</v>
      </c>
    </row>
    <row r="317" spans="1:12" ht="15.75" x14ac:dyDescent="0.25">
      <c r="A317" s="15">
        <v>315</v>
      </c>
      <c r="B317" s="15" t="s">
        <v>678</v>
      </c>
      <c r="C317" s="15" t="s">
        <v>679</v>
      </c>
      <c r="D317" s="15" t="s">
        <v>90</v>
      </c>
      <c r="E317" s="16">
        <v>90000</v>
      </c>
      <c r="F317" s="15">
        <v>90</v>
      </c>
      <c r="G317" s="16">
        <v>90000</v>
      </c>
      <c r="H317" s="11">
        <f>'First Calculations'!P316</f>
        <v>15351</v>
      </c>
      <c r="I317" s="12"/>
      <c r="J317" s="13">
        <f t="shared" si="8"/>
        <v>0.17056666666666667</v>
      </c>
      <c r="L317" t="str">
        <f t="shared" si="9"/>
        <v>20.c.ps.500.693  - Brevard Cultural Alliance, Inc.  $15351</v>
      </c>
    </row>
    <row r="318" spans="1:12" ht="15.75" x14ac:dyDescent="0.25">
      <c r="A318" s="15">
        <v>316</v>
      </c>
      <c r="B318" s="15" t="s">
        <v>680</v>
      </c>
      <c r="C318" s="15" t="s">
        <v>681</v>
      </c>
      <c r="D318" s="15" t="s">
        <v>28</v>
      </c>
      <c r="E318" s="16">
        <v>150000</v>
      </c>
      <c r="F318" s="15">
        <v>90</v>
      </c>
      <c r="G318" s="16">
        <v>150000</v>
      </c>
      <c r="H318" s="11">
        <f>'First Calculations'!P317</f>
        <v>25575</v>
      </c>
      <c r="I318" s="12"/>
      <c r="J318" s="13">
        <f t="shared" si="8"/>
        <v>0.17050000000000001</v>
      </c>
      <c r="L318" t="str">
        <f t="shared" si="9"/>
        <v>20.c.ps.170.685  - Museum of Contemporary Art, Inc.  $25575</v>
      </c>
    </row>
    <row r="319" spans="1:12" ht="15.75" x14ac:dyDescent="0.25">
      <c r="A319" s="15">
        <v>317</v>
      </c>
      <c r="B319" s="15" t="s">
        <v>682</v>
      </c>
      <c r="C319" s="15" t="s">
        <v>683</v>
      </c>
      <c r="D319" s="15" t="s">
        <v>28</v>
      </c>
      <c r="E319" s="16">
        <v>40000</v>
      </c>
      <c r="F319" s="15">
        <v>90</v>
      </c>
      <c r="G319" s="16">
        <v>40000</v>
      </c>
      <c r="H319" s="11">
        <f>'First Calculations'!P318</f>
        <v>6831</v>
      </c>
      <c r="I319" s="12"/>
      <c r="J319" s="13">
        <f t="shared" si="8"/>
        <v>0.17077500000000001</v>
      </c>
      <c r="L319" t="str">
        <f t="shared" si="9"/>
        <v>20.c.ps.114.397  - Bas Fisher Invitational, Inc.  $6831</v>
      </c>
    </row>
    <row r="320" spans="1:12" ht="15.75" x14ac:dyDescent="0.25">
      <c r="A320" s="15">
        <v>318</v>
      </c>
      <c r="B320" s="15" t="s">
        <v>684</v>
      </c>
      <c r="C320" s="15" t="s">
        <v>685</v>
      </c>
      <c r="D320" s="15" t="s">
        <v>287</v>
      </c>
      <c r="E320" s="16">
        <v>25000</v>
      </c>
      <c r="F320" s="15">
        <v>89.856999999999999</v>
      </c>
      <c r="G320" s="16">
        <v>25000</v>
      </c>
      <c r="H320" s="11">
        <f>'First Calculations'!P319</f>
        <v>4268</v>
      </c>
      <c r="I320" s="12"/>
      <c r="J320" s="13">
        <f t="shared" si="8"/>
        <v>0.17072000000000001</v>
      </c>
      <c r="L320" t="str">
        <f t="shared" si="9"/>
        <v>20.c.ps.170.365  - Florida Keys History and Discovery Foundation, Inc.  $4268</v>
      </c>
    </row>
    <row r="321" spans="1:12" ht="25.5" x14ac:dyDescent="0.25">
      <c r="A321" s="15">
        <v>319</v>
      </c>
      <c r="B321" s="15" t="s">
        <v>686</v>
      </c>
      <c r="C321" s="15" t="s">
        <v>687</v>
      </c>
      <c r="D321" s="15" t="s">
        <v>57</v>
      </c>
      <c r="E321" s="16">
        <v>18000</v>
      </c>
      <c r="F321" s="15">
        <v>89.856999999999999</v>
      </c>
      <c r="G321" s="16">
        <v>18000</v>
      </c>
      <c r="H321" s="11">
        <f>'First Calculations'!P320</f>
        <v>3077</v>
      </c>
      <c r="I321" s="12"/>
      <c r="J321" s="13">
        <f t="shared" si="8"/>
        <v>0.17094444444444445</v>
      </c>
      <c r="L321" t="str">
        <f t="shared" si="9"/>
        <v>20.c.ps.141.722  - New Tampa Players  $3077</v>
      </c>
    </row>
    <row r="322" spans="1:12" ht="15.75" x14ac:dyDescent="0.25">
      <c r="A322" s="15">
        <v>320</v>
      </c>
      <c r="B322" s="15" t="s">
        <v>688</v>
      </c>
      <c r="C322" s="15" t="s">
        <v>689</v>
      </c>
      <c r="D322" s="15" t="s">
        <v>28</v>
      </c>
      <c r="E322" s="16">
        <v>15361</v>
      </c>
      <c r="F322" s="15">
        <v>89.8</v>
      </c>
      <c r="G322" s="16">
        <v>15361</v>
      </c>
      <c r="H322" s="11">
        <f>'First Calculations'!P321</f>
        <v>2627</v>
      </c>
      <c r="I322" s="12"/>
      <c r="J322" s="13">
        <f t="shared" si="8"/>
        <v>0.17101751188073694</v>
      </c>
      <c r="L322" t="str">
        <f t="shared" si="9"/>
        <v>20.c.ps.102.041  - Alhambra Music, Inc.  $2627</v>
      </c>
    </row>
    <row r="323" spans="1:12" ht="15.75" x14ac:dyDescent="0.25">
      <c r="A323" s="15">
        <v>321</v>
      </c>
      <c r="B323" s="15" t="s">
        <v>690</v>
      </c>
      <c r="C323" s="15" t="s">
        <v>691</v>
      </c>
      <c r="D323" s="15" t="s">
        <v>90</v>
      </c>
      <c r="E323" s="16">
        <v>90000</v>
      </c>
      <c r="F323" s="15">
        <v>89.713999999999999</v>
      </c>
      <c r="G323" s="16">
        <v>90000</v>
      </c>
      <c r="H323" s="11">
        <f>'First Calculations'!P322</f>
        <v>15302</v>
      </c>
      <c r="I323" s="12"/>
      <c r="J323" s="13">
        <f t="shared" ref="J323:J386" si="10">H323/E323</f>
        <v>0.17002222222222221</v>
      </c>
      <c r="L323" t="str">
        <f t="shared" si="9"/>
        <v>20.c.ps.141.247  - Brevard Regional Arts Group, Inc.  $15302</v>
      </c>
    </row>
    <row r="324" spans="1:12" ht="15.75" x14ac:dyDescent="0.25">
      <c r="A324" s="15">
        <v>322</v>
      </c>
      <c r="B324" s="15" t="s">
        <v>692</v>
      </c>
      <c r="C324" s="15" t="s">
        <v>693</v>
      </c>
      <c r="D324" s="15" t="s">
        <v>388</v>
      </c>
      <c r="E324" s="16">
        <v>25000</v>
      </c>
      <c r="F324" s="15">
        <v>89.713999999999999</v>
      </c>
      <c r="G324" s="16">
        <v>25000</v>
      </c>
      <c r="H324" s="11">
        <f>'First Calculations'!P323</f>
        <v>4261</v>
      </c>
      <c r="I324" s="12"/>
      <c r="J324" s="13">
        <f t="shared" si="10"/>
        <v>0.17044000000000001</v>
      </c>
      <c r="L324" t="str">
        <f t="shared" ref="L324:L387" si="11">B324&amp;" - "&amp;C324&amp;" $"&amp;H324</f>
        <v>20.c.ps.170.483  - Fort Pierce Utilities Authority  $4261</v>
      </c>
    </row>
    <row r="325" spans="1:12" ht="15.75" x14ac:dyDescent="0.25">
      <c r="A325" s="15">
        <v>323</v>
      </c>
      <c r="B325" s="15" t="s">
        <v>694</v>
      </c>
      <c r="C325" s="15" t="s">
        <v>695</v>
      </c>
      <c r="D325" s="15" t="s">
        <v>36</v>
      </c>
      <c r="E325" s="16">
        <v>150000</v>
      </c>
      <c r="F325" s="15">
        <v>89.713999999999999</v>
      </c>
      <c r="G325" s="16">
        <v>150000</v>
      </c>
      <c r="H325" s="11">
        <f>'First Calculations'!P324</f>
        <v>25494</v>
      </c>
      <c r="I325" s="12"/>
      <c r="J325" s="13">
        <f t="shared" si="10"/>
        <v>0.16996</v>
      </c>
      <c r="L325" t="str">
        <f t="shared" si="11"/>
        <v>20.c.ps.180.784  - City of Pompano Beach Parks, Recreation and Cultural Affairs  $25494</v>
      </c>
    </row>
    <row r="326" spans="1:12" ht="15.75" x14ac:dyDescent="0.25">
      <c r="A326" s="15">
        <v>324</v>
      </c>
      <c r="B326" s="15" t="s">
        <v>696</v>
      </c>
      <c r="C326" s="15" t="s">
        <v>697</v>
      </c>
      <c r="D326" s="15" t="s">
        <v>80</v>
      </c>
      <c r="E326" s="16">
        <v>25000</v>
      </c>
      <c r="F326" s="15">
        <v>89.713999999999999</v>
      </c>
      <c r="G326" s="16">
        <v>25000</v>
      </c>
      <c r="H326" s="11">
        <f>'First Calculations'!P325</f>
        <v>4261</v>
      </c>
      <c r="I326" s="12"/>
      <c r="J326" s="13">
        <f t="shared" si="10"/>
        <v>0.17044000000000001</v>
      </c>
      <c r="L326" t="str">
        <f t="shared" si="11"/>
        <v>20.c.ps.141.665  - Eight O'Clock Theatre, Inc  $4261</v>
      </c>
    </row>
    <row r="327" spans="1:12" ht="25.5" x14ac:dyDescent="0.25">
      <c r="A327" s="15">
        <v>325</v>
      </c>
      <c r="B327" s="15" t="s">
        <v>698</v>
      </c>
      <c r="C327" s="15" t="s">
        <v>699</v>
      </c>
      <c r="D327" s="15" t="s">
        <v>57</v>
      </c>
      <c r="E327" s="16">
        <v>150000</v>
      </c>
      <c r="F327" s="15">
        <v>89.667000000000002</v>
      </c>
      <c r="G327" s="16">
        <v>150000</v>
      </c>
      <c r="H327" s="11">
        <f>'First Calculations'!P326</f>
        <v>25481</v>
      </c>
      <c r="I327" s="12"/>
      <c r="J327" s="13">
        <f t="shared" si="10"/>
        <v>0.16987333333333332</v>
      </c>
      <c r="L327" t="str">
        <f t="shared" si="11"/>
        <v>20.c.ps.170.324  - The Florida Aquarium, Inc.  $25481</v>
      </c>
    </row>
    <row r="328" spans="1:12" ht="15.75" x14ac:dyDescent="0.25">
      <c r="A328" s="15">
        <v>326</v>
      </c>
      <c r="B328" s="15" t="s">
        <v>700</v>
      </c>
      <c r="C328" s="15" t="s">
        <v>701</v>
      </c>
      <c r="D328" s="15" t="s">
        <v>39</v>
      </c>
      <c r="E328" s="16">
        <v>73534</v>
      </c>
      <c r="F328" s="15">
        <v>89.667000000000002</v>
      </c>
      <c r="G328" s="16">
        <v>73534</v>
      </c>
      <c r="H328" s="11">
        <f>'First Calculations'!P327</f>
        <v>12499</v>
      </c>
      <c r="I328" s="12"/>
      <c r="J328" s="13">
        <f t="shared" si="10"/>
        <v>0.16997579351048495</v>
      </c>
      <c r="L328" t="str">
        <f t="shared" si="11"/>
        <v>20.c.ps.200.272  - Center for Creative Education, Inc.  $12499</v>
      </c>
    </row>
    <row r="329" spans="1:12" ht="15.75" x14ac:dyDescent="0.25">
      <c r="A329" s="15">
        <v>327</v>
      </c>
      <c r="B329" s="15" t="s">
        <v>702</v>
      </c>
      <c r="C329" s="15" t="s">
        <v>703</v>
      </c>
      <c r="D329" s="15" t="s">
        <v>704</v>
      </c>
      <c r="E329" s="16">
        <v>58500</v>
      </c>
      <c r="F329" s="15">
        <v>89.667000000000002</v>
      </c>
      <c r="G329" s="16">
        <v>58500</v>
      </c>
      <c r="H329" s="11">
        <f>'First Calculations'!P328</f>
        <v>9947</v>
      </c>
      <c r="I329" s="12"/>
      <c r="J329" s="13">
        <f t="shared" si="10"/>
        <v>0.17003418803418804</v>
      </c>
      <c r="L329" t="str">
        <f t="shared" si="11"/>
        <v>20.c.ps.500.478  - The Arts Council, Inc.  $9947</v>
      </c>
    </row>
    <row r="330" spans="1:12" ht="15.75" x14ac:dyDescent="0.25">
      <c r="A330" s="15">
        <v>328</v>
      </c>
      <c r="B330" s="15" t="s">
        <v>705</v>
      </c>
      <c r="C330" s="15" t="s">
        <v>706</v>
      </c>
      <c r="D330" s="15" t="s">
        <v>510</v>
      </c>
      <c r="E330" s="16">
        <v>76500</v>
      </c>
      <c r="F330" s="15">
        <v>89.667000000000002</v>
      </c>
      <c r="G330" s="16">
        <v>76500</v>
      </c>
      <c r="H330" s="11">
        <f>'First Calculations'!P329</f>
        <v>13002</v>
      </c>
      <c r="I330" s="12"/>
      <c r="J330" s="13">
        <f t="shared" si="10"/>
        <v>0.16996078431372549</v>
      </c>
      <c r="L330" t="str">
        <f t="shared" si="11"/>
        <v>20.c.ps.142.542  - Flagler Auditorium Governing Board, Inc.  $13002</v>
      </c>
    </row>
    <row r="331" spans="1:12" ht="15.75" x14ac:dyDescent="0.25">
      <c r="A331" s="15">
        <v>329</v>
      </c>
      <c r="B331" s="15" t="s">
        <v>707</v>
      </c>
      <c r="C331" s="15" t="s">
        <v>708</v>
      </c>
      <c r="D331" s="15" t="s">
        <v>64</v>
      </c>
      <c r="E331" s="16">
        <v>150000</v>
      </c>
      <c r="F331" s="15">
        <v>89.667000000000002</v>
      </c>
      <c r="G331" s="16">
        <v>150000</v>
      </c>
      <c r="H331" s="11">
        <f>'First Calculations'!P330</f>
        <v>25481</v>
      </c>
      <c r="I331" s="12"/>
      <c r="J331" s="13">
        <f t="shared" si="10"/>
        <v>0.16987333333333332</v>
      </c>
      <c r="L331" t="str">
        <f t="shared" si="11"/>
        <v>20.c.ps.142.609  - Gulfshore Playhouse, Inc.  $25481</v>
      </c>
    </row>
    <row r="332" spans="1:12" ht="15.75" x14ac:dyDescent="0.25">
      <c r="A332" s="15">
        <v>330</v>
      </c>
      <c r="B332" s="15" t="s">
        <v>709</v>
      </c>
      <c r="C332" s="15" t="s">
        <v>710</v>
      </c>
      <c r="D332" s="15" t="s">
        <v>64</v>
      </c>
      <c r="E332" s="16">
        <v>25000</v>
      </c>
      <c r="F332" s="15">
        <v>89.570999999999998</v>
      </c>
      <c r="G332" s="16">
        <v>25000</v>
      </c>
      <c r="H332" s="11">
        <f>'First Calculations'!P331</f>
        <v>4255</v>
      </c>
      <c r="I332" s="12"/>
      <c r="J332" s="13">
        <f t="shared" si="10"/>
        <v>0.17019999999999999</v>
      </c>
      <c r="L332" t="str">
        <f t="shared" si="11"/>
        <v>20.c.ps.170.095  - SWFL Holocaust Museum  $4255</v>
      </c>
    </row>
    <row r="333" spans="1:12" ht="15.75" x14ac:dyDescent="0.25">
      <c r="A333" s="15">
        <v>331</v>
      </c>
      <c r="B333" s="15" t="s">
        <v>711</v>
      </c>
      <c r="C333" s="15" t="s">
        <v>712</v>
      </c>
      <c r="D333" s="15" t="s">
        <v>33</v>
      </c>
      <c r="E333" s="16">
        <v>25000</v>
      </c>
      <c r="F333" s="15">
        <v>89.570999999999998</v>
      </c>
      <c r="G333" s="16">
        <v>25000</v>
      </c>
      <c r="H333" s="11">
        <f>'First Calculations'!P332</f>
        <v>4255</v>
      </c>
      <c r="I333" s="12"/>
      <c r="J333" s="13">
        <f t="shared" si="10"/>
        <v>0.17019999999999999</v>
      </c>
      <c r="L333" t="str">
        <f t="shared" si="11"/>
        <v>20.c.ps.101.205  - The Sarasota Cuban Ballet School  $4255</v>
      </c>
    </row>
    <row r="334" spans="1:12" ht="15.75" x14ac:dyDescent="0.25">
      <c r="A334" s="15">
        <v>332</v>
      </c>
      <c r="B334" s="15" t="s">
        <v>713</v>
      </c>
      <c r="C334" s="15" t="s">
        <v>714</v>
      </c>
      <c r="D334" s="15" t="s">
        <v>715</v>
      </c>
      <c r="E334" s="16">
        <v>37800</v>
      </c>
      <c r="F334" s="15">
        <v>89.570999999999998</v>
      </c>
      <c r="G334" s="16">
        <v>37800</v>
      </c>
      <c r="H334" s="11">
        <f>'First Calculations'!P333</f>
        <v>6425</v>
      </c>
      <c r="I334" s="12"/>
      <c r="J334" s="13">
        <f t="shared" si="10"/>
        <v>0.16997354497354497</v>
      </c>
      <c r="L334" t="str">
        <f t="shared" si="11"/>
        <v>20.c.ps.102.667  - Panama City Pops Orchestra  $6425</v>
      </c>
    </row>
    <row r="335" spans="1:12" ht="15.75" x14ac:dyDescent="0.25">
      <c r="A335" s="15">
        <v>333</v>
      </c>
      <c r="B335" s="15" t="s">
        <v>716</v>
      </c>
      <c r="C335" s="15" t="s">
        <v>717</v>
      </c>
      <c r="D335" s="15" t="s">
        <v>28</v>
      </c>
      <c r="E335" s="16">
        <v>96486</v>
      </c>
      <c r="F335" s="15">
        <v>89.5</v>
      </c>
      <c r="G335" s="16">
        <v>96486</v>
      </c>
      <c r="H335" s="11">
        <f>'First Calculations'!P334</f>
        <v>16365</v>
      </c>
      <c r="I335" s="12"/>
      <c r="J335" s="13">
        <f t="shared" si="10"/>
        <v>0.16961009887444811</v>
      </c>
      <c r="L335" t="str">
        <f t="shared" si="11"/>
        <v>20.c.ps.109.256  - Coral Gables Cinemateque Inc.  $16365</v>
      </c>
    </row>
    <row r="336" spans="1:12" ht="25.5" x14ac:dyDescent="0.25">
      <c r="A336" s="15">
        <v>334</v>
      </c>
      <c r="B336" s="15" t="s">
        <v>718</v>
      </c>
      <c r="C336" s="15" t="s">
        <v>719</v>
      </c>
      <c r="D336" s="15" t="s">
        <v>57</v>
      </c>
      <c r="E336" s="16">
        <v>58000</v>
      </c>
      <c r="F336" s="15">
        <v>89.5</v>
      </c>
      <c r="G336" s="16">
        <v>58000</v>
      </c>
      <c r="H336" s="11">
        <f>'First Calculations'!P335</f>
        <v>9843</v>
      </c>
      <c r="I336" s="12"/>
      <c r="J336" s="13">
        <f t="shared" si="10"/>
        <v>0.16970689655172413</v>
      </c>
      <c r="L336" t="str">
        <f t="shared" si="11"/>
        <v>20.c.ps.109.766  - The Tampa Film Institute, Inc.  $9843</v>
      </c>
    </row>
    <row r="337" spans="1:12" ht="15.75" x14ac:dyDescent="0.25">
      <c r="A337" s="15">
        <v>335</v>
      </c>
      <c r="B337" s="15" t="s">
        <v>720</v>
      </c>
      <c r="C337" s="15" t="s">
        <v>721</v>
      </c>
      <c r="D337" s="15" t="s">
        <v>287</v>
      </c>
      <c r="E337" s="16">
        <v>25000</v>
      </c>
      <c r="F337" s="15">
        <v>89.5</v>
      </c>
      <c r="G337" s="16">
        <v>25000</v>
      </c>
      <c r="H337" s="11">
        <f>'First Calculations'!P336</f>
        <v>4251</v>
      </c>
      <c r="I337" s="12"/>
      <c r="J337" s="13">
        <f t="shared" si="10"/>
        <v>0.17004</v>
      </c>
      <c r="L337" t="str">
        <f t="shared" si="11"/>
        <v>20.c.ps.109.651  - Key West Film Festival Corporation  $4251</v>
      </c>
    </row>
    <row r="338" spans="1:12" ht="15.75" x14ac:dyDescent="0.25">
      <c r="A338" s="15">
        <v>336</v>
      </c>
      <c r="B338" s="15" t="s">
        <v>722</v>
      </c>
      <c r="C338" s="15" t="s">
        <v>723</v>
      </c>
      <c r="D338" s="15" t="s">
        <v>39</v>
      </c>
      <c r="E338" s="16">
        <v>49664</v>
      </c>
      <c r="F338" s="15">
        <v>89.429000000000002</v>
      </c>
      <c r="G338" s="16">
        <v>49664</v>
      </c>
      <c r="H338" s="11">
        <f>'First Calculations'!P337</f>
        <v>8424</v>
      </c>
      <c r="I338" s="12"/>
      <c r="J338" s="13">
        <f t="shared" si="10"/>
        <v>0.16961984536082475</v>
      </c>
      <c r="L338" t="str">
        <f t="shared" si="11"/>
        <v>20.c.ps.114.048  - Aequalis, Inc.  $8424</v>
      </c>
    </row>
    <row r="339" spans="1:12" ht="15.75" x14ac:dyDescent="0.25">
      <c r="A339" s="15">
        <v>337</v>
      </c>
      <c r="B339" s="15" t="s">
        <v>724</v>
      </c>
      <c r="C339" s="15" t="s">
        <v>725</v>
      </c>
      <c r="D339" s="15" t="s">
        <v>28</v>
      </c>
      <c r="E339" s="16">
        <v>32000</v>
      </c>
      <c r="F339" s="15">
        <v>89.4</v>
      </c>
      <c r="G339" s="16">
        <v>32000</v>
      </c>
      <c r="H339" s="11">
        <f>'First Calculations'!P338</f>
        <v>5431</v>
      </c>
      <c r="I339" s="12"/>
      <c r="J339" s="13">
        <f t="shared" si="10"/>
        <v>0.16971875</v>
      </c>
      <c r="L339" t="str">
        <f t="shared" si="11"/>
        <v>20.c.ps.102.729  - Miami Youth for Chamber Music, Inc.  $5431</v>
      </c>
    </row>
    <row r="340" spans="1:12" ht="15.75" x14ac:dyDescent="0.25">
      <c r="A340" s="15">
        <v>338</v>
      </c>
      <c r="B340" s="15" t="s">
        <v>726</v>
      </c>
      <c r="C340" s="15" t="s">
        <v>727</v>
      </c>
      <c r="D340" s="15" t="s">
        <v>102</v>
      </c>
      <c r="E340" s="16">
        <v>90414</v>
      </c>
      <c r="F340" s="15">
        <v>89.375</v>
      </c>
      <c r="G340" s="16">
        <v>90414</v>
      </c>
      <c r="H340" s="11">
        <f>'First Calculations'!P339</f>
        <v>15315</v>
      </c>
      <c r="I340" s="12"/>
      <c r="J340" s="13">
        <f t="shared" si="10"/>
        <v>0.1693874842391665</v>
      </c>
      <c r="L340" t="str">
        <f t="shared" si="11"/>
        <v>20.c.ps.102.379  - Pensacola Children's Chorus, Inc.  $15315</v>
      </c>
    </row>
    <row r="341" spans="1:12" ht="15.75" x14ac:dyDescent="0.25">
      <c r="A341" s="15">
        <v>339</v>
      </c>
      <c r="B341" s="15" t="s">
        <v>728</v>
      </c>
      <c r="C341" s="15" t="s">
        <v>729</v>
      </c>
      <c r="D341" s="15" t="s">
        <v>39</v>
      </c>
      <c r="E341" s="16">
        <v>110000</v>
      </c>
      <c r="F341" s="15">
        <v>89.332999999999998</v>
      </c>
      <c r="G341" s="16">
        <v>110000</v>
      </c>
      <c r="H341" s="11">
        <f>'First Calculations'!P340</f>
        <v>18620</v>
      </c>
      <c r="I341" s="12"/>
      <c r="J341" s="13">
        <f t="shared" si="10"/>
        <v>0.16927272727272727</v>
      </c>
      <c r="L341" t="str">
        <f t="shared" si="11"/>
        <v>20.c.ps.101.377  - Boca Ballet Theatre Company  $18620</v>
      </c>
    </row>
    <row r="342" spans="1:12" ht="15.75" x14ac:dyDescent="0.25">
      <c r="A342" s="15">
        <v>340</v>
      </c>
      <c r="B342" s="15" t="s">
        <v>730</v>
      </c>
      <c r="C342" s="15" t="s">
        <v>731</v>
      </c>
      <c r="D342" s="15" t="s">
        <v>33</v>
      </c>
      <c r="E342" s="16">
        <v>55567</v>
      </c>
      <c r="F342" s="15">
        <v>89.332999999999998</v>
      </c>
      <c r="G342" s="16">
        <v>55567</v>
      </c>
      <c r="H342" s="11">
        <f>'First Calculations'!P341</f>
        <v>9414</v>
      </c>
      <c r="I342" s="12"/>
      <c r="J342" s="13">
        <f t="shared" si="10"/>
        <v>0.16941710007738406</v>
      </c>
      <c r="L342" t="str">
        <f t="shared" si="11"/>
        <v>20.c.ps.500.473  - Arts &amp; Cultural Alliance of Sarasota County, Inc.  $9414</v>
      </c>
    </row>
    <row r="343" spans="1:12" ht="15.75" x14ac:dyDescent="0.25">
      <c r="A343" s="15">
        <v>341</v>
      </c>
      <c r="B343" s="15" t="s">
        <v>732</v>
      </c>
      <c r="C343" s="15" t="s">
        <v>733</v>
      </c>
      <c r="D343" s="15" t="s">
        <v>28</v>
      </c>
      <c r="E343" s="16">
        <v>85500</v>
      </c>
      <c r="F343" s="15">
        <v>89.286000000000001</v>
      </c>
      <c r="G343" s="16">
        <v>85500</v>
      </c>
      <c r="H343" s="11">
        <f>'First Calculations'!P342</f>
        <v>14469</v>
      </c>
      <c r="I343" s="12"/>
      <c r="J343" s="13">
        <f t="shared" si="10"/>
        <v>0.16922807017543859</v>
      </c>
      <c r="L343" t="str">
        <f t="shared" si="11"/>
        <v>20.c.ps.170.491  - Holocaust Memorial Committee  $14469</v>
      </c>
    </row>
    <row r="344" spans="1:12" ht="25.5" x14ac:dyDescent="0.25">
      <c r="A344" s="15">
        <v>342</v>
      </c>
      <c r="B344" s="15" t="s">
        <v>734</v>
      </c>
      <c r="C344" s="15" t="s">
        <v>735</v>
      </c>
      <c r="D344" s="15" t="s">
        <v>57</v>
      </c>
      <c r="E344" s="16">
        <v>24000</v>
      </c>
      <c r="F344" s="15">
        <v>89.2</v>
      </c>
      <c r="G344" s="16">
        <v>24000</v>
      </c>
      <c r="H344" s="11">
        <f>'First Calculations'!P343</f>
        <v>4068</v>
      </c>
      <c r="I344" s="12"/>
      <c r="J344" s="13">
        <f t="shared" si="10"/>
        <v>0.16950000000000001</v>
      </c>
      <c r="L344" t="str">
        <f t="shared" si="11"/>
        <v>20.c.ps.102.075  - Tampa, Florida, Chapter No. 1 of S.P.E.B.S.Q.S.A., Inc.  $4068</v>
      </c>
    </row>
    <row r="345" spans="1:12" ht="15.75" x14ac:dyDescent="0.25">
      <c r="A345" s="15">
        <v>343</v>
      </c>
      <c r="B345" s="15" t="s">
        <v>736</v>
      </c>
      <c r="C345" s="15" t="s">
        <v>737</v>
      </c>
      <c r="D345" s="15" t="s">
        <v>70</v>
      </c>
      <c r="E345" s="16">
        <v>150000</v>
      </c>
      <c r="F345" s="15">
        <v>89.167000000000002</v>
      </c>
      <c r="G345" s="16">
        <v>150000</v>
      </c>
      <c r="H345" s="11">
        <f>'First Calculations'!P344</f>
        <v>25339</v>
      </c>
      <c r="I345" s="12"/>
      <c r="J345" s="13">
        <f t="shared" si="10"/>
        <v>0.16892666666666667</v>
      </c>
      <c r="L345" t="str">
        <f t="shared" si="11"/>
        <v>20.c.ps.170.167  - College of Central Florida Foundation, Inc.  $25339</v>
      </c>
    </row>
    <row r="346" spans="1:12" ht="15.75" x14ac:dyDescent="0.25">
      <c r="A346" s="15">
        <v>344</v>
      </c>
      <c r="B346" s="15" t="s">
        <v>738</v>
      </c>
      <c r="C346" s="15" t="s">
        <v>739</v>
      </c>
      <c r="D346" s="15" t="s">
        <v>740</v>
      </c>
      <c r="E346" s="16">
        <v>90000</v>
      </c>
      <c r="F346" s="15">
        <v>89.167000000000002</v>
      </c>
      <c r="G346" s="16">
        <v>90000</v>
      </c>
      <c r="H346" s="11">
        <f>'First Calculations'!P345</f>
        <v>15209</v>
      </c>
      <c r="I346" s="12"/>
      <c r="J346" s="13">
        <f t="shared" si="10"/>
        <v>0.16898888888888888</v>
      </c>
      <c r="L346" t="str">
        <f t="shared" si="11"/>
        <v>20.c.ps.500.591  - Franklin's Promise Coalition, Inc.  $15209</v>
      </c>
    </row>
    <row r="347" spans="1:12" ht="15.75" x14ac:dyDescent="0.25">
      <c r="A347" s="15">
        <v>345</v>
      </c>
      <c r="B347" s="15" t="s">
        <v>741</v>
      </c>
      <c r="C347" s="15" t="s">
        <v>742</v>
      </c>
      <c r="D347" s="15" t="s">
        <v>36</v>
      </c>
      <c r="E347" s="16">
        <v>107500</v>
      </c>
      <c r="F347" s="15">
        <v>89.167000000000002</v>
      </c>
      <c r="G347" s="16">
        <v>107500</v>
      </c>
      <c r="H347" s="11">
        <f>'First Calculations'!P346</f>
        <v>18164</v>
      </c>
      <c r="I347" s="12"/>
      <c r="J347" s="13">
        <f t="shared" si="10"/>
        <v>0.16896744186046511</v>
      </c>
      <c r="L347" t="str">
        <f t="shared" si="11"/>
        <v>20.c.ps.142.443  - The Broward Stage Door Theater Co., Inc.  $18164</v>
      </c>
    </row>
    <row r="348" spans="1:12" ht="15.75" x14ac:dyDescent="0.25">
      <c r="A348" s="15">
        <v>346</v>
      </c>
      <c r="B348" s="15" t="s">
        <v>743</v>
      </c>
      <c r="C348" s="15" t="s">
        <v>744</v>
      </c>
      <c r="D348" s="15" t="s">
        <v>73</v>
      </c>
      <c r="E348" s="16">
        <v>90000</v>
      </c>
      <c r="F348" s="15">
        <v>89.167000000000002</v>
      </c>
      <c r="G348" s="16">
        <v>90000</v>
      </c>
      <c r="H348" s="11">
        <f>'First Calculations'!P347</f>
        <v>15209</v>
      </c>
      <c r="I348" s="12"/>
      <c r="J348" s="13">
        <f t="shared" si="10"/>
        <v>0.16898888888888888</v>
      </c>
      <c r="L348" t="str">
        <f t="shared" si="11"/>
        <v>20.c.ps.180.118  - Daytona Beach Symphony Society, Inc.  $15209</v>
      </c>
    </row>
    <row r="349" spans="1:12" ht="15.75" x14ac:dyDescent="0.25">
      <c r="A349" s="15">
        <v>347</v>
      </c>
      <c r="B349" s="15" t="s">
        <v>745</v>
      </c>
      <c r="C349" s="15" t="s">
        <v>746</v>
      </c>
      <c r="D349" s="15" t="s">
        <v>593</v>
      </c>
      <c r="E349" s="16">
        <v>42500</v>
      </c>
      <c r="F349" s="15">
        <v>89.143000000000001</v>
      </c>
      <c r="G349" s="16">
        <v>42500</v>
      </c>
      <c r="H349" s="11">
        <f>'First Calculations'!P348</f>
        <v>7188</v>
      </c>
      <c r="I349" s="12"/>
      <c r="J349" s="13">
        <f t="shared" si="10"/>
        <v>0.16912941176470589</v>
      </c>
      <c r="L349" t="str">
        <f t="shared" si="11"/>
        <v>20.c.ps.170.325  - Lighthouse Archaeological Maritime Program, Inc.  $7188</v>
      </c>
    </row>
    <row r="350" spans="1:12" ht="15.75" x14ac:dyDescent="0.25">
      <c r="A350" s="15">
        <v>348</v>
      </c>
      <c r="B350" s="15" t="s">
        <v>747</v>
      </c>
      <c r="C350" s="15" t="s">
        <v>748</v>
      </c>
      <c r="D350" s="15" t="s">
        <v>33</v>
      </c>
      <c r="E350" s="16">
        <v>25000</v>
      </c>
      <c r="F350" s="15">
        <v>89.143000000000001</v>
      </c>
      <c r="G350" s="16">
        <v>25000</v>
      </c>
      <c r="H350" s="11">
        <f>'First Calculations'!P349</f>
        <v>4234</v>
      </c>
      <c r="I350" s="12"/>
      <c r="J350" s="13">
        <f t="shared" si="10"/>
        <v>0.16936000000000001</v>
      </c>
      <c r="L350" t="str">
        <f t="shared" si="11"/>
        <v>20.c.ps.102.606  - Gloria Musicae, Inc.  $4234</v>
      </c>
    </row>
    <row r="351" spans="1:12" ht="15.75" x14ac:dyDescent="0.25">
      <c r="A351" s="15">
        <v>349</v>
      </c>
      <c r="B351" s="15" t="s">
        <v>749</v>
      </c>
      <c r="C351" s="15" t="s">
        <v>750</v>
      </c>
      <c r="D351" s="15" t="s">
        <v>593</v>
      </c>
      <c r="E351" s="16">
        <v>90000</v>
      </c>
      <c r="F351" s="15">
        <v>89</v>
      </c>
      <c r="G351" s="16">
        <v>90000</v>
      </c>
      <c r="H351" s="11">
        <f>'First Calculations'!P350</f>
        <v>15181</v>
      </c>
      <c r="I351" s="12"/>
      <c r="J351" s="13">
        <f t="shared" si="10"/>
        <v>0.16867777777777779</v>
      </c>
      <c r="L351" t="str">
        <f t="shared" si="11"/>
        <v>20.c.ps.170.536  - Lightner Museum of Hobbies   $15181</v>
      </c>
    </row>
    <row r="352" spans="1:12" ht="15.75" x14ac:dyDescent="0.25">
      <c r="A352" s="15">
        <v>350</v>
      </c>
      <c r="B352" s="15" t="s">
        <v>751</v>
      </c>
      <c r="C352" s="15" t="s">
        <v>752</v>
      </c>
      <c r="D352" s="15" t="s">
        <v>87</v>
      </c>
      <c r="E352" s="16">
        <v>22159</v>
      </c>
      <c r="F352" s="15">
        <v>89</v>
      </c>
      <c r="G352" s="16">
        <v>22159</v>
      </c>
      <c r="H352" s="11">
        <f>'First Calculations'!P351</f>
        <v>3749</v>
      </c>
      <c r="I352" s="12"/>
      <c r="J352" s="13">
        <f t="shared" si="10"/>
        <v>0.16918633512342615</v>
      </c>
      <c r="L352" t="str">
        <f t="shared" si="11"/>
        <v>20.c.ps.170.712  - Winter Park Historical Association, Inc  $3749</v>
      </c>
    </row>
    <row r="353" spans="1:12" ht="15.75" x14ac:dyDescent="0.25">
      <c r="A353" s="15">
        <v>351</v>
      </c>
      <c r="B353" s="15" t="s">
        <v>753</v>
      </c>
      <c r="C353" s="15" t="s">
        <v>754</v>
      </c>
      <c r="D353" s="15" t="s">
        <v>39</v>
      </c>
      <c r="E353" s="16">
        <v>150000</v>
      </c>
      <c r="F353" s="15">
        <v>89</v>
      </c>
      <c r="G353" s="16">
        <v>150000</v>
      </c>
      <c r="H353" s="11">
        <f>'First Calculations'!P352</f>
        <v>25291</v>
      </c>
      <c r="I353" s="12"/>
      <c r="J353" s="13">
        <f t="shared" si="10"/>
        <v>0.16860666666666665</v>
      </c>
      <c r="L353" t="str">
        <f t="shared" si="11"/>
        <v>20.c.ps.102.289  - Lynn University, Inc.  $25291</v>
      </c>
    </row>
    <row r="354" spans="1:12" ht="25.5" x14ac:dyDescent="0.25">
      <c r="A354" s="15">
        <v>352</v>
      </c>
      <c r="B354" s="15" t="s">
        <v>755</v>
      </c>
      <c r="C354" s="15" t="s">
        <v>756</v>
      </c>
      <c r="D354" s="15" t="s">
        <v>57</v>
      </c>
      <c r="E354" s="16">
        <v>23000</v>
      </c>
      <c r="F354" s="15">
        <v>89</v>
      </c>
      <c r="G354" s="16">
        <v>23000</v>
      </c>
      <c r="H354" s="11">
        <f>'First Calculations'!P353</f>
        <v>3891</v>
      </c>
      <c r="I354" s="12"/>
      <c r="J354" s="13">
        <f t="shared" si="10"/>
        <v>0.16917391304347826</v>
      </c>
      <c r="L354" t="str">
        <f t="shared" si="11"/>
        <v>20.c.ps.142.411  - Bits 'N Pieces Puppet Theatre, Inc.  $3891</v>
      </c>
    </row>
    <row r="355" spans="1:12" ht="15.75" x14ac:dyDescent="0.25">
      <c r="A355" s="15">
        <v>353</v>
      </c>
      <c r="B355" s="15" t="s">
        <v>757</v>
      </c>
      <c r="C355" s="15" t="s">
        <v>758</v>
      </c>
      <c r="D355" s="15" t="s">
        <v>50</v>
      </c>
      <c r="E355" s="16">
        <v>6850</v>
      </c>
      <c r="F355" s="15">
        <v>89</v>
      </c>
      <c r="G355" s="16">
        <v>6850</v>
      </c>
      <c r="H355" s="11">
        <f>'First Calculations'!P354</f>
        <v>1169</v>
      </c>
      <c r="I355" s="12"/>
      <c r="J355" s="13">
        <f t="shared" si="10"/>
        <v>0.17065693430656934</v>
      </c>
      <c r="L355" t="str">
        <f t="shared" si="11"/>
        <v>20.c.ps.102.330  - Civic Orchestra of Jacksonville Inc.  $1169</v>
      </c>
    </row>
    <row r="356" spans="1:12" ht="15.75" x14ac:dyDescent="0.25">
      <c r="A356" s="15">
        <v>354</v>
      </c>
      <c r="B356" s="15" t="s">
        <v>759</v>
      </c>
      <c r="C356" s="15" t="s">
        <v>760</v>
      </c>
      <c r="D356" s="15" t="s">
        <v>28</v>
      </c>
      <c r="E356" s="16">
        <v>40000</v>
      </c>
      <c r="F356" s="15">
        <v>89</v>
      </c>
      <c r="G356" s="16">
        <v>40000</v>
      </c>
      <c r="H356" s="11">
        <f>'First Calculations'!P355</f>
        <v>6755</v>
      </c>
      <c r="I356" s="12"/>
      <c r="J356" s="13">
        <f t="shared" si="10"/>
        <v>0.168875</v>
      </c>
      <c r="L356" t="str">
        <f t="shared" si="11"/>
        <v>20.c.ps.102.435  - Orchestra Miami, Inc.  $6755</v>
      </c>
    </row>
    <row r="357" spans="1:12" ht="15.75" x14ac:dyDescent="0.25">
      <c r="A357" s="15">
        <v>355</v>
      </c>
      <c r="B357" s="15" t="s">
        <v>761</v>
      </c>
      <c r="C357" s="15" t="s">
        <v>762</v>
      </c>
      <c r="D357" s="15" t="s">
        <v>28</v>
      </c>
      <c r="E357" s="16">
        <v>13399</v>
      </c>
      <c r="F357" s="15">
        <v>89</v>
      </c>
      <c r="G357" s="16">
        <v>13399</v>
      </c>
      <c r="H357" s="11">
        <f>'First Calculations'!P356</f>
        <v>2273</v>
      </c>
      <c r="I357" s="12"/>
      <c r="J357" s="13">
        <f t="shared" si="10"/>
        <v>0.16963952533771176</v>
      </c>
      <c r="L357" t="str">
        <f t="shared" si="11"/>
        <v>20.c.ps.200.580  - Young Musicians Unite, Inc   $2273</v>
      </c>
    </row>
    <row r="358" spans="1:12" ht="15.75" x14ac:dyDescent="0.25">
      <c r="A358" s="15">
        <v>356</v>
      </c>
      <c r="B358" s="15" t="s">
        <v>763</v>
      </c>
      <c r="C358" s="15" t="s">
        <v>764</v>
      </c>
      <c r="D358" s="15" t="s">
        <v>64</v>
      </c>
      <c r="E358" s="16">
        <v>130000</v>
      </c>
      <c r="F358" s="15">
        <v>88.875</v>
      </c>
      <c r="G358" s="16">
        <v>130000</v>
      </c>
      <c r="H358" s="11">
        <f>'First Calculations'!P357</f>
        <v>21890</v>
      </c>
      <c r="I358" s="12"/>
      <c r="J358" s="13">
        <f t="shared" si="10"/>
        <v>0.16838461538461538</v>
      </c>
      <c r="L358" t="str">
        <f t="shared" si="11"/>
        <v>20.c.ps.102.094  - Opera Naples, Inc.  $21890</v>
      </c>
    </row>
    <row r="359" spans="1:12" ht="15.75" x14ac:dyDescent="0.25">
      <c r="A359" s="15">
        <v>357</v>
      </c>
      <c r="B359" s="15" t="s">
        <v>765</v>
      </c>
      <c r="C359" s="15" t="s">
        <v>766</v>
      </c>
      <c r="D359" s="15" t="s">
        <v>73</v>
      </c>
      <c r="E359" s="16">
        <v>11000</v>
      </c>
      <c r="F359" s="15">
        <v>88.856999999999999</v>
      </c>
      <c r="G359" s="16">
        <v>11000</v>
      </c>
      <c r="H359" s="11">
        <f>'First Calculations'!P358</f>
        <v>1866</v>
      </c>
      <c r="I359" s="12"/>
      <c r="J359" s="13">
        <f t="shared" si="10"/>
        <v>0.16963636363636364</v>
      </c>
      <c r="L359" t="str">
        <f t="shared" si="11"/>
        <v>20.c.ps.141.170  - Shoestring Theatre, Inc.  $1866</v>
      </c>
    </row>
    <row r="360" spans="1:12" ht="15.75" x14ac:dyDescent="0.25">
      <c r="A360" s="15">
        <v>358</v>
      </c>
      <c r="B360" s="15" t="s">
        <v>767</v>
      </c>
      <c r="C360" s="15" t="s">
        <v>768</v>
      </c>
      <c r="D360" s="15" t="s">
        <v>115</v>
      </c>
      <c r="E360" s="16">
        <v>21610</v>
      </c>
      <c r="F360" s="15">
        <v>88.832999999999998</v>
      </c>
      <c r="G360" s="16">
        <v>21610</v>
      </c>
      <c r="H360" s="11">
        <f>'First Calculations'!P359</f>
        <v>3650</v>
      </c>
      <c r="I360" s="12"/>
      <c r="J360" s="13">
        <f t="shared" si="10"/>
        <v>0.16890328551596484</v>
      </c>
      <c r="L360" t="str">
        <f t="shared" si="11"/>
        <v>20.c.ps.200.426  - Making Light Productions  $3650</v>
      </c>
    </row>
    <row r="361" spans="1:12" ht="15.75" x14ac:dyDescent="0.25">
      <c r="A361" s="15">
        <v>359</v>
      </c>
      <c r="B361" s="15" t="s">
        <v>769</v>
      </c>
      <c r="C361" s="15" t="s">
        <v>770</v>
      </c>
      <c r="D361" s="15" t="s">
        <v>115</v>
      </c>
      <c r="E361" s="16">
        <v>25000</v>
      </c>
      <c r="F361" s="15">
        <v>88.8</v>
      </c>
      <c r="G361" s="16">
        <v>25000</v>
      </c>
      <c r="H361" s="11">
        <f>'First Calculations'!P360</f>
        <v>4218</v>
      </c>
      <c r="I361" s="12"/>
      <c r="J361" s="13">
        <f t="shared" si="10"/>
        <v>0.16872000000000001</v>
      </c>
      <c r="L361" t="str">
        <f t="shared" si="11"/>
        <v>20.c.ps.105.182  - Lemoyne Art Foundation, Inc.  $4218</v>
      </c>
    </row>
    <row r="362" spans="1:12" ht="15.75" x14ac:dyDescent="0.25">
      <c r="A362" s="15">
        <v>360</v>
      </c>
      <c r="B362" s="15" t="s">
        <v>771</v>
      </c>
      <c r="C362" s="15" t="s">
        <v>772</v>
      </c>
      <c r="D362" s="15" t="s">
        <v>773</v>
      </c>
      <c r="E362" s="16">
        <v>20000</v>
      </c>
      <c r="F362" s="15">
        <v>88.713999999999999</v>
      </c>
      <c r="G362" s="16">
        <v>20000</v>
      </c>
      <c r="H362" s="11">
        <f>'First Calculations'!P361</f>
        <v>3374</v>
      </c>
      <c r="I362" s="12"/>
      <c r="J362" s="13">
        <f t="shared" si="10"/>
        <v>0.16869999999999999</v>
      </c>
      <c r="L362" t="str">
        <f t="shared" si="11"/>
        <v>20.c.ps.141.758  - Bay Street Players, Inc.  $3374</v>
      </c>
    </row>
    <row r="363" spans="1:12" ht="15.75" x14ac:dyDescent="0.25">
      <c r="A363" s="15">
        <v>361</v>
      </c>
      <c r="B363" s="15" t="s">
        <v>774</v>
      </c>
      <c r="C363" s="15" t="s">
        <v>775</v>
      </c>
      <c r="D363" s="15" t="s">
        <v>102</v>
      </c>
      <c r="E363" s="16">
        <v>90000</v>
      </c>
      <c r="F363" s="15">
        <v>88.713999999999999</v>
      </c>
      <c r="G363" s="16">
        <v>90000</v>
      </c>
      <c r="H363" s="11">
        <f>'First Calculations'!P362</f>
        <v>15132</v>
      </c>
      <c r="I363" s="12"/>
      <c r="J363" s="13">
        <f t="shared" si="10"/>
        <v>0.16813333333333333</v>
      </c>
      <c r="L363" t="str">
        <f t="shared" si="11"/>
        <v>20.c.ps.170.592  - West Florida Historic Preservation, Inc   $15132</v>
      </c>
    </row>
    <row r="364" spans="1:12" ht="15.75" x14ac:dyDescent="0.25">
      <c r="A364" s="15">
        <v>362</v>
      </c>
      <c r="B364" s="15" t="s">
        <v>776</v>
      </c>
      <c r="C364" s="15" t="s">
        <v>777</v>
      </c>
      <c r="D364" s="15" t="s">
        <v>80</v>
      </c>
      <c r="E364" s="16">
        <v>24000</v>
      </c>
      <c r="F364" s="15">
        <v>88.713999999999999</v>
      </c>
      <c r="G364" s="16">
        <v>24000</v>
      </c>
      <c r="H364" s="11">
        <f>'First Calculations'!P363</f>
        <v>4046</v>
      </c>
      <c r="I364" s="12"/>
      <c r="J364" s="13">
        <f t="shared" si="10"/>
        <v>0.16858333333333334</v>
      </c>
      <c r="L364" t="str">
        <f t="shared" si="11"/>
        <v>20.c.ps.101.235  - Academy of Ballet Arts, Inc.  $4046</v>
      </c>
    </row>
    <row r="365" spans="1:12" ht="15.75" x14ac:dyDescent="0.25">
      <c r="A365" s="15">
        <v>363</v>
      </c>
      <c r="B365" s="15" t="s">
        <v>778</v>
      </c>
      <c r="C365" s="15" t="s">
        <v>779</v>
      </c>
      <c r="D365" s="15" t="s">
        <v>115</v>
      </c>
      <c r="E365" s="16">
        <v>36150</v>
      </c>
      <c r="F365" s="15">
        <v>88.667000000000002</v>
      </c>
      <c r="G365" s="16">
        <v>36150</v>
      </c>
      <c r="H365" s="11">
        <f>'First Calculations'!P364</f>
        <v>6084</v>
      </c>
      <c r="I365" s="12"/>
      <c r="J365" s="13">
        <f t="shared" si="10"/>
        <v>0.16829875518672199</v>
      </c>
      <c r="L365" t="str">
        <f t="shared" si="11"/>
        <v>20.c.ps.600.277  - Florida Art Education Association, Incorporated  $6084</v>
      </c>
    </row>
    <row r="366" spans="1:12" ht="15.75" x14ac:dyDescent="0.25">
      <c r="A366" s="15">
        <v>364</v>
      </c>
      <c r="B366" s="15" t="s">
        <v>780</v>
      </c>
      <c r="C366" s="15" t="s">
        <v>781</v>
      </c>
      <c r="D366" s="15" t="s">
        <v>115</v>
      </c>
      <c r="E366" s="16">
        <v>61985</v>
      </c>
      <c r="F366" s="15">
        <v>88.667000000000002</v>
      </c>
      <c r="G366" s="16">
        <v>61985</v>
      </c>
      <c r="H366" s="11">
        <f>'First Calculations'!P365</f>
        <v>10421</v>
      </c>
      <c r="I366" s="12"/>
      <c r="J366" s="13">
        <f t="shared" si="10"/>
        <v>0.1681213196741147</v>
      </c>
      <c r="L366" t="str">
        <f t="shared" si="11"/>
        <v>20.c.ps.600.521  - Florida Association of Museums Foundation, Inc.  $10421</v>
      </c>
    </row>
    <row r="367" spans="1:12" ht="25.5" x14ac:dyDescent="0.25">
      <c r="A367" s="15">
        <v>365</v>
      </c>
      <c r="B367" s="15" t="s">
        <v>782</v>
      </c>
      <c r="C367" s="15" t="s">
        <v>783</v>
      </c>
      <c r="D367" s="15" t="s">
        <v>57</v>
      </c>
      <c r="E367" s="16">
        <v>145956</v>
      </c>
      <c r="F367" s="15">
        <v>88.667000000000002</v>
      </c>
      <c r="G367" s="16">
        <v>145956</v>
      </c>
      <c r="H367" s="11">
        <f>'First Calculations'!P366</f>
        <v>24518</v>
      </c>
      <c r="I367" s="12"/>
      <c r="J367" s="13">
        <f t="shared" si="10"/>
        <v>0.16798213160130451</v>
      </c>
      <c r="L367" t="str">
        <f t="shared" si="11"/>
        <v>20.c.ps.500.313  - Arts Council of Hillsborough County  $24518</v>
      </c>
    </row>
    <row r="368" spans="1:12" ht="15.75" x14ac:dyDescent="0.25">
      <c r="A368" s="15">
        <v>366</v>
      </c>
      <c r="B368" s="15" t="s">
        <v>784</v>
      </c>
      <c r="C368" s="15" t="s">
        <v>785</v>
      </c>
      <c r="D368" s="15" t="s">
        <v>115</v>
      </c>
      <c r="E368" s="16">
        <v>68165</v>
      </c>
      <c r="F368" s="15">
        <v>88.667000000000002</v>
      </c>
      <c r="G368" s="16">
        <v>68165</v>
      </c>
      <c r="H368" s="11">
        <f>'First Calculations'!P367</f>
        <v>11458</v>
      </c>
      <c r="I368" s="12"/>
      <c r="J368" s="13">
        <f t="shared" si="10"/>
        <v>0.16809212939191667</v>
      </c>
      <c r="L368" t="str">
        <f t="shared" si="11"/>
        <v>20.c.ps.600.273  - Florida School Music Association, Incorporated  $11458</v>
      </c>
    </row>
    <row r="369" spans="1:12" ht="15.75" x14ac:dyDescent="0.25">
      <c r="A369" s="15">
        <v>367</v>
      </c>
      <c r="B369" s="15" t="s">
        <v>786</v>
      </c>
      <c r="C369" s="15" t="s">
        <v>787</v>
      </c>
      <c r="D369" s="15" t="s">
        <v>50</v>
      </c>
      <c r="E369" s="16">
        <v>45000</v>
      </c>
      <c r="F369" s="15">
        <v>88.667000000000002</v>
      </c>
      <c r="G369" s="16">
        <v>45000</v>
      </c>
      <c r="H369" s="11">
        <f>'First Calculations'!P368</f>
        <v>7569</v>
      </c>
      <c r="I369" s="12"/>
      <c r="J369" s="13">
        <f t="shared" si="10"/>
        <v>0.16819999999999999</v>
      </c>
      <c r="L369" t="str">
        <f t="shared" si="11"/>
        <v>20.c.ps.180.161  - Theatreworks, Inc.  $7569</v>
      </c>
    </row>
    <row r="370" spans="1:12" ht="15.75" x14ac:dyDescent="0.25">
      <c r="A370" s="15">
        <v>368</v>
      </c>
      <c r="B370" s="15" t="s">
        <v>788</v>
      </c>
      <c r="C370" s="15" t="s">
        <v>789</v>
      </c>
      <c r="D370" s="15" t="s">
        <v>39</v>
      </c>
      <c r="E370" s="16">
        <v>25000</v>
      </c>
      <c r="F370" s="15">
        <v>88.570999999999998</v>
      </c>
      <c r="G370" s="16">
        <v>25000</v>
      </c>
      <c r="H370" s="11">
        <f>'First Calculations'!P369</f>
        <v>4207</v>
      </c>
      <c r="I370" s="12"/>
      <c r="J370" s="13">
        <f t="shared" si="10"/>
        <v>0.16828000000000001</v>
      </c>
      <c r="L370" t="str">
        <f t="shared" si="11"/>
        <v>20.c.ps.102.405  - THE CHAMBER MUSIC SOCIETY OF PALM BEACH INC  $4207</v>
      </c>
    </row>
    <row r="371" spans="1:12" ht="15.75" x14ac:dyDescent="0.25">
      <c r="A371" s="15">
        <v>369</v>
      </c>
      <c r="B371" s="15" t="s">
        <v>790</v>
      </c>
      <c r="C371" s="15" t="s">
        <v>791</v>
      </c>
      <c r="D371" s="15" t="s">
        <v>64</v>
      </c>
      <c r="E371" s="16">
        <v>89000</v>
      </c>
      <c r="F371" s="15">
        <v>88.570999999999998</v>
      </c>
      <c r="G371" s="16">
        <v>89000</v>
      </c>
      <c r="H371" s="11">
        <f>'First Calculations'!P370</f>
        <v>14940</v>
      </c>
      <c r="I371" s="12"/>
      <c r="J371" s="13">
        <f t="shared" si="10"/>
        <v>0.16786516853932584</v>
      </c>
      <c r="L371" t="str">
        <f t="shared" si="11"/>
        <v>20.c.ps.114.090  - Art League of Marco Island, Inc.   $14940</v>
      </c>
    </row>
    <row r="372" spans="1:12" ht="15.75" x14ac:dyDescent="0.25">
      <c r="A372" s="15">
        <v>370</v>
      </c>
      <c r="B372" s="15" t="s">
        <v>792</v>
      </c>
      <c r="C372" s="15" t="s">
        <v>793</v>
      </c>
      <c r="D372" s="15" t="s">
        <v>87</v>
      </c>
      <c r="E372" s="16">
        <v>90000</v>
      </c>
      <c r="F372" s="15">
        <v>88.570999999999998</v>
      </c>
      <c r="G372" s="16">
        <v>90000</v>
      </c>
      <c r="H372" s="11">
        <f>'First Calculations'!P371</f>
        <v>15108</v>
      </c>
      <c r="I372" s="12"/>
      <c r="J372" s="13">
        <f t="shared" si="10"/>
        <v>0.16786666666666666</v>
      </c>
      <c r="L372" t="str">
        <f t="shared" si="11"/>
        <v>20.c.ps.101.556  - Central Florida Ballet. Inc.  $15108</v>
      </c>
    </row>
    <row r="373" spans="1:12" ht="15.75" x14ac:dyDescent="0.25">
      <c r="A373" s="15">
        <v>371</v>
      </c>
      <c r="B373" s="15" t="s">
        <v>794</v>
      </c>
      <c r="C373" s="15" t="s">
        <v>795</v>
      </c>
      <c r="D373" s="15" t="s">
        <v>124</v>
      </c>
      <c r="E373" s="16">
        <v>25000</v>
      </c>
      <c r="F373" s="15">
        <v>88.5</v>
      </c>
      <c r="G373" s="16">
        <v>25000</v>
      </c>
      <c r="H373" s="11">
        <f>'First Calculations'!P372</f>
        <v>4204</v>
      </c>
      <c r="I373" s="12"/>
      <c r="J373" s="13">
        <f t="shared" si="10"/>
        <v>0.16816</v>
      </c>
      <c r="L373" t="str">
        <f t="shared" si="11"/>
        <v>20.c.ps.105.179  - Florida Gulf Coast University Board of Trustees  $4204</v>
      </c>
    </row>
    <row r="374" spans="1:12" ht="15.75" x14ac:dyDescent="0.25">
      <c r="A374" s="15">
        <v>372</v>
      </c>
      <c r="B374" s="15" t="s">
        <v>796</v>
      </c>
      <c r="C374" s="15" t="s">
        <v>797</v>
      </c>
      <c r="D374" s="15" t="s">
        <v>39</v>
      </c>
      <c r="E374" s="16">
        <v>89000</v>
      </c>
      <c r="F374" s="15">
        <v>88.429000000000002</v>
      </c>
      <c r="G374" s="16">
        <v>89000</v>
      </c>
      <c r="H374" s="11">
        <f>'First Calculations'!P373</f>
        <v>14916</v>
      </c>
      <c r="I374" s="12"/>
      <c r="J374" s="13">
        <f t="shared" si="10"/>
        <v>0.16759550561797754</v>
      </c>
      <c r="L374" t="str">
        <f t="shared" si="11"/>
        <v>20.c.ps.170.336  - Boca Raton Historical Society, Inc.  $14916</v>
      </c>
    </row>
    <row r="375" spans="1:12" ht="15.75" x14ac:dyDescent="0.25">
      <c r="A375" s="15">
        <v>373</v>
      </c>
      <c r="B375" s="15" t="s">
        <v>798</v>
      </c>
      <c r="C375" s="15" t="s">
        <v>799</v>
      </c>
      <c r="D375" s="15" t="s">
        <v>800</v>
      </c>
      <c r="E375" s="16">
        <v>90000</v>
      </c>
      <c r="F375" s="15">
        <v>88.429000000000002</v>
      </c>
      <c r="G375" s="16">
        <v>90000</v>
      </c>
      <c r="H375" s="11">
        <f>'First Calculations'!P374</f>
        <v>15083</v>
      </c>
      <c r="I375" s="12"/>
      <c r="J375" s="13">
        <f t="shared" si="10"/>
        <v>0.1675888888888889</v>
      </c>
      <c r="L375" t="str">
        <f t="shared" si="11"/>
        <v>20.c.ps.170.412  - Osceola County Historical Society  $15083</v>
      </c>
    </row>
    <row r="376" spans="1:12" ht="15.75" x14ac:dyDescent="0.25">
      <c r="A376" s="15">
        <v>374</v>
      </c>
      <c r="B376" s="15" t="s">
        <v>801</v>
      </c>
      <c r="C376" s="15" t="s">
        <v>802</v>
      </c>
      <c r="D376" s="15" t="s">
        <v>388</v>
      </c>
      <c r="E376" s="16">
        <v>150000</v>
      </c>
      <c r="F376" s="15">
        <v>88.429000000000002</v>
      </c>
      <c r="G376" s="16">
        <v>150000</v>
      </c>
      <c r="H376" s="11">
        <f>'First Calculations'!P375</f>
        <v>25129</v>
      </c>
      <c r="I376" s="12"/>
      <c r="J376" s="13">
        <f t="shared" si="10"/>
        <v>0.16752666666666666</v>
      </c>
      <c r="L376" t="str">
        <f t="shared" si="11"/>
        <v>20.c.ps.180.569  - City of Fort Pierce  $25129</v>
      </c>
    </row>
    <row r="377" spans="1:12" ht="15.75" x14ac:dyDescent="0.25">
      <c r="A377" s="15">
        <v>375</v>
      </c>
      <c r="B377" s="15" t="s">
        <v>803</v>
      </c>
      <c r="C377" s="15" t="s">
        <v>804</v>
      </c>
      <c r="D377" s="15" t="s">
        <v>287</v>
      </c>
      <c r="E377" s="16">
        <v>150000</v>
      </c>
      <c r="F377" s="15">
        <v>88.429000000000002</v>
      </c>
      <c r="G377" s="16">
        <v>150000</v>
      </c>
      <c r="H377" s="11">
        <f>'First Calculations'!P376</f>
        <v>25129</v>
      </c>
      <c r="I377" s="12"/>
      <c r="J377" s="13">
        <f t="shared" si="10"/>
        <v>0.16752666666666666</v>
      </c>
      <c r="L377" t="str">
        <f t="shared" si="11"/>
        <v>20.c.ps.170.581  - Key West Art and Historical Society, Inc.  $25129</v>
      </c>
    </row>
    <row r="378" spans="1:12" ht="15.75" x14ac:dyDescent="0.25">
      <c r="A378" s="15">
        <v>376</v>
      </c>
      <c r="B378" s="15" t="s">
        <v>805</v>
      </c>
      <c r="C378" s="15" t="s">
        <v>806</v>
      </c>
      <c r="D378" s="15" t="s">
        <v>28</v>
      </c>
      <c r="E378" s="16">
        <v>16969</v>
      </c>
      <c r="F378" s="15">
        <v>88.4</v>
      </c>
      <c r="G378" s="16">
        <v>16969</v>
      </c>
      <c r="H378" s="11">
        <f>'First Calculations'!P377</f>
        <v>2855</v>
      </c>
      <c r="I378" s="12"/>
      <c r="J378" s="13">
        <f t="shared" si="10"/>
        <v>0.16824798161353055</v>
      </c>
      <c r="L378" t="str">
        <f t="shared" si="11"/>
        <v>20.c.ps.102.444  - The Opera Atelier, Inc  $2855</v>
      </c>
    </row>
    <row r="379" spans="1:12" ht="15.75" x14ac:dyDescent="0.25">
      <c r="A379" s="15">
        <v>377</v>
      </c>
      <c r="B379" s="15" t="s">
        <v>807</v>
      </c>
      <c r="C379" s="15" t="s">
        <v>808</v>
      </c>
      <c r="D379" s="15" t="s">
        <v>67</v>
      </c>
      <c r="E379" s="16">
        <v>1445</v>
      </c>
      <c r="F379" s="15">
        <v>88.4</v>
      </c>
      <c r="G379" s="16">
        <v>1445</v>
      </c>
      <c r="H379" s="11">
        <f>'First Calculations'!P378</f>
        <v>1000</v>
      </c>
      <c r="I379" s="12"/>
      <c r="J379" s="13">
        <f t="shared" si="10"/>
        <v>0.69204152249134943</v>
      </c>
      <c r="L379" t="str">
        <f t="shared" si="11"/>
        <v>20.c.ps.102.433  - Annasemble Community Orchestra of Gainesville Inc  $1000</v>
      </c>
    </row>
    <row r="380" spans="1:12" ht="15.75" x14ac:dyDescent="0.25">
      <c r="A380" s="15">
        <v>378</v>
      </c>
      <c r="B380" s="15" t="s">
        <v>809</v>
      </c>
      <c r="C380" s="15" t="s">
        <v>810</v>
      </c>
      <c r="D380" s="15" t="s">
        <v>73</v>
      </c>
      <c r="E380" s="16">
        <v>15158</v>
      </c>
      <c r="F380" s="15">
        <v>88.332999999999998</v>
      </c>
      <c r="G380" s="16">
        <v>15158</v>
      </c>
      <c r="H380" s="11">
        <f>'First Calculations'!P379</f>
        <v>2550</v>
      </c>
      <c r="I380" s="12"/>
      <c r="J380" s="13">
        <f t="shared" si="10"/>
        <v>0.16822799841667765</v>
      </c>
      <c r="L380" t="str">
        <f t="shared" si="11"/>
        <v>20.c.ps.170.087  - West Volusia Historical Society, Inc.  $2550</v>
      </c>
    </row>
    <row r="381" spans="1:12" ht="15.75" x14ac:dyDescent="0.25">
      <c r="A381" s="15">
        <v>379</v>
      </c>
      <c r="B381" s="15" t="s">
        <v>811</v>
      </c>
      <c r="C381" s="15" t="s">
        <v>812</v>
      </c>
      <c r="D381" s="15" t="s">
        <v>50</v>
      </c>
      <c r="E381" s="16">
        <v>9995</v>
      </c>
      <c r="F381" s="15">
        <v>88.286000000000001</v>
      </c>
      <c r="G381" s="16">
        <v>9995</v>
      </c>
      <c r="H381" s="11">
        <f>'First Calculations'!P380</f>
        <v>1686</v>
      </c>
      <c r="I381" s="12"/>
      <c r="J381" s="13">
        <f t="shared" si="10"/>
        <v>0.16868434217108555</v>
      </c>
      <c r="L381" t="str">
        <f t="shared" si="11"/>
        <v>20.c.ps.101.193  - Jacksonville Dance Theatre   $1686</v>
      </c>
    </row>
    <row r="382" spans="1:12" ht="15.75" x14ac:dyDescent="0.25">
      <c r="A382" s="15">
        <v>380</v>
      </c>
      <c r="B382" s="15" t="s">
        <v>813</v>
      </c>
      <c r="C382" s="15" t="s">
        <v>814</v>
      </c>
      <c r="D382" s="15" t="s">
        <v>28</v>
      </c>
      <c r="E382" s="16">
        <v>23000</v>
      </c>
      <c r="F382" s="15">
        <v>88.286000000000001</v>
      </c>
      <c r="G382" s="16">
        <v>23000</v>
      </c>
      <c r="H382" s="11">
        <f>'First Calculations'!P381</f>
        <v>3860</v>
      </c>
      <c r="I382" s="12"/>
      <c r="J382" s="13">
        <f t="shared" si="10"/>
        <v>0.16782608695652174</v>
      </c>
      <c r="L382" t="str">
        <f t="shared" si="11"/>
        <v>20.c.ps.101.074  - Peter London Global Dance Company, Inc.  $3860</v>
      </c>
    </row>
    <row r="383" spans="1:12" ht="25.5" x14ac:dyDescent="0.25">
      <c r="A383" s="15">
        <v>381</v>
      </c>
      <c r="B383" s="15" t="s">
        <v>815</v>
      </c>
      <c r="C383" s="15" t="s">
        <v>816</v>
      </c>
      <c r="D383" s="15" t="s">
        <v>57</v>
      </c>
      <c r="E383" s="16">
        <v>150000</v>
      </c>
      <c r="F383" s="15">
        <v>88.286000000000001</v>
      </c>
      <c r="G383" s="16">
        <v>150000</v>
      </c>
      <c r="H383" s="11">
        <f>'First Calculations'!P382</f>
        <v>25089</v>
      </c>
      <c r="I383" s="12"/>
      <c r="J383" s="13">
        <f t="shared" si="10"/>
        <v>0.16725999999999999</v>
      </c>
      <c r="L383" t="str">
        <f t="shared" si="11"/>
        <v>20.c.ps.170.348  - The Tampa Bay History Center, Inc.  $25089</v>
      </c>
    </row>
    <row r="384" spans="1:12" ht="15.75" x14ac:dyDescent="0.25">
      <c r="A384" s="15">
        <v>382</v>
      </c>
      <c r="B384" s="15" t="s">
        <v>817</v>
      </c>
      <c r="C384" s="15" t="s">
        <v>818</v>
      </c>
      <c r="D384" s="15" t="s">
        <v>28</v>
      </c>
      <c r="E384" s="16">
        <v>40000</v>
      </c>
      <c r="F384" s="15">
        <v>88.2</v>
      </c>
      <c r="G384" s="16">
        <v>40000</v>
      </c>
      <c r="H384" s="11">
        <f>'First Calculations'!P383</f>
        <v>6695</v>
      </c>
      <c r="I384" s="12"/>
      <c r="J384" s="13">
        <f t="shared" si="10"/>
        <v>0.167375</v>
      </c>
      <c r="L384" t="str">
        <f t="shared" si="11"/>
        <v>20.c.ps.102.140  - Patrons of Exceptional Artists, Inc.  $6695</v>
      </c>
    </row>
    <row r="385" spans="1:12" ht="15.75" x14ac:dyDescent="0.25">
      <c r="A385" s="15">
        <v>383</v>
      </c>
      <c r="B385" s="15" t="s">
        <v>819</v>
      </c>
      <c r="C385" s="15" t="s">
        <v>820</v>
      </c>
      <c r="D385" s="15" t="s">
        <v>469</v>
      </c>
      <c r="E385" s="16">
        <v>25000</v>
      </c>
      <c r="F385" s="15">
        <v>88.167000000000002</v>
      </c>
      <c r="G385" s="16">
        <v>25000</v>
      </c>
      <c r="H385" s="11">
        <f>'First Calculations'!P384</f>
        <v>4188</v>
      </c>
      <c r="I385" s="12"/>
      <c r="J385" s="13">
        <f t="shared" si="10"/>
        <v>0.16752</v>
      </c>
      <c r="L385" t="str">
        <f t="shared" si="11"/>
        <v>20.c.ps.200.017  - Caladium Arts &amp; Crafts Cooperative, Inc.  $4188</v>
      </c>
    </row>
    <row r="386" spans="1:12" ht="15.75" x14ac:dyDescent="0.25">
      <c r="A386" s="15">
        <v>384</v>
      </c>
      <c r="B386" s="15" t="s">
        <v>821</v>
      </c>
      <c r="C386" s="15" t="s">
        <v>822</v>
      </c>
      <c r="D386" s="15" t="s">
        <v>28</v>
      </c>
      <c r="E386" s="16">
        <v>55000</v>
      </c>
      <c r="F386" s="15">
        <v>88.143000000000001</v>
      </c>
      <c r="G386" s="16">
        <v>55000</v>
      </c>
      <c r="H386" s="11">
        <f>'First Calculations'!P385</f>
        <v>9194</v>
      </c>
      <c r="I386" s="12"/>
      <c r="J386" s="13">
        <f t="shared" si="10"/>
        <v>0.16716363636363638</v>
      </c>
      <c r="L386" t="str">
        <f t="shared" si="11"/>
        <v>20.c.ps.102.117  - American Children's Orchestras for Peace, Inc.  $9194</v>
      </c>
    </row>
    <row r="387" spans="1:12" ht="15.75" x14ac:dyDescent="0.25">
      <c r="A387" s="15">
        <v>385</v>
      </c>
      <c r="B387" s="15" t="s">
        <v>823</v>
      </c>
      <c r="C387" s="15" t="s">
        <v>824</v>
      </c>
      <c r="D387" s="15" t="s">
        <v>102</v>
      </c>
      <c r="E387" s="16">
        <v>11500</v>
      </c>
      <c r="F387" s="15">
        <v>88</v>
      </c>
      <c r="G387" s="16">
        <v>11500</v>
      </c>
      <c r="H387" s="11">
        <f>'First Calculations'!P386</f>
        <v>1931</v>
      </c>
      <c r="I387" s="12"/>
      <c r="J387" s="13">
        <f t="shared" ref="J387:J450" si="12">H387/E387</f>
        <v>0.16791304347826086</v>
      </c>
      <c r="L387" t="str">
        <f t="shared" si="11"/>
        <v>20.c.ps.105.403  - Artel, Inc.  $1931</v>
      </c>
    </row>
    <row r="388" spans="1:12" ht="15.75" x14ac:dyDescent="0.25">
      <c r="A388" s="15">
        <v>386</v>
      </c>
      <c r="B388" s="15" t="s">
        <v>825</v>
      </c>
      <c r="C388" s="15" t="s">
        <v>826</v>
      </c>
      <c r="D388" s="15" t="s">
        <v>36</v>
      </c>
      <c r="E388" s="16">
        <v>38025</v>
      </c>
      <c r="F388" s="15">
        <v>87.856999999999999</v>
      </c>
      <c r="G388" s="16">
        <v>38025</v>
      </c>
      <c r="H388" s="11">
        <f>'First Calculations'!P387</f>
        <v>6340</v>
      </c>
      <c r="I388" s="12"/>
      <c r="J388" s="13">
        <f t="shared" si="12"/>
        <v>0.16673241288625903</v>
      </c>
      <c r="L388" t="str">
        <f t="shared" ref="L388:L451" si="13">B388&amp;" - "&amp;C388&amp;" $"&amp;H388</f>
        <v>20.c.ps.114.492  - Grace Arts Center, Inc.  $6340</v>
      </c>
    </row>
    <row r="389" spans="1:12" ht="15.75" x14ac:dyDescent="0.25">
      <c r="A389" s="15">
        <v>387</v>
      </c>
      <c r="B389" s="15" t="s">
        <v>827</v>
      </c>
      <c r="C389" s="15" t="s">
        <v>828</v>
      </c>
      <c r="D389" s="15" t="s">
        <v>87</v>
      </c>
      <c r="E389" s="16">
        <v>90407</v>
      </c>
      <c r="F389" s="15">
        <v>87.832999999999998</v>
      </c>
      <c r="G389" s="16">
        <v>90407</v>
      </c>
      <c r="H389" s="11">
        <f>'First Calculations'!P388</f>
        <v>15050</v>
      </c>
      <c r="I389" s="12"/>
      <c r="J389" s="13">
        <f t="shared" si="12"/>
        <v>0.16646941055449246</v>
      </c>
      <c r="L389" t="str">
        <f t="shared" si="13"/>
        <v>20.c.ps.170.575  - Maitland Art and History Association, Inc.  $15050</v>
      </c>
    </row>
    <row r="390" spans="1:12" ht="15.75" x14ac:dyDescent="0.25">
      <c r="A390" s="15">
        <v>388</v>
      </c>
      <c r="B390" s="15" t="s">
        <v>829</v>
      </c>
      <c r="C390" s="15" t="s">
        <v>830</v>
      </c>
      <c r="D390" s="15" t="s">
        <v>593</v>
      </c>
      <c r="E390" s="16">
        <v>26600</v>
      </c>
      <c r="F390" s="15">
        <v>87.8</v>
      </c>
      <c r="G390" s="16">
        <v>26600</v>
      </c>
      <c r="H390" s="11">
        <f>'First Calculations'!P389</f>
        <v>4437</v>
      </c>
      <c r="I390" s="12"/>
      <c r="J390" s="13">
        <f t="shared" si="12"/>
        <v>0.16680451127819548</v>
      </c>
      <c r="L390" t="str">
        <f t="shared" si="13"/>
        <v>20.c.ps.102.191  - First Coast Opera, Inc.  $4437</v>
      </c>
    </row>
    <row r="391" spans="1:12" ht="15.75" x14ac:dyDescent="0.25">
      <c r="A391" s="15">
        <v>389</v>
      </c>
      <c r="B391" s="15" t="s">
        <v>831</v>
      </c>
      <c r="C391" s="15" t="s">
        <v>832</v>
      </c>
      <c r="D391" s="15" t="s">
        <v>64</v>
      </c>
      <c r="E391" s="16">
        <v>150000</v>
      </c>
      <c r="F391" s="15">
        <v>87.713999999999999</v>
      </c>
      <c r="G391" s="16">
        <v>150000</v>
      </c>
      <c r="H391" s="11">
        <f>'First Calculations'!P390</f>
        <v>24926</v>
      </c>
      <c r="I391" s="12"/>
      <c r="J391" s="13">
        <f t="shared" si="12"/>
        <v>0.16617333333333334</v>
      </c>
      <c r="L391" t="str">
        <f t="shared" si="13"/>
        <v>20.c.ps.170.677  - Golisano Children's Museum of Naples  $24926</v>
      </c>
    </row>
    <row r="392" spans="1:12" ht="15.75" x14ac:dyDescent="0.25">
      <c r="A392" s="15">
        <v>390</v>
      </c>
      <c r="B392" s="15" t="s">
        <v>833</v>
      </c>
      <c r="C392" s="15" t="s">
        <v>834</v>
      </c>
      <c r="D392" s="15" t="s">
        <v>39</v>
      </c>
      <c r="E392" s="16">
        <v>25000</v>
      </c>
      <c r="F392" s="15">
        <v>87.713999999999999</v>
      </c>
      <c r="G392" s="16">
        <v>25000</v>
      </c>
      <c r="H392" s="11">
        <f>'First Calculations'!P391</f>
        <v>4167</v>
      </c>
      <c r="I392" s="12"/>
      <c r="J392" s="13">
        <f t="shared" si="12"/>
        <v>0.16667999999999999</v>
      </c>
      <c r="L392" t="str">
        <f t="shared" si="13"/>
        <v>20.c.ps.114.082  - Blue Planet International Explorers' Bazaar &amp; Writers' Room, Inc.  $4167</v>
      </c>
    </row>
    <row r="393" spans="1:12" ht="15.75" x14ac:dyDescent="0.25">
      <c r="A393" s="15">
        <v>391</v>
      </c>
      <c r="B393" s="15" t="s">
        <v>835</v>
      </c>
      <c r="C393" s="15" t="s">
        <v>836</v>
      </c>
      <c r="D393" s="15" t="s">
        <v>67</v>
      </c>
      <c r="E393" s="16">
        <v>40000</v>
      </c>
      <c r="F393" s="15">
        <v>87.713999999999999</v>
      </c>
      <c r="G393" s="16">
        <v>40000</v>
      </c>
      <c r="H393" s="11">
        <f>'First Calculations'!P392</f>
        <v>6658</v>
      </c>
      <c r="I393" s="12"/>
      <c r="J393" s="13">
        <f t="shared" si="12"/>
        <v>0.16644999999999999</v>
      </c>
      <c r="L393" t="str">
        <f t="shared" si="13"/>
        <v>20.c.ps.141.192  - Gainesville Little Theater dba Gainesville Community Playhouse  $6658</v>
      </c>
    </row>
    <row r="394" spans="1:12" ht="15.75" x14ac:dyDescent="0.25">
      <c r="A394" s="15">
        <v>392</v>
      </c>
      <c r="B394" s="15" t="s">
        <v>837</v>
      </c>
      <c r="C394" s="15" t="s">
        <v>640</v>
      </c>
      <c r="D394" s="15" t="s">
        <v>28</v>
      </c>
      <c r="E394" s="16">
        <v>150000</v>
      </c>
      <c r="F394" s="15">
        <v>87.667000000000002</v>
      </c>
      <c r="G394" s="16">
        <v>150000</v>
      </c>
      <c r="H394" s="11">
        <f>'First Calculations'!P393</f>
        <v>24913</v>
      </c>
      <c r="I394" s="12"/>
      <c r="J394" s="13">
        <f t="shared" si="12"/>
        <v>0.16608666666666666</v>
      </c>
      <c r="L394" t="str">
        <f t="shared" si="13"/>
        <v>20.c.ps.170.211  - The Florida International University Board of Trustees  $24913</v>
      </c>
    </row>
    <row r="395" spans="1:12" ht="15.75" x14ac:dyDescent="0.25">
      <c r="A395" s="15">
        <v>393</v>
      </c>
      <c r="B395" s="15" t="s">
        <v>838</v>
      </c>
      <c r="C395" s="15" t="s">
        <v>839</v>
      </c>
      <c r="D395" s="15" t="s">
        <v>73</v>
      </c>
      <c r="E395" s="16">
        <v>42153</v>
      </c>
      <c r="F395" s="15">
        <v>87.6</v>
      </c>
      <c r="G395" s="16">
        <v>42153</v>
      </c>
      <c r="H395" s="11">
        <f>'First Calculations'!P394</f>
        <v>7006</v>
      </c>
      <c r="I395" s="12"/>
      <c r="J395" s="13">
        <f t="shared" si="12"/>
        <v>0.16620406614001376</v>
      </c>
      <c r="L395" t="str">
        <f t="shared" si="13"/>
        <v>20.c.ps.105.121  - Ormond Memorial Art Museum, Inc.  $7006</v>
      </c>
    </row>
    <row r="396" spans="1:12" ht="15.75" x14ac:dyDescent="0.25">
      <c r="A396" s="15">
        <v>394</v>
      </c>
      <c r="B396" s="15" t="s">
        <v>840</v>
      </c>
      <c r="C396" s="15" t="s">
        <v>841</v>
      </c>
      <c r="D396" s="15" t="s">
        <v>28</v>
      </c>
      <c r="E396" s="16">
        <v>23250</v>
      </c>
      <c r="F396" s="15">
        <v>87.4</v>
      </c>
      <c r="G396" s="16">
        <v>23250</v>
      </c>
      <c r="H396" s="11">
        <f>'First Calculations'!P395</f>
        <v>3862</v>
      </c>
      <c r="I396" s="12"/>
      <c r="J396" s="13">
        <f t="shared" si="12"/>
        <v>0.16610752688172042</v>
      </c>
      <c r="L396" t="str">
        <f t="shared" si="13"/>
        <v>20.c.ps.102.019  - South Florida Youth Symphony, Inc.  $3862</v>
      </c>
    </row>
    <row r="397" spans="1:12" ht="15.75" x14ac:dyDescent="0.25">
      <c r="A397" s="15">
        <v>395</v>
      </c>
      <c r="B397" s="15" t="s">
        <v>842</v>
      </c>
      <c r="C397" s="15" t="s">
        <v>843</v>
      </c>
      <c r="D397" s="15" t="s">
        <v>87</v>
      </c>
      <c r="E397" s="16">
        <v>150000</v>
      </c>
      <c r="F397" s="15">
        <v>87.332999999999998</v>
      </c>
      <c r="G397" s="16">
        <v>150000</v>
      </c>
      <c r="H397" s="11">
        <f>'First Calculations'!P396</f>
        <v>24818</v>
      </c>
      <c r="I397" s="12"/>
      <c r="J397" s="13">
        <f t="shared" si="12"/>
        <v>0.16545333333333334</v>
      </c>
      <c r="L397" t="str">
        <f t="shared" si="13"/>
        <v>20.c.ps.170.335  - City of Orlando  $24818</v>
      </c>
    </row>
    <row r="398" spans="1:12" ht="15.75" x14ac:dyDescent="0.25">
      <c r="A398" s="15">
        <v>396</v>
      </c>
      <c r="B398" s="15" t="s">
        <v>844</v>
      </c>
      <c r="C398" s="15" t="s">
        <v>845</v>
      </c>
      <c r="D398" s="15" t="s">
        <v>28</v>
      </c>
      <c r="E398" s="16">
        <v>94000</v>
      </c>
      <c r="F398" s="15">
        <v>87.332999999999998</v>
      </c>
      <c r="G398" s="16">
        <v>94000</v>
      </c>
      <c r="H398" s="11">
        <f>'First Calculations'!P397</f>
        <v>15558</v>
      </c>
      <c r="I398" s="12"/>
      <c r="J398" s="13">
        <f t="shared" si="12"/>
        <v>0.16551063829787235</v>
      </c>
      <c r="L398" t="str">
        <f t="shared" si="13"/>
        <v>20.c.ps.101.368  - Arts Ballet Theatre of Florida, Inc.  $15558</v>
      </c>
    </row>
    <row r="399" spans="1:12" ht="15.75" x14ac:dyDescent="0.25">
      <c r="A399" s="15">
        <v>397</v>
      </c>
      <c r="B399" s="15" t="s">
        <v>846</v>
      </c>
      <c r="C399" s="15" t="s">
        <v>847</v>
      </c>
      <c r="D399" s="15" t="s">
        <v>73</v>
      </c>
      <c r="E399" s="16">
        <v>25000</v>
      </c>
      <c r="F399" s="15">
        <v>87.332999999999998</v>
      </c>
      <c r="G399" s="16">
        <v>25000</v>
      </c>
      <c r="H399" s="11">
        <f>'First Calculations'!P398</f>
        <v>4149</v>
      </c>
      <c r="I399" s="12"/>
      <c r="J399" s="13">
        <f t="shared" si="12"/>
        <v>0.16596</v>
      </c>
      <c r="L399" t="str">
        <f t="shared" si="13"/>
        <v>20.c.ps.170.119  - Ormond Beach Historical Society, Inc.  $4149</v>
      </c>
    </row>
    <row r="400" spans="1:12" ht="15.75" x14ac:dyDescent="0.25">
      <c r="A400" s="15">
        <v>398</v>
      </c>
      <c r="B400" s="15" t="s">
        <v>848</v>
      </c>
      <c r="C400" s="15" t="s">
        <v>849</v>
      </c>
      <c r="D400" s="15" t="s">
        <v>33</v>
      </c>
      <c r="E400" s="16">
        <v>49400</v>
      </c>
      <c r="F400" s="15">
        <v>87.332999999999998</v>
      </c>
      <c r="G400" s="16">
        <v>49400</v>
      </c>
      <c r="H400" s="11">
        <f>'First Calculations'!P399</f>
        <v>8183</v>
      </c>
      <c r="I400" s="12"/>
      <c r="J400" s="13">
        <f t="shared" si="12"/>
        <v>0.16564777327935223</v>
      </c>
      <c r="L400" t="str">
        <f t="shared" si="13"/>
        <v>20.c.ps.180.072  - Sarasota Concert Association, Inc.  $8183</v>
      </c>
    </row>
    <row r="401" spans="1:12" ht="15.75" x14ac:dyDescent="0.25">
      <c r="A401" s="15">
        <v>399</v>
      </c>
      <c r="B401" s="15" t="s">
        <v>850</v>
      </c>
      <c r="C401" s="15" t="s">
        <v>851</v>
      </c>
      <c r="D401" s="15" t="s">
        <v>28</v>
      </c>
      <c r="E401" s="16">
        <v>40000</v>
      </c>
      <c r="F401" s="15">
        <v>87.25</v>
      </c>
      <c r="G401" s="16">
        <v>40000</v>
      </c>
      <c r="H401" s="11">
        <f>'First Calculations'!P400</f>
        <v>6623</v>
      </c>
      <c r="I401" s="12"/>
      <c r="J401" s="13">
        <f t="shared" si="12"/>
        <v>0.165575</v>
      </c>
      <c r="L401" t="str">
        <f t="shared" si="13"/>
        <v>20.c.ps.109.213  - Florida Film Institute, Inc.  $6623</v>
      </c>
    </row>
    <row r="402" spans="1:12" ht="15.75" x14ac:dyDescent="0.25">
      <c r="A402" s="15">
        <v>400</v>
      </c>
      <c r="B402" s="15" t="s">
        <v>852</v>
      </c>
      <c r="C402" s="15" t="s">
        <v>853</v>
      </c>
      <c r="D402" s="15" t="s">
        <v>73</v>
      </c>
      <c r="E402" s="16">
        <v>25000</v>
      </c>
      <c r="F402" s="15">
        <v>87.25</v>
      </c>
      <c r="G402" s="16">
        <v>25000</v>
      </c>
      <c r="H402" s="11">
        <f>'First Calculations'!P401</f>
        <v>4145</v>
      </c>
      <c r="I402" s="12"/>
      <c r="J402" s="13">
        <f t="shared" si="12"/>
        <v>0.1658</v>
      </c>
      <c r="L402" t="str">
        <f t="shared" si="13"/>
        <v>20.c.ps.109.797  - Cinematique of Daytona, Inc.   $4145</v>
      </c>
    </row>
    <row r="403" spans="1:12" ht="15.75" x14ac:dyDescent="0.25">
      <c r="A403" s="15">
        <v>401</v>
      </c>
      <c r="B403" s="15" t="s">
        <v>854</v>
      </c>
      <c r="C403" s="15" t="s">
        <v>855</v>
      </c>
      <c r="D403" s="15" t="s">
        <v>73</v>
      </c>
      <c r="E403" s="16">
        <v>12871</v>
      </c>
      <c r="F403" s="15">
        <v>87.167000000000002</v>
      </c>
      <c r="G403" s="16">
        <v>12871</v>
      </c>
      <c r="H403" s="11">
        <f>'First Calculations'!P402</f>
        <v>2139</v>
      </c>
      <c r="I403" s="12"/>
      <c r="J403" s="13">
        <f t="shared" si="12"/>
        <v>0.16618755341465311</v>
      </c>
      <c r="L403" t="str">
        <f t="shared" si="13"/>
        <v>20.c.ps.170.099  - DeLand Naval Air Station Museum, Inc.  $2139</v>
      </c>
    </row>
    <row r="404" spans="1:12" ht="15.75" x14ac:dyDescent="0.25">
      <c r="A404" s="15">
        <v>402</v>
      </c>
      <c r="B404" s="15" t="s">
        <v>856</v>
      </c>
      <c r="C404" s="15" t="s">
        <v>857</v>
      </c>
      <c r="D404" s="15" t="s">
        <v>115</v>
      </c>
      <c r="E404" s="16">
        <v>46063</v>
      </c>
      <c r="F404" s="15">
        <v>87.167000000000002</v>
      </c>
      <c r="G404" s="16">
        <v>46063</v>
      </c>
      <c r="H404" s="11">
        <f>'First Calculations'!P403</f>
        <v>7617</v>
      </c>
      <c r="I404" s="12"/>
      <c r="J404" s="13">
        <f t="shared" si="12"/>
        <v>0.16536048455376332</v>
      </c>
      <c r="L404" t="str">
        <f t="shared" si="13"/>
        <v>20.c.ps.170.196  - John Gilmore Center for African American History and Culture  $7617</v>
      </c>
    </row>
    <row r="405" spans="1:12" ht="15.75" x14ac:dyDescent="0.25">
      <c r="A405" s="15">
        <v>403</v>
      </c>
      <c r="B405" s="15" t="s">
        <v>858</v>
      </c>
      <c r="C405" s="15" t="s">
        <v>859</v>
      </c>
      <c r="D405" s="15" t="s">
        <v>136</v>
      </c>
      <c r="E405" s="16">
        <v>87571</v>
      </c>
      <c r="F405" s="15">
        <v>87.143000000000001</v>
      </c>
      <c r="G405" s="16">
        <v>87571</v>
      </c>
      <c r="H405" s="11">
        <f>'First Calculations'!P404</f>
        <v>14464</v>
      </c>
      <c r="I405" s="12"/>
      <c r="J405" s="13">
        <f t="shared" si="12"/>
        <v>0.16516883443148989</v>
      </c>
      <c r="L405" t="str">
        <f t="shared" si="13"/>
        <v>20.c.ps.170.476  - Florida Air Museum, Inc.  $14464</v>
      </c>
    </row>
    <row r="406" spans="1:12" ht="15.75" x14ac:dyDescent="0.25">
      <c r="A406" s="15">
        <v>404</v>
      </c>
      <c r="B406" s="15" t="s">
        <v>860</v>
      </c>
      <c r="C406" s="15" t="s">
        <v>861</v>
      </c>
      <c r="D406" s="15" t="s">
        <v>50</v>
      </c>
      <c r="E406" s="16">
        <v>40000</v>
      </c>
      <c r="F406" s="15">
        <v>87.143000000000001</v>
      </c>
      <c r="G406" s="16">
        <v>40000</v>
      </c>
      <c r="H406" s="11">
        <f>'First Calculations'!P405</f>
        <v>6615</v>
      </c>
      <c r="I406" s="12"/>
      <c r="J406" s="13">
        <f t="shared" si="12"/>
        <v>0.16537499999999999</v>
      </c>
      <c r="L406" t="str">
        <f t="shared" si="13"/>
        <v>20.c.ps.114.400  - Don't Miss A Beat, Inc.  $6615</v>
      </c>
    </row>
    <row r="407" spans="1:12" ht="15.75" x14ac:dyDescent="0.25">
      <c r="A407" s="15">
        <v>405</v>
      </c>
      <c r="B407" s="15" t="s">
        <v>862</v>
      </c>
      <c r="C407" s="15" t="s">
        <v>863</v>
      </c>
      <c r="D407" s="15" t="s">
        <v>133</v>
      </c>
      <c r="E407" s="16">
        <v>38000</v>
      </c>
      <c r="F407" s="15">
        <v>87</v>
      </c>
      <c r="G407" s="16">
        <v>38000</v>
      </c>
      <c r="H407" s="11">
        <f>'First Calculations'!P406</f>
        <v>6274</v>
      </c>
      <c r="I407" s="12"/>
      <c r="J407" s="13">
        <f t="shared" si="12"/>
        <v>0.16510526315789473</v>
      </c>
      <c r="L407" t="str">
        <f t="shared" si="13"/>
        <v>20.c.ps.105.415  - Southern Atelier, Inc.  $6274</v>
      </c>
    </row>
    <row r="408" spans="1:12" ht="15.75" x14ac:dyDescent="0.25">
      <c r="A408" s="15">
        <v>406</v>
      </c>
      <c r="B408" s="15" t="s">
        <v>864</v>
      </c>
      <c r="C408" s="15" t="s">
        <v>865</v>
      </c>
      <c r="D408" s="15" t="s">
        <v>28</v>
      </c>
      <c r="E408" s="16">
        <v>69532</v>
      </c>
      <c r="F408" s="15">
        <v>87</v>
      </c>
      <c r="G408" s="16">
        <v>69532</v>
      </c>
      <c r="H408" s="11">
        <f>'First Calculations'!P407</f>
        <v>11468</v>
      </c>
      <c r="I408" s="12"/>
      <c r="J408" s="13">
        <f t="shared" si="12"/>
        <v>0.16493125467410688</v>
      </c>
      <c r="L408" t="str">
        <f t="shared" si="13"/>
        <v>20.c.ps.109.680  - Miami Dade College Foundation, Inc.  $11468</v>
      </c>
    </row>
    <row r="409" spans="1:12" ht="15.75" x14ac:dyDescent="0.25">
      <c r="A409" s="15">
        <v>407</v>
      </c>
      <c r="B409" s="15" t="s">
        <v>866</v>
      </c>
      <c r="C409" s="15" t="s">
        <v>867</v>
      </c>
      <c r="D409" s="15" t="s">
        <v>28</v>
      </c>
      <c r="E409" s="16">
        <v>40000</v>
      </c>
      <c r="F409" s="15">
        <v>87</v>
      </c>
      <c r="G409" s="16">
        <v>40000</v>
      </c>
      <c r="H409" s="11">
        <f>'First Calculations'!P408</f>
        <v>6604</v>
      </c>
      <c r="I409" s="12"/>
      <c r="J409" s="13">
        <f t="shared" si="12"/>
        <v>0.1651</v>
      </c>
      <c r="L409" t="str">
        <f t="shared" si="13"/>
        <v>20.c.ps.102.362  - Miami Lyric Opera, Inc.  $6604</v>
      </c>
    </row>
    <row r="410" spans="1:12" ht="15.75" x14ac:dyDescent="0.25">
      <c r="A410" s="15">
        <v>408</v>
      </c>
      <c r="B410" s="15" t="s">
        <v>868</v>
      </c>
      <c r="C410" s="15" t="s">
        <v>869</v>
      </c>
      <c r="D410" s="15" t="s">
        <v>102</v>
      </c>
      <c r="E410" s="16">
        <v>75000</v>
      </c>
      <c r="F410" s="15">
        <v>87</v>
      </c>
      <c r="G410" s="16">
        <v>75000</v>
      </c>
      <c r="H410" s="11">
        <f>'First Calculations'!P409</f>
        <v>12369</v>
      </c>
      <c r="I410" s="12"/>
      <c r="J410" s="13">
        <f t="shared" si="12"/>
        <v>0.16492000000000001</v>
      </c>
      <c r="L410" t="str">
        <f t="shared" si="13"/>
        <v>20.c.ps.101.662  - Ballet Pensacola, Inc.  $12369</v>
      </c>
    </row>
    <row r="411" spans="1:12" ht="15.75" x14ac:dyDescent="0.25">
      <c r="A411" s="15">
        <v>409</v>
      </c>
      <c r="B411" s="15" t="s">
        <v>870</v>
      </c>
      <c r="C411" s="15" t="s">
        <v>871</v>
      </c>
      <c r="D411" s="15" t="s">
        <v>80</v>
      </c>
      <c r="E411" s="16">
        <v>80000</v>
      </c>
      <c r="F411" s="15">
        <v>87</v>
      </c>
      <c r="G411" s="16">
        <v>80000</v>
      </c>
      <c r="H411" s="11">
        <f>'First Calculations'!P410</f>
        <v>13193</v>
      </c>
      <c r="I411" s="12"/>
      <c r="J411" s="13">
        <f t="shared" si="12"/>
        <v>0.16491249999999999</v>
      </c>
      <c r="L411" t="str">
        <f t="shared" si="13"/>
        <v>20.c.ps.500.632  - Creative Pinellas, Incorporated  $13193</v>
      </c>
    </row>
    <row r="412" spans="1:12" ht="15.75" x14ac:dyDescent="0.25">
      <c r="A412" s="15">
        <v>410</v>
      </c>
      <c r="B412" s="15" t="s">
        <v>872</v>
      </c>
      <c r="C412" s="15" t="s">
        <v>873</v>
      </c>
      <c r="D412" s="15" t="s">
        <v>64</v>
      </c>
      <c r="E412" s="16">
        <v>15000</v>
      </c>
      <c r="F412" s="15">
        <v>87</v>
      </c>
      <c r="G412" s="16">
        <v>15000</v>
      </c>
      <c r="H412" s="11">
        <f>'First Calculations'!P411</f>
        <v>2486</v>
      </c>
      <c r="I412" s="12"/>
      <c r="J412" s="13">
        <f t="shared" si="12"/>
        <v>0.16573333333333334</v>
      </c>
      <c r="L412" t="str">
        <f t="shared" si="13"/>
        <v>20.c.ps.102.077  - Naples Concert Band  $2486</v>
      </c>
    </row>
    <row r="413" spans="1:12" ht="15.75" x14ac:dyDescent="0.25">
      <c r="A413" s="15">
        <v>411</v>
      </c>
      <c r="B413" s="15" t="s">
        <v>874</v>
      </c>
      <c r="C413" s="15" t="s">
        <v>875</v>
      </c>
      <c r="D413" s="15" t="s">
        <v>73</v>
      </c>
      <c r="E413" s="16">
        <v>43200</v>
      </c>
      <c r="F413" s="15">
        <v>87</v>
      </c>
      <c r="G413" s="16">
        <v>43200</v>
      </c>
      <c r="H413" s="11">
        <f>'First Calculations'!P412</f>
        <v>7131</v>
      </c>
      <c r="I413" s="12"/>
      <c r="J413" s="13">
        <f t="shared" si="12"/>
        <v>0.16506944444444444</v>
      </c>
      <c r="L413" t="str">
        <f t="shared" si="13"/>
        <v>20.c.ps.114.230  - Gateway Center for the Arts, Inc.  $7131</v>
      </c>
    </row>
    <row r="414" spans="1:12" ht="15.75" x14ac:dyDescent="0.25">
      <c r="A414" s="15">
        <v>412</v>
      </c>
      <c r="B414" s="15" t="s">
        <v>876</v>
      </c>
      <c r="C414" s="15" t="s">
        <v>877</v>
      </c>
      <c r="D414" s="15" t="s">
        <v>28</v>
      </c>
      <c r="E414" s="16">
        <v>22000</v>
      </c>
      <c r="F414" s="15">
        <v>87</v>
      </c>
      <c r="G414" s="16">
        <v>22000</v>
      </c>
      <c r="H414" s="11">
        <f>'First Calculations'!P413</f>
        <v>3639</v>
      </c>
      <c r="I414" s="12"/>
      <c r="J414" s="13">
        <f t="shared" si="12"/>
        <v>0.16540909090909092</v>
      </c>
      <c r="L414" t="str">
        <f t="shared" si="13"/>
        <v>20.c.ps.109.494  - Miami Short Film Festival  $3639</v>
      </c>
    </row>
    <row r="415" spans="1:12" ht="15.75" x14ac:dyDescent="0.25">
      <c r="A415" s="15">
        <v>413</v>
      </c>
      <c r="B415" s="15" t="s">
        <v>878</v>
      </c>
      <c r="C415" s="15" t="s">
        <v>879</v>
      </c>
      <c r="D415" s="15" t="s">
        <v>73</v>
      </c>
      <c r="E415" s="16">
        <v>114361</v>
      </c>
      <c r="F415" s="15">
        <v>86.856999999999999</v>
      </c>
      <c r="G415" s="16">
        <v>114361</v>
      </c>
      <c r="H415" s="11">
        <f>'First Calculations'!P414</f>
        <v>18822</v>
      </c>
      <c r="I415" s="12"/>
      <c r="J415" s="13">
        <f t="shared" si="12"/>
        <v>0.16458408023714377</v>
      </c>
      <c r="L415" t="str">
        <f t="shared" si="13"/>
        <v>20.c.ps.170.112  - The Museum of Art, Deland, Florida, Inc.  $18822</v>
      </c>
    </row>
    <row r="416" spans="1:12" ht="25.5" x14ac:dyDescent="0.25">
      <c r="A416" s="15">
        <v>414</v>
      </c>
      <c r="B416" s="15" t="s">
        <v>880</v>
      </c>
      <c r="C416" s="15" t="s">
        <v>881</v>
      </c>
      <c r="D416" s="15" t="s">
        <v>57</v>
      </c>
      <c r="E416" s="16">
        <v>1500</v>
      </c>
      <c r="F416" s="15">
        <v>86.832999999999998</v>
      </c>
      <c r="G416" s="16">
        <v>1500</v>
      </c>
      <c r="H416" s="11">
        <f>'First Calculations'!P415</f>
        <v>1000</v>
      </c>
      <c r="I416" s="12"/>
      <c r="J416" s="13">
        <f t="shared" si="12"/>
        <v>0.66666666666666663</v>
      </c>
      <c r="L416" t="str">
        <f t="shared" si="13"/>
        <v>20.c.ps.180.514  - Thornhill Foundation for the Arts  $1000</v>
      </c>
    </row>
    <row r="417" spans="1:12" ht="15.75" x14ac:dyDescent="0.25">
      <c r="A417" s="15">
        <v>415</v>
      </c>
      <c r="B417" s="15" t="s">
        <v>882</v>
      </c>
      <c r="C417" s="15" t="s">
        <v>883</v>
      </c>
      <c r="D417" s="15" t="s">
        <v>28</v>
      </c>
      <c r="E417" s="16">
        <v>50000</v>
      </c>
      <c r="F417" s="15">
        <v>86.832999999999998</v>
      </c>
      <c r="G417" s="16">
        <v>50000</v>
      </c>
      <c r="H417" s="11">
        <f>'First Calculations'!P416</f>
        <v>8235</v>
      </c>
      <c r="I417" s="12"/>
      <c r="J417" s="13">
        <f t="shared" si="12"/>
        <v>0.16470000000000001</v>
      </c>
      <c r="L417" t="str">
        <f t="shared" si="13"/>
        <v>20.c.ps.180.499  - Miami Hispanic Ballet Corp.  $8235</v>
      </c>
    </row>
    <row r="418" spans="1:12" ht="15.75" x14ac:dyDescent="0.25">
      <c r="A418" s="15">
        <v>416</v>
      </c>
      <c r="B418" s="15" t="s">
        <v>884</v>
      </c>
      <c r="C418" s="15" t="s">
        <v>217</v>
      </c>
      <c r="D418" s="15" t="s">
        <v>28</v>
      </c>
      <c r="E418" s="16">
        <v>150000</v>
      </c>
      <c r="F418" s="15">
        <v>86.75</v>
      </c>
      <c r="G418" s="16">
        <v>150000</v>
      </c>
      <c r="H418" s="11">
        <f>'First Calculations'!P417</f>
        <v>24652</v>
      </c>
      <c r="I418" s="12"/>
      <c r="J418" s="13">
        <f t="shared" si="12"/>
        <v>0.16434666666666667</v>
      </c>
      <c r="L418" t="str">
        <f t="shared" si="13"/>
        <v>20.c.ps.109.676  - Miami Dade College  $24652</v>
      </c>
    </row>
    <row r="419" spans="1:12" ht="15.75" x14ac:dyDescent="0.25">
      <c r="A419" s="15">
        <v>417</v>
      </c>
      <c r="B419" s="15" t="s">
        <v>885</v>
      </c>
      <c r="C419" s="15" t="s">
        <v>886</v>
      </c>
      <c r="D419" s="15" t="s">
        <v>39</v>
      </c>
      <c r="E419" s="16">
        <v>104570</v>
      </c>
      <c r="F419" s="15">
        <v>86.713999999999999</v>
      </c>
      <c r="G419" s="16">
        <v>104570</v>
      </c>
      <c r="H419" s="11">
        <f>'First Calculations'!P418</f>
        <v>17183</v>
      </c>
      <c r="I419" s="12"/>
      <c r="J419" s="13">
        <f t="shared" si="12"/>
        <v>0.1643205508271971</v>
      </c>
      <c r="L419" t="str">
        <f t="shared" si="13"/>
        <v>20.c.ps.170.686  - Historical Society of Palm Beach County  $17183</v>
      </c>
    </row>
    <row r="420" spans="1:12" ht="25.5" x14ac:dyDescent="0.25">
      <c r="A420" s="15">
        <v>418</v>
      </c>
      <c r="B420" s="15" t="s">
        <v>887</v>
      </c>
      <c r="C420" s="15" t="s">
        <v>888</v>
      </c>
      <c r="D420" s="15" t="s">
        <v>57</v>
      </c>
      <c r="E420" s="16">
        <v>150000</v>
      </c>
      <c r="F420" s="15">
        <v>86.667000000000002</v>
      </c>
      <c r="G420" s="16">
        <v>150000</v>
      </c>
      <c r="H420" s="11">
        <f>'First Calculations'!P419</f>
        <v>24629</v>
      </c>
      <c r="I420" s="12"/>
      <c r="J420" s="13">
        <f t="shared" si="12"/>
        <v>0.16419333333333333</v>
      </c>
      <c r="L420" t="str">
        <f t="shared" si="13"/>
        <v>20.c.ps.170.650  - Museum of Science &amp; Industry, Inc.  $24629</v>
      </c>
    </row>
    <row r="421" spans="1:12" ht="15.75" x14ac:dyDescent="0.25">
      <c r="A421" s="15">
        <v>419</v>
      </c>
      <c r="B421" s="15" t="s">
        <v>889</v>
      </c>
      <c r="C421" s="15" t="s">
        <v>890</v>
      </c>
      <c r="D421" s="15" t="s">
        <v>28</v>
      </c>
      <c r="E421" s="16">
        <v>140000</v>
      </c>
      <c r="F421" s="15">
        <v>86.625</v>
      </c>
      <c r="G421" s="16">
        <v>140000</v>
      </c>
      <c r="H421" s="11">
        <f>'First Calculations'!P420</f>
        <v>22977</v>
      </c>
      <c r="I421" s="12"/>
      <c r="J421" s="13">
        <f t="shared" si="12"/>
        <v>0.16412142857142858</v>
      </c>
      <c r="L421" t="str">
        <f t="shared" si="13"/>
        <v>20.c.ps.102.061  - The Miami Symphony Orchestra/Orquesta Sinfonica De Miami, Inc.  $22977</v>
      </c>
    </row>
    <row r="422" spans="1:12" ht="15.75" x14ac:dyDescent="0.25">
      <c r="A422" s="15">
        <v>420</v>
      </c>
      <c r="B422" s="15" t="s">
        <v>891</v>
      </c>
      <c r="C422" s="15" t="s">
        <v>892</v>
      </c>
      <c r="D422" s="15" t="s">
        <v>28</v>
      </c>
      <c r="E422" s="16">
        <v>54500</v>
      </c>
      <c r="F422" s="15">
        <v>86.332999999999998</v>
      </c>
      <c r="G422" s="16">
        <v>54500</v>
      </c>
      <c r="H422" s="11">
        <f>'First Calculations'!P421</f>
        <v>8923</v>
      </c>
      <c r="I422" s="12"/>
      <c r="J422" s="13">
        <f t="shared" si="12"/>
        <v>0.16372477064220184</v>
      </c>
      <c r="L422" t="str">
        <f t="shared" si="13"/>
        <v>20.c.ps.180.531  - Michael-Ann Russell Jewish Community Center, Inc.  $8923</v>
      </c>
    </row>
    <row r="423" spans="1:12" ht="15.75" x14ac:dyDescent="0.25">
      <c r="A423" s="15">
        <v>421</v>
      </c>
      <c r="B423" s="15" t="s">
        <v>893</v>
      </c>
      <c r="C423" s="15" t="s">
        <v>894</v>
      </c>
      <c r="D423" s="15" t="s">
        <v>39</v>
      </c>
      <c r="E423" s="16">
        <v>150000</v>
      </c>
      <c r="F423" s="15">
        <v>86.286000000000001</v>
      </c>
      <c r="G423" s="16">
        <v>150000</v>
      </c>
      <c r="H423" s="11">
        <f>'First Calculations'!P422</f>
        <v>24521</v>
      </c>
      <c r="I423" s="12"/>
      <c r="J423" s="13">
        <f t="shared" si="12"/>
        <v>0.16347333333333333</v>
      </c>
      <c r="L423" t="str">
        <f t="shared" si="13"/>
        <v>20.c.ps.114.711  - Old School Square Center for the Arts, Inc.  $24521</v>
      </c>
    </row>
    <row r="424" spans="1:12" ht="15.75" x14ac:dyDescent="0.25">
      <c r="A424" s="15">
        <v>422</v>
      </c>
      <c r="B424" s="15" t="s">
        <v>895</v>
      </c>
      <c r="C424" s="15" t="s">
        <v>896</v>
      </c>
      <c r="D424" s="15" t="s">
        <v>33</v>
      </c>
      <c r="E424" s="16">
        <v>62000</v>
      </c>
      <c r="F424" s="15">
        <v>86.286000000000001</v>
      </c>
      <c r="G424" s="16">
        <v>62000</v>
      </c>
      <c r="H424" s="11">
        <f>'First Calculations'!P423</f>
        <v>10144</v>
      </c>
      <c r="I424" s="12"/>
      <c r="J424" s="13">
        <f t="shared" si="12"/>
        <v>0.16361290322580646</v>
      </c>
      <c r="L424" t="str">
        <f t="shared" si="13"/>
        <v>20.c.ps.170.673  - Gulf Coast Heritage Association, Inc.  $10144</v>
      </c>
    </row>
    <row r="425" spans="1:12" ht="25.5" x14ac:dyDescent="0.25">
      <c r="A425" s="15">
        <v>423</v>
      </c>
      <c r="B425" s="15" t="s">
        <v>897</v>
      </c>
      <c r="C425" s="15" t="s">
        <v>898</v>
      </c>
      <c r="D425" s="15" t="s">
        <v>57</v>
      </c>
      <c r="E425" s="16">
        <v>20500</v>
      </c>
      <c r="F425" s="15">
        <v>86.167000000000002</v>
      </c>
      <c r="G425" s="16">
        <v>20500</v>
      </c>
      <c r="H425" s="11">
        <f>'First Calculations'!P424</f>
        <v>3359</v>
      </c>
      <c r="I425" s="12"/>
      <c r="J425" s="13">
        <f t="shared" si="12"/>
        <v>0.16385365853658537</v>
      </c>
      <c r="L425" t="str">
        <f t="shared" si="13"/>
        <v>20.c.ps.600.373  - Florida Dance Association, Inc.  $3359</v>
      </c>
    </row>
    <row r="426" spans="1:12" ht="15.75" x14ac:dyDescent="0.25">
      <c r="A426" s="15">
        <v>424</v>
      </c>
      <c r="B426" s="15" t="s">
        <v>899</v>
      </c>
      <c r="C426" s="15" t="s">
        <v>900</v>
      </c>
      <c r="D426" s="15" t="s">
        <v>715</v>
      </c>
      <c r="E426" s="16">
        <v>107000</v>
      </c>
      <c r="F426" s="15">
        <v>86.167000000000002</v>
      </c>
      <c r="G426" s="16">
        <v>107000</v>
      </c>
      <c r="H426" s="11">
        <f>'First Calculations'!P425</f>
        <v>17471</v>
      </c>
      <c r="I426" s="12"/>
      <c r="J426" s="13">
        <f t="shared" si="12"/>
        <v>0.16328037383177571</v>
      </c>
      <c r="L426" t="str">
        <f t="shared" si="13"/>
        <v>20.c.ps.500.553  - Bay Arts Alliance, Inc.  $17471</v>
      </c>
    </row>
    <row r="427" spans="1:12" ht="15.75" x14ac:dyDescent="0.25">
      <c r="A427" s="15">
        <v>425</v>
      </c>
      <c r="B427" s="15" t="s">
        <v>901</v>
      </c>
      <c r="C427" s="15" t="s">
        <v>902</v>
      </c>
      <c r="D427" s="15" t="s">
        <v>287</v>
      </c>
      <c r="E427" s="16">
        <v>25000</v>
      </c>
      <c r="F427" s="15">
        <v>86.143000000000001</v>
      </c>
      <c r="G427" s="16">
        <v>25000</v>
      </c>
      <c r="H427" s="11">
        <f>'First Calculations'!P426</f>
        <v>4092</v>
      </c>
      <c r="I427" s="12"/>
      <c r="J427" s="13">
        <f t="shared" si="12"/>
        <v>0.16367999999999999</v>
      </c>
      <c r="L427" t="str">
        <f t="shared" si="13"/>
        <v>20.c.ps.170.456  - Florida Keys Land &amp; Sea Trust, Inc.  $4092</v>
      </c>
    </row>
    <row r="428" spans="1:12" ht="15.75" x14ac:dyDescent="0.25">
      <c r="A428" s="15">
        <v>426</v>
      </c>
      <c r="B428" s="15" t="s">
        <v>903</v>
      </c>
      <c r="C428" s="15" t="s">
        <v>904</v>
      </c>
      <c r="D428" s="15" t="s">
        <v>28</v>
      </c>
      <c r="E428" s="16">
        <v>25000</v>
      </c>
      <c r="F428" s="15">
        <v>86.143000000000001</v>
      </c>
      <c r="G428" s="16">
        <v>25000</v>
      </c>
      <c r="H428" s="11">
        <f>'First Calculations'!P427</f>
        <v>4092</v>
      </c>
      <c r="I428" s="12"/>
      <c r="J428" s="13">
        <f t="shared" si="12"/>
        <v>0.16367999999999999</v>
      </c>
      <c r="L428" t="str">
        <f t="shared" si="13"/>
        <v>20.c.ps.114.442  - 4Ward Miami, Inc.  $4092</v>
      </c>
    </row>
    <row r="429" spans="1:12" ht="15.75" x14ac:dyDescent="0.25">
      <c r="A429" s="15">
        <v>427</v>
      </c>
      <c r="B429" s="15" t="s">
        <v>905</v>
      </c>
      <c r="C429" s="15" t="s">
        <v>906</v>
      </c>
      <c r="D429" s="15" t="s">
        <v>39</v>
      </c>
      <c r="E429" s="16">
        <v>20500</v>
      </c>
      <c r="F429" s="15">
        <v>86</v>
      </c>
      <c r="G429" s="16">
        <v>20500</v>
      </c>
      <c r="H429" s="11">
        <f>'First Calculations'!P428</f>
        <v>3353</v>
      </c>
      <c r="I429" s="12"/>
      <c r="J429" s="13">
        <f t="shared" si="12"/>
        <v>0.1635609756097561</v>
      </c>
      <c r="L429" t="str">
        <f t="shared" si="13"/>
        <v>20.c.ps.170.649  - Boynton Cultural Centre, Inc.  $3353</v>
      </c>
    </row>
    <row r="430" spans="1:12" ht="15.75" x14ac:dyDescent="0.25">
      <c r="A430" s="15">
        <v>428</v>
      </c>
      <c r="B430" s="15" t="s">
        <v>907</v>
      </c>
      <c r="C430" s="15" t="s">
        <v>908</v>
      </c>
      <c r="D430" s="15" t="s">
        <v>909</v>
      </c>
      <c r="E430" s="16">
        <v>40000</v>
      </c>
      <c r="F430" s="15">
        <v>86</v>
      </c>
      <c r="G430" s="16">
        <v>40000</v>
      </c>
      <c r="H430" s="11">
        <f>'First Calculations'!P429</f>
        <v>6528</v>
      </c>
      <c r="I430" s="12"/>
      <c r="J430" s="13">
        <f t="shared" si="12"/>
        <v>0.16320000000000001</v>
      </c>
      <c r="L430" t="str">
        <f t="shared" si="13"/>
        <v>20.c.ps.141.440  - Orange Park Community Theatre, Inc.  $6528</v>
      </c>
    </row>
    <row r="431" spans="1:12" ht="15.75" x14ac:dyDescent="0.25">
      <c r="A431" s="15">
        <v>429</v>
      </c>
      <c r="B431" s="15" t="s">
        <v>910</v>
      </c>
      <c r="C431" s="15" t="s">
        <v>911</v>
      </c>
      <c r="D431" s="15" t="s">
        <v>115</v>
      </c>
      <c r="E431" s="16">
        <v>24400</v>
      </c>
      <c r="F431" s="15">
        <v>86</v>
      </c>
      <c r="G431" s="16">
        <v>24400</v>
      </c>
      <c r="H431" s="11">
        <f>'First Calculations'!P430</f>
        <v>3988</v>
      </c>
      <c r="I431" s="12"/>
      <c r="J431" s="13">
        <f t="shared" si="12"/>
        <v>0.16344262295081968</v>
      </c>
      <c r="L431" t="str">
        <f t="shared" si="13"/>
        <v>20.c.ps.180.197  - Springtime Tallahassee Festival, Inc.  $3988</v>
      </c>
    </row>
    <row r="432" spans="1:12" ht="15.75" x14ac:dyDescent="0.25">
      <c r="A432" s="15">
        <v>430</v>
      </c>
      <c r="B432" s="15" t="s">
        <v>912</v>
      </c>
      <c r="C432" s="15" t="s">
        <v>913</v>
      </c>
      <c r="D432" s="15" t="s">
        <v>715</v>
      </c>
      <c r="E432" s="16">
        <v>57137</v>
      </c>
      <c r="F432" s="15">
        <v>86</v>
      </c>
      <c r="G432" s="16">
        <v>57137</v>
      </c>
      <c r="H432" s="11">
        <f>'First Calculations'!P431</f>
        <v>9319</v>
      </c>
      <c r="I432" s="12"/>
      <c r="J432" s="13">
        <f t="shared" si="12"/>
        <v>0.16309921766981114</v>
      </c>
      <c r="L432" t="str">
        <f t="shared" si="13"/>
        <v>20.c.ps.114.516  - Martin Theatre, Inc.  $9319</v>
      </c>
    </row>
    <row r="433" spans="1:12" ht="15.75" x14ac:dyDescent="0.25">
      <c r="A433" s="15">
        <v>431</v>
      </c>
      <c r="B433" s="15" t="s">
        <v>914</v>
      </c>
      <c r="C433" s="15" t="s">
        <v>915</v>
      </c>
      <c r="D433" s="15" t="s">
        <v>39</v>
      </c>
      <c r="E433" s="16">
        <v>150000</v>
      </c>
      <c r="F433" s="15">
        <v>85.875</v>
      </c>
      <c r="G433" s="16">
        <v>150000</v>
      </c>
      <c r="H433" s="11">
        <f>'First Calculations'!P432</f>
        <v>24404</v>
      </c>
      <c r="I433" s="12"/>
      <c r="J433" s="13">
        <f t="shared" si="12"/>
        <v>0.16269333333333333</v>
      </c>
      <c r="L433" t="str">
        <f t="shared" si="13"/>
        <v>20.c.ps.102.522  - The Palm Beach Symphony Society, Inc.  $24404</v>
      </c>
    </row>
    <row r="434" spans="1:12" ht="15.75" x14ac:dyDescent="0.25">
      <c r="A434" s="15">
        <v>432</v>
      </c>
      <c r="B434" s="15" t="s">
        <v>916</v>
      </c>
      <c r="C434" s="15" t="s">
        <v>917</v>
      </c>
      <c r="D434" s="15" t="s">
        <v>28</v>
      </c>
      <c r="E434" s="16">
        <v>40000</v>
      </c>
      <c r="F434" s="15">
        <v>85.856999999999999</v>
      </c>
      <c r="G434" s="16">
        <v>40000</v>
      </c>
      <c r="H434" s="11">
        <f>'First Calculations'!P433</f>
        <v>6517</v>
      </c>
      <c r="I434" s="12"/>
      <c r="J434" s="13">
        <f t="shared" si="12"/>
        <v>0.16292499999999999</v>
      </c>
      <c r="L434" t="str">
        <f t="shared" si="13"/>
        <v>20.c.ps.114.055  - TL Tango Lovers Organization, Inc.  $6517</v>
      </c>
    </row>
    <row r="435" spans="1:12" ht="15.75" x14ac:dyDescent="0.25">
      <c r="A435" s="15">
        <v>433</v>
      </c>
      <c r="B435" s="15" t="s">
        <v>918</v>
      </c>
      <c r="C435" s="15" t="s">
        <v>919</v>
      </c>
      <c r="D435" s="15" t="s">
        <v>287</v>
      </c>
      <c r="E435" s="16">
        <v>24825</v>
      </c>
      <c r="F435" s="15">
        <v>85.713999999999999</v>
      </c>
      <c r="G435" s="16">
        <v>24825</v>
      </c>
      <c r="H435" s="11">
        <f>'First Calculations'!P434</f>
        <v>4044</v>
      </c>
      <c r="I435" s="12"/>
      <c r="J435" s="13">
        <f t="shared" si="12"/>
        <v>0.16290030211480364</v>
      </c>
      <c r="L435" t="str">
        <f t="shared" si="13"/>
        <v>20.c.ps.170.760  - Florida Keys History of Diving Museum, Inc.  $4044</v>
      </c>
    </row>
    <row r="436" spans="1:12" ht="15.75" x14ac:dyDescent="0.25">
      <c r="A436" s="15">
        <v>434</v>
      </c>
      <c r="B436" s="15" t="s">
        <v>920</v>
      </c>
      <c r="C436" s="15" t="s">
        <v>921</v>
      </c>
      <c r="D436" s="15" t="s">
        <v>87</v>
      </c>
      <c r="E436" s="16">
        <v>40967</v>
      </c>
      <c r="F436" s="15">
        <v>85.667000000000002</v>
      </c>
      <c r="G436" s="16">
        <v>40967</v>
      </c>
      <c r="H436" s="11">
        <f>'First Calculations'!P435</f>
        <v>6660</v>
      </c>
      <c r="I436" s="12"/>
      <c r="J436" s="13">
        <f t="shared" si="12"/>
        <v>0.16256987331266629</v>
      </c>
      <c r="L436" t="str">
        <f t="shared" si="13"/>
        <v>20.c.ps.600.060  - Florida Alliance for Arts Education, Inc.  $6660</v>
      </c>
    </row>
    <row r="437" spans="1:12" ht="15.75" x14ac:dyDescent="0.25">
      <c r="A437" s="15">
        <v>435</v>
      </c>
      <c r="B437" s="15" t="s">
        <v>922</v>
      </c>
      <c r="C437" s="15" t="s">
        <v>923</v>
      </c>
      <c r="D437" s="15" t="s">
        <v>28</v>
      </c>
      <c r="E437" s="16">
        <v>125000</v>
      </c>
      <c r="F437" s="15">
        <v>85.570999999999998</v>
      </c>
      <c r="G437" s="16">
        <v>125000</v>
      </c>
      <c r="H437" s="11">
        <f>'First Calculations'!P436</f>
        <v>20267</v>
      </c>
      <c r="I437" s="12"/>
      <c r="J437" s="13">
        <f t="shared" si="12"/>
        <v>0.162136</v>
      </c>
      <c r="L437" t="str">
        <f t="shared" si="13"/>
        <v>20.c.ps.114.187  - City of Homestead  $20267</v>
      </c>
    </row>
    <row r="438" spans="1:12" ht="15.75" x14ac:dyDescent="0.25">
      <c r="A438" s="15">
        <v>436</v>
      </c>
      <c r="B438" s="15" t="s">
        <v>924</v>
      </c>
      <c r="C438" s="15" t="s">
        <v>925</v>
      </c>
      <c r="D438" s="15" t="s">
        <v>28</v>
      </c>
      <c r="E438" s="16">
        <v>11500</v>
      </c>
      <c r="F438" s="15">
        <v>85.570999999999998</v>
      </c>
      <c r="G438" s="16">
        <v>11500</v>
      </c>
      <c r="H438" s="11">
        <f>'First Calculations'!P437</f>
        <v>1878</v>
      </c>
      <c r="I438" s="12"/>
      <c r="J438" s="13">
        <f t="shared" si="12"/>
        <v>0.16330434782608697</v>
      </c>
      <c r="L438" t="str">
        <f t="shared" si="13"/>
        <v>20.c.ps.114.053  - Academia de las Luminarias de las Bellas Artes, Inc.   $1878</v>
      </c>
    </row>
    <row r="439" spans="1:12" ht="15.75" x14ac:dyDescent="0.25">
      <c r="A439" s="15">
        <v>437</v>
      </c>
      <c r="B439" s="15" t="s">
        <v>926</v>
      </c>
      <c r="C439" s="15" t="s">
        <v>927</v>
      </c>
      <c r="D439" s="15" t="s">
        <v>172</v>
      </c>
      <c r="E439" s="16">
        <v>124725</v>
      </c>
      <c r="F439" s="15">
        <v>85.429000000000002</v>
      </c>
      <c r="G439" s="16">
        <v>124725</v>
      </c>
      <c r="H439" s="11">
        <f>'First Calculations'!P438</f>
        <v>20189</v>
      </c>
      <c r="I439" s="12"/>
      <c r="J439" s="13">
        <f t="shared" si="12"/>
        <v>0.16186810984165165</v>
      </c>
      <c r="L439" t="str">
        <f t="shared" si="13"/>
        <v>20.c.ps.170.261  - McKee Botanical Garden, Inc.  $20189</v>
      </c>
    </row>
    <row r="440" spans="1:12" ht="15.75" x14ac:dyDescent="0.25">
      <c r="A440" s="15">
        <v>438</v>
      </c>
      <c r="B440" s="15" t="s">
        <v>928</v>
      </c>
      <c r="C440" s="15" t="s">
        <v>929</v>
      </c>
      <c r="D440" s="15" t="s">
        <v>95</v>
      </c>
      <c r="E440" s="16">
        <v>15825</v>
      </c>
      <c r="F440" s="15">
        <v>85.429000000000002</v>
      </c>
      <c r="G440" s="16">
        <v>15825</v>
      </c>
      <c r="H440" s="11">
        <f>'First Calculations'!P439</f>
        <v>2575</v>
      </c>
      <c r="I440" s="12"/>
      <c r="J440" s="13">
        <f t="shared" si="12"/>
        <v>0.1627172195892575</v>
      </c>
      <c r="L440" t="str">
        <f t="shared" si="13"/>
        <v>20.c.ps.114.202  - Arts Alive Nassau, Inc.  $2575</v>
      </c>
    </row>
    <row r="441" spans="1:12" ht="15.75" x14ac:dyDescent="0.25">
      <c r="A441" s="15">
        <v>439</v>
      </c>
      <c r="B441" s="15" t="s">
        <v>930</v>
      </c>
      <c r="C441" s="15" t="s">
        <v>931</v>
      </c>
      <c r="D441" s="15" t="s">
        <v>73</v>
      </c>
      <c r="E441" s="16">
        <v>40000</v>
      </c>
      <c r="F441" s="15">
        <v>85.429000000000002</v>
      </c>
      <c r="G441" s="16">
        <v>40000</v>
      </c>
      <c r="H441" s="11">
        <f>'First Calculations'!P440</f>
        <v>6485</v>
      </c>
      <c r="I441" s="12"/>
      <c r="J441" s="13">
        <f t="shared" si="12"/>
        <v>0.16212499999999999</v>
      </c>
      <c r="L441" t="str">
        <f t="shared" si="13"/>
        <v>20.c.ps.114.102  - Deland Fall Festival of the Arts, Inc.  $6485</v>
      </c>
    </row>
    <row r="442" spans="1:12" ht="15.75" x14ac:dyDescent="0.25">
      <c r="A442" s="15">
        <v>440</v>
      </c>
      <c r="B442" s="15" t="s">
        <v>932</v>
      </c>
      <c r="C442" s="15" t="s">
        <v>933</v>
      </c>
      <c r="D442" s="15" t="s">
        <v>95</v>
      </c>
      <c r="E442" s="16">
        <v>20711</v>
      </c>
      <c r="F442" s="15">
        <v>85.332999999999998</v>
      </c>
      <c r="G442" s="16">
        <v>20711</v>
      </c>
      <c r="H442" s="11">
        <f>'First Calculations'!P441</f>
        <v>3361</v>
      </c>
      <c r="I442" s="12"/>
      <c r="J442" s="13">
        <f t="shared" si="12"/>
        <v>0.1622809135242142</v>
      </c>
      <c r="L442" t="str">
        <f t="shared" si="13"/>
        <v>20.c.ps.180.450  - Les Demerle Amelia Island Jazz Festival, Inc  $3361</v>
      </c>
    </row>
    <row r="443" spans="1:12" ht="15.75" x14ac:dyDescent="0.25">
      <c r="A443" s="15">
        <v>441</v>
      </c>
      <c r="B443" s="15" t="s">
        <v>934</v>
      </c>
      <c r="C443" s="15" t="s">
        <v>935</v>
      </c>
      <c r="D443" s="15" t="s">
        <v>39</v>
      </c>
      <c r="E443" s="16">
        <v>150000</v>
      </c>
      <c r="F443" s="15">
        <v>85.286000000000001</v>
      </c>
      <c r="G443" s="16">
        <v>150000</v>
      </c>
      <c r="H443" s="11">
        <f>'First Calculations'!P442</f>
        <v>24237</v>
      </c>
      <c r="I443" s="12"/>
      <c r="J443" s="13">
        <f t="shared" si="12"/>
        <v>0.16158</v>
      </c>
      <c r="L443" t="str">
        <f t="shared" si="13"/>
        <v>20.c.ps.114.159  - Village of Wellington  $24237</v>
      </c>
    </row>
    <row r="444" spans="1:12" ht="25.5" x14ac:dyDescent="0.25">
      <c r="A444" s="15">
        <v>442</v>
      </c>
      <c r="B444" s="15" t="s">
        <v>936</v>
      </c>
      <c r="C444" s="15" t="s">
        <v>937</v>
      </c>
      <c r="D444" s="15" t="s">
        <v>57</v>
      </c>
      <c r="E444" s="16">
        <v>85000</v>
      </c>
      <c r="F444" s="15">
        <v>85.286000000000001</v>
      </c>
      <c r="G444" s="16">
        <v>85000</v>
      </c>
      <c r="H444" s="11">
        <f>'First Calculations'!P443</f>
        <v>13740</v>
      </c>
      <c r="I444" s="12"/>
      <c r="J444" s="13">
        <f t="shared" si="12"/>
        <v>0.16164705882352942</v>
      </c>
      <c r="L444" t="str">
        <f t="shared" si="13"/>
        <v>20.c.ps.114.371  - Friends of Carrollwood Cultural Center, Inc.  $13740</v>
      </c>
    </row>
    <row r="445" spans="1:12" ht="15.75" x14ac:dyDescent="0.25">
      <c r="A445" s="15">
        <v>443</v>
      </c>
      <c r="B445" s="15" t="s">
        <v>938</v>
      </c>
      <c r="C445" s="15" t="s">
        <v>939</v>
      </c>
      <c r="D445" s="15" t="s">
        <v>90</v>
      </c>
      <c r="E445" s="16">
        <v>64600</v>
      </c>
      <c r="F445" s="15">
        <v>85.143000000000001</v>
      </c>
      <c r="G445" s="16">
        <v>64600</v>
      </c>
      <c r="H445" s="11">
        <f>'First Calculations'!P444</f>
        <v>10429</v>
      </c>
      <c r="I445" s="12"/>
      <c r="J445" s="13">
        <f t="shared" si="12"/>
        <v>0.16143962848297214</v>
      </c>
      <c r="L445" t="str">
        <f t="shared" si="13"/>
        <v>20.c.ps.170.448  - Valiant Air Command, Inc.  $10429</v>
      </c>
    </row>
    <row r="446" spans="1:12" ht="15.75" x14ac:dyDescent="0.25">
      <c r="A446" s="15">
        <v>444</v>
      </c>
      <c r="B446" s="15" t="s">
        <v>940</v>
      </c>
      <c r="C446" s="15" t="s">
        <v>941</v>
      </c>
      <c r="D446" s="15" t="s">
        <v>593</v>
      </c>
      <c r="E446" s="16">
        <v>120000</v>
      </c>
      <c r="F446" s="15">
        <v>84.832999999999998</v>
      </c>
      <c r="G446" s="16">
        <v>120000</v>
      </c>
      <c r="H446" s="11">
        <f>'First Calculations'!P445</f>
        <v>19289</v>
      </c>
      <c r="I446" s="12"/>
      <c r="J446" s="13">
        <f t="shared" si="12"/>
        <v>0.16074166666666667</v>
      </c>
      <c r="L446" t="str">
        <f t="shared" si="13"/>
        <v>20.c.ps.500.318  - St. Johns County Cultural Council, Inc.  $19289</v>
      </c>
    </row>
    <row r="447" spans="1:12" ht="15.75" x14ac:dyDescent="0.25">
      <c r="A447" s="15">
        <v>445</v>
      </c>
      <c r="B447" s="15" t="s">
        <v>942</v>
      </c>
      <c r="C447" s="15" t="s">
        <v>943</v>
      </c>
      <c r="D447" s="15" t="s">
        <v>67</v>
      </c>
      <c r="E447" s="16">
        <v>23550</v>
      </c>
      <c r="F447" s="15">
        <v>84.8</v>
      </c>
      <c r="G447" s="16">
        <v>23550</v>
      </c>
      <c r="H447" s="11">
        <f>'First Calculations'!P446</f>
        <v>3796</v>
      </c>
      <c r="I447" s="12"/>
      <c r="J447" s="13">
        <f t="shared" si="12"/>
        <v>0.16118895966029723</v>
      </c>
      <c r="L447" t="str">
        <f t="shared" si="13"/>
        <v>20.c.ps.105.568  - Gainesville Fine Arts Association, Inc.  $3796</v>
      </c>
    </row>
    <row r="448" spans="1:12" ht="15.75" x14ac:dyDescent="0.25">
      <c r="A448" s="15">
        <v>446</v>
      </c>
      <c r="B448" s="15" t="s">
        <v>944</v>
      </c>
      <c r="C448" s="15" t="s">
        <v>945</v>
      </c>
      <c r="D448" s="15" t="s">
        <v>704</v>
      </c>
      <c r="E448" s="16">
        <v>14500</v>
      </c>
      <c r="F448" s="15">
        <v>84.6</v>
      </c>
      <c r="G448" s="16">
        <v>14500</v>
      </c>
      <c r="H448" s="11">
        <f>'First Calculations'!P447</f>
        <v>2338</v>
      </c>
      <c r="I448" s="12"/>
      <c r="J448" s="13">
        <f t="shared" si="12"/>
        <v>0.16124137931034482</v>
      </c>
      <c r="L448" t="str">
        <f t="shared" si="13"/>
        <v>20.c.ps.102.296  - Treasure Coast Community Singers, Inc.  $2338</v>
      </c>
    </row>
    <row r="449" spans="1:12" ht="15.75" x14ac:dyDescent="0.25">
      <c r="A449" s="15">
        <v>447</v>
      </c>
      <c r="B449" s="15" t="s">
        <v>946</v>
      </c>
      <c r="C449" s="15" t="s">
        <v>947</v>
      </c>
      <c r="D449" s="15" t="s">
        <v>28</v>
      </c>
      <c r="E449" s="16">
        <v>10000</v>
      </c>
      <c r="F449" s="15">
        <v>84.5</v>
      </c>
      <c r="G449" s="16">
        <v>10000</v>
      </c>
      <c r="H449" s="11">
        <f>'First Calculations'!P448</f>
        <v>1615</v>
      </c>
      <c r="I449" s="12"/>
      <c r="J449" s="13">
        <f t="shared" si="12"/>
        <v>0.1615</v>
      </c>
      <c r="L449" t="str">
        <f t="shared" si="13"/>
        <v>20.c.ps.170.772  - Haitian Heritage Museum Corp.  $1615</v>
      </c>
    </row>
    <row r="450" spans="1:12" ht="15.75" x14ac:dyDescent="0.25">
      <c r="A450" s="15">
        <v>448</v>
      </c>
      <c r="B450" s="15" t="s">
        <v>948</v>
      </c>
      <c r="C450" s="15" t="s">
        <v>949</v>
      </c>
      <c r="D450" s="15" t="s">
        <v>64</v>
      </c>
      <c r="E450" s="16">
        <v>90000</v>
      </c>
      <c r="F450" s="15">
        <v>84.5</v>
      </c>
      <c r="G450" s="16">
        <v>90000</v>
      </c>
      <c r="H450" s="11">
        <f>'First Calculations'!P449</f>
        <v>14414</v>
      </c>
      <c r="I450" s="12"/>
      <c r="J450" s="13">
        <f t="shared" si="12"/>
        <v>0.16015555555555555</v>
      </c>
      <c r="L450" t="str">
        <f t="shared" si="13"/>
        <v>20.c.ps.500.266  - United Arts Council of Collier County, Inc.  $14414</v>
      </c>
    </row>
    <row r="451" spans="1:12" ht="15.75" x14ac:dyDescent="0.25">
      <c r="A451" s="15">
        <v>449</v>
      </c>
      <c r="B451" s="15" t="s">
        <v>950</v>
      </c>
      <c r="C451" s="15" t="s">
        <v>951</v>
      </c>
      <c r="D451" s="15" t="s">
        <v>28</v>
      </c>
      <c r="E451" s="16">
        <v>5500</v>
      </c>
      <c r="F451" s="15">
        <v>84.429000000000002</v>
      </c>
      <c r="G451" s="16">
        <v>5500</v>
      </c>
      <c r="H451" s="11">
        <f>'First Calculations'!P450</f>
        <v>1000</v>
      </c>
      <c r="I451" s="12"/>
      <c r="J451" s="13">
        <f t="shared" ref="J451:J491" si="14">H451/E451</f>
        <v>0.18181818181818182</v>
      </c>
      <c r="L451" t="str">
        <f t="shared" si="13"/>
        <v>20.c.ps.114.560  - Algo Nuevo, Incorporated  $1000</v>
      </c>
    </row>
    <row r="452" spans="1:12" ht="15.75" x14ac:dyDescent="0.25">
      <c r="A452" s="15">
        <v>450</v>
      </c>
      <c r="B452" s="15" t="s">
        <v>952</v>
      </c>
      <c r="C452" s="15" t="s">
        <v>953</v>
      </c>
      <c r="D452" s="15" t="s">
        <v>33</v>
      </c>
      <c r="E452" s="16">
        <v>7374</v>
      </c>
      <c r="F452" s="15">
        <v>84.4</v>
      </c>
      <c r="G452" s="16">
        <v>7374</v>
      </c>
      <c r="H452" s="11">
        <f>'First Calculations'!P451</f>
        <v>1193</v>
      </c>
      <c r="I452" s="12"/>
      <c r="J452" s="13">
        <f t="shared" si="14"/>
        <v>0.16178464876593437</v>
      </c>
      <c r="L452" t="str">
        <f t="shared" ref="L452:L490" si="15">B452&amp;" - "&amp;C452&amp;" $"&amp;H452</f>
        <v>20.c.ps.102.578  - ensemblenewSRQ  $1193</v>
      </c>
    </row>
    <row r="453" spans="1:12" ht="15.75" x14ac:dyDescent="0.25">
      <c r="A453" s="15">
        <v>451</v>
      </c>
      <c r="B453" s="15" t="s">
        <v>954</v>
      </c>
      <c r="C453" s="15" t="s">
        <v>955</v>
      </c>
      <c r="D453" s="15" t="s">
        <v>33</v>
      </c>
      <c r="E453" s="16">
        <v>50000</v>
      </c>
      <c r="F453" s="15">
        <v>84.375</v>
      </c>
      <c r="G453" s="16">
        <v>50000</v>
      </c>
      <c r="H453" s="11">
        <f>'First Calculations'!P452</f>
        <v>8003</v>
      </c>
      <c r="I453" s="12"/>
      <c r="J453" s="13">
        <f t="shared" si="14"/>
        <v>0.16006000000000001</v>
      </c>
      <c r="L453" t="str">
        <f t="shared" si="15"/>
        <v>20.c.ps.102.583  - The Venice Symphony, Inc  $8003</v>
      </c>
    </row>
    <row r="454" spans="1:12" ht="15.75" x14ac:dyDescent="0.25">
      <c r="A454" s="15">
        <v>452</v>
      </c>
      <c r="B454" s="15" t="s">
        <v>956</v>
      </c>
      <c r="C454" s="15" t="s">
        <v>957</v>
      </c>
      <c r="D454" s="15" t="s">
        <v>36</v>
      </c>
      <c r="E454" s="16">
        <v>8000</v>
      </c>
      <c r="F454" s="15">
        <v>84.286000000000001</v>
      </c>
      <c r="G454" s="16">
        <v>8000</v>
      </c>
      <c r="H454" s="11">
        <f>'First Calculations'!P453</f>
        <v>1292</v>
      </c>
      <c r="I454" s="12"/>
      <c r="J454" s="13">
        <f t="shared" si="14"/>
        <v>0.1615</v>
      </c>
      <c r="L454" t="str">
        <f t="shared" si="15"/>
        <v>20.c.ps.141.408  - SAMUEL M. AND HELENE SOREF, JEWISH COMMUNITY CENTER, INC.  $1292</v>
      </c>
    </row>
    <row r="455" spans="1:12" ht="15.75" x14ac:dyDescent="0.25">
      <c r="A455" s="15">
        <v>453</v>
      </c>
      <c r="B455" s="15" t="s">
        <v>958</v>
      </c>
      <c r="C455" s="15" t="s">
        <v>959</v>
      </c>
      <c r="D455" s="15" t="s">
        <v>33</v>
      </c>
      <c r="E455" s="16">
        <v>9500</v>
      </c>
      <c r="F455" s="15">
        <v>84</v>
      </c>
      <c r="G455" s="16">
        <v>9500</v>
      </c>
      <c r="H455" s="11">
        <f>'First Calculations'!P454</f>
        <v>1526</v>
      </c>
      <c r="I455" s="12"/>
      <c r="J455" s="13">
        <f t="shared" si="14"/>
        <v>0.16063157894736843</v>
      </c>
      <c r="L455" t="str">
        <f t="shared" si="15"/>
        <v>20.c.ps.102.604  - Venice Chorale, Inc  $1526</v>
      </c>
    </row>
    <row r="456" spans="1:12" ht="15.75" x14ac:dyDescent="0.25">
      <c r="A456" s="15">
        <v>454</v>
      </c>
      <c r="B456" s="15" t="s">
        <v>960</v>
      </c>
      <c r="C456" s="15" t="s">
        <v>961</v>
      </c>
      <c r="D456" s="15" t="s">
        <v>36</v>
      </c>
      <c r="E456" s="16">
        <v>25698</v>
      </c>
      <c r="F456" s="15">
        <v>84</v>
      </c>
      <c r="G456" s="16">
        <v>25698</v>
      </c>
      <c r="H456" s="11">
        <f>'First Calculations'!P455</f>
        <v>4102</v>
      </c>
      <c r="I456" s="12"/>
      <c r="J456" s="13">
        <f t="shared" si="14"/>
        <v>0.15962331698964899</v>
      </c>
      <c r="L456" t="str">
        <f t="shared" si="15"/>
        <v>20.c.ps.170.678  - Deerfield Beach Historical Society Inc  $4102</v>
      </c>
    </row>
    <row r="457" spans="1:12" ht="15.75" x14ac:dyDescent="0.25">
      <c r="A457" s="15">
        <v>455</v>
      </c>
      <c r="B457" s="15" t="s">
        <v>962</v>
      </c>
      <c r="C457" s="15" t="s">
        <v>963</v>
      </c>
      <c r="D457" s="15" t="s">
        <v>28</v>
      </c>
      <c r="E457" s="16">
        <v>40000</v>
      </c>
      <c r="F457" s="15">
        <v>84</v>
      </c>
      <c r="G457" s="16">
        <v>40000</v>
      </c>
      <c r="H457" s="11">
        <f>'First Calculations'!P456</f>
        <v>6377</v>
      </c>
      <c r="I457" s="12"/>
      <c r="J457" s="13">
        <f t="shared" si="14"/>
        <v>0.15942500000000001</v>
      </c>
      <c r="L457" t="str">
        <f t="shared" si="15"/>
        <v>20.c.ps.101.304  - Miami Dance Project, Inc.  $6377</v>
      </c>
    </row>
    <row r="458" spans="1:12" ht="15.75" x14ac:dyDescent="0.25">
      <c r="A458" s="15">
        <v>456</v>
      </c>
      <c r="B458" s="15" t="s">
        <v>964</v>
      </c>
      <c r="C458" s="15" t="s">
        <v>965</v>
      </c>
      <c r="D458" s="15" t="s">
        <v>28</v>
      </c>
      <c r="E458" s="16">
        <v>124170</v>
      </c>
      <c r="F458" s="15">
        <v>83.832999999999998</v>
      </c>
      <c r="G458" s="16">
        <v>124170</v>
      </c>
      <c r="H458" s="11">
        <f>'First Calculations'!P457</f>
        <v>19724</v>
      </c>
      <c r="I458" s="12"/>
      <c r="J458" s="13">
        <f t="shared" si="14"/>
        <v>0.15884674236933236</v>
      </c>
      <c r="L458" t="str">
        <f t="shared" si="15"/>
        <v>20.c.ps.170.223  - Coral Gables Museum, Corp.  $19724</v>
      </c>
    </row>
    <row r="459" spans="1:12" ht="15.75" x14ac:dyDescent="0.25">
      <c r="A459" s="15">
        <v>457</v>
      </c>
      <c r="B459" s="15" t="s">
        <v>966</v>
      </c>
      <c r="C459" s="15" t="s">
        <v>967</v>
      </c>
      <c r="D459" s="15" t="s">
        <v>36</v>
      </c>
      <c r="E459" s="16">
        <v>120000</v>
      </c>
      <c r="F459" s="15">
        <v>83.713999999999999</v>
      </c>
      <c r="G459" s="16">
        <v>120000</v>
      </c>
      <c r="H459" s="11">
        <f>'First Calculations'!P458</f>
        <v>19035</v>
      </c>
      <c r="I459" s="12"/>
      <c r="J459" s="13">
        <f t="shared" si="14"/>
        <v>0.15862499999999999</v>
      </c>
      <c r="L459" t="str">
        <f t="shared" si="15"/>
        <v>20.c.ps.114.658  - City of Oakland Park  $19035</v>
      </c>
    </row>
    <row r="460" spans="1:12" ht="15.75" x14ac:dyDescent="0.25">
      <c r="A460" s="15">
        <v>458</v>
      </c>
      <c r="B460" s="15" t="s">
        <v>968</v>
      </c>
      <c r="C460" s="15" t="s">
        <v>969</v>
      </c>
      <c r="D460" s="15" t="s">
        <v>28</v>
      </c>
      <c r="E460" s="16">
        <v>39000</v>
      </c>
      <c r="F460" s="15">
        <v>83.713999999999999</v>
      </c>
      <c r="G460" s="16">
        <v>39000</v>
      </c>
      <c r="H460" s="11">
        <f>'First Calculations'!P459</f>
        <v>6196</v>
      </c>
      <c r="I460" s="12"/>
      <c r="J460" s="13">
        <f t="shared" si="14"/>
        <v>0.15887179487179487</v>
      </c>
      <c r="L460" t="str">
        <f t="shared" si="15"/>
        <v>20.c.ps.114.253  - Creation Art Center Corporation  $6196</v>
      </c>
    </row>
    <row r="461" spans="1:12" ht="15.75" x14ac:dyDescent="0.25">
      <c r="A461" s="15">
        <v>459</v>
      </c>
      <c r="B461" s="15" t="s">
        <v>970</v>
      </c>
      <c r="C461" s="15" t="s">
        <v>971</v>
      </c>
      <c r="D461" s="15" t="s">
        <v>593</v>
      </c>
      <c r="E461" s="16">
        <v>14929</v>
      </c>
      <c r="F461" s="15">
        <v>83.6</v>
      </c>
      <c r="G461" s="16">
        <v>14929</v>
      </c>
      <c r="H461" s="11">
        <f>'First Calculations'!P460</f>
        <v>2378</v>
      </c>
      <c r="I461" s="12"/>
      <c r="J461" s="13">
        <f t="shared" si="14"/>
        <v>0.15928729318775536</v>
      </c>
      <c r="L461" t="str">
        <f t="shared" si="15"/>
        <v>20.c.ps.102.730  - Florida Chamber Music Project, Inc.  $2378</v>
      </c>
    </row>
    <row r="462" spans="1:12" ht="15.75" x14ac:dyDescent="0.25">
      <c r="A462" s="15">
        <v>460</v>
      </c>
      <c r="B462" s="15" t="s">
        <v>972</v>
      </c>
      <c r="C462" s="15" t="s">
        <v>973</v>
      </c>
      <c r="D462" s="15" t="s">
        <v>28</v>
      </c>
      <c r="E462" s="16">
        <v>35000</v>
      </c>
      <c r="F462" s="15">
        <v>83.570999999999998</v>
      </c>
      <c r="G462" s="16">
        <v>35000</v>
      </c>
      <c r="H462" s="11">
        <f>'First Calculations'!P461</f>
        <v>5553</v>
      </c>
      <c r="I462" s="12"/>
      <c r="J462" s="13">
        <f t="shared" si="14"/>
        <v>0.15865714285714286</v>
      </c>
      <c r="L462" t="str">
        <f t="shared" si="15"/>
        <v>20.c.ps.101.183  - Cuban Classical Ballet of Miami, Inc.  $5553</v>
      </c>
    </row>
    <row r="463" spans="1:12" ht="15.75" x14ac:dyDescent="0.25">
      <c r="A463" s="15">
        <v>461</v>
      </c>
      <c r="B463" s="15" t="s">
        <v>974</v>
      </c>
      <c r="C463" s="15" t="s">
        <v>975</v>
      </c>
      <c r="D463" s="15" t="s">
        <v>28</v>
      </c>
      <c r="E463" s="16">
        <v>95451</v>
      </c>
      <c r="F463" s="15">
        <v>83.5</v>
      </c>
      <c r="G463" s="16">
        <v>95451</v>
      </c>
      <c r="H463" s="11">
        <f>'First Calculations'!P462</f>
        <v>15105</v>
      </c>
      <c r="I463" s="12"/>
      <c r="J463" s="13">
        <f t="shared" si="14"/>
        <v>0.15824873495301253</v>
      </c>
      <c r="L463" t="str">
        <f t="shared" si="15"/>
        <v>20.c.ps.170.221  - Florida International University Foundation, Inc.  $15105</v>
      </c>
    </row>
    <row r="464" spans="1:12" ht="15.75" x14ac:dyDescent="0.25">
      <c r="A464" s="15">
        <v>462</v>
      </c>
      <c r="B464" s="15" t="s">
        <v>976</v>
      </c>
      <c r="C464" s="15" t="s">
        <v>977</v>
      </c>
      <c r="D464" s="15" t="s">
        <v>39</v>
      </c>
      <c r="E464" s="16">
        <v>12900</v>
      </c>
      <c r="F464" s="15">
        <v>83.2</v>
      </c>
      <c r="G464" s="16">
        <v>12900</v>
      </c>
      <c r="H464" s="11">
        <f>'First Calculations'!P463</f>
        <v>2047</v>
      </c>
      <c r="I464" s="12"/>
      <c r="J464" s="13">
        <f t="shared" si="14"/>
        <v>0.15868217054263567</v>
      </c>
      <c r="L464" t="str">
        <f t="shared" si="15"/>
        <v>20.c.ps.102.389  - Delray Beach Chorale, Inc.  $2047</v>
      </c>
    </row>
    <row r="465" spans="1:18" ht="15.75" x14ac:dyDescent="0.25">
      <c r="A465" s="15">
        <v>463</v>
      </c>
      <c r="B465" s="15" t="s">
        <v>978</v>
      </c>
      <c r="C465" s="15" t="s">
        <v>979</v>
      </c>
      <c r="D465" s="15" t="s">
        <v>39</v>
      </c>
      <c r="E465" s="16">
        <v>150000</v>
      </c>
      <c r="F465" s="15">
        <v>83.143000000000001</v>
      </c>
      <c r="G465" s="16">
        <v>150000</v>
      </c>
      <c r="H465" s="11">
        <f>'First Calculations'!P464</f>
        <v>23628</v>
      </c>
      <c r="I465" s="12"/>
      <c r="J465" s="13">
        <f t="shared" si="14"/>
        <v>0.15751999999999999</v>
      </c>
      <c r="L465" t="str">
        <f t="shared" si="15"/>
        <v>20.c.ps.114.587  - Village of Royal Palm Beach  $23628</v>
      </c>
    </row>
    <row r="466" spans="1:18" ht="15.75" x14ac:dyDescent="0.25">
      <c r="A466" s="15">
        <v>464</v>
      </c>
      <c r="B466" s="15" t="s">
        <v>980</v>
      </c>
      <c r="C466" s="15" t="s">
        <v>981</v>
      </c>
      <c r="D466" s="15" t="s">
        <v>28</v>
      </c>
      <c r="E466" s="16">
        <v>4600</v>
      </c>
      <c r="F466" s="15">
        <v>83</v>
      </c>
      <c r="G466" s="16">
        <v>4600</v>
      </c>
      <c r="H466" s="11">
        <f>'First Calculations'!P465</f>
        <v>1000</v>
      </c>
      <c r="I466" s="12"/>
      <c r="J466" s="13">
        <f t="shared" si="14"/>
        <v>0.21739130434782608</v>
      </c>
      <c r="L466" t="str">
        <f t="shared" si="15"/>
        <v>20.c.ps.141.540  - Artmonia Inc.  $1000</v>
      </c>
    </row>
    <row r="467" spans="1:18" ht="15.75" x14ac:dyDescent="0.25">
      <c r="A467" s="15">
        <v>465</v>
      </c>
      <c r="B467" s="15" t="s">
        <v>982</v>
      </c>
      <c r="C467" s="15" t="s">
        <v>983</v>
      </c>
      <c r="D467" s="15" t="s">
        <v>704</v>
      </c>
      <c r="E467" s="16">
        <v>108779</v>
      </c>
      <c r="F467" s="15">
        <v>82.856999999999999</v>
      </c>
      <c r="G467" s="16">
        <v>108779</v>
      </c>
      <c r="H467" s="11">
        <f>'First Calculations'!P466</f>
        <v>17080</v>
      </c>
      <c r="I467" s="12"/>
      <c r="J467" s="13">
        <f t="shared" si="14"/>
        <v>0.15701560043758447</v>
      </c>
      <c r="L467" t="str">
        <f t="shared" si="15"/>
        <v>20.c.ps.170.300  - Historical Society of Martin County, Inc.    $17080</v>
      </c>
    </row>
    <row r="468" spans="1:18" ht="15.75" x14ac:dyDescent="0.25">
      <c r="A468" s="15">
        <v>466</v>
      </c>
      <c r="B468" s="15" t="s">
        <v>984</v>
      </c>
      <c r="C468" s="15" t="s">
        <v>985</v>
      </c>
      <c r="D468" s="15" t="s">
        <v>593</v>
      </c>
      <c r="E468" s="16">
        <v>5000</v>
      </c>
      <c r="F468" s="15">
        <v>82.713999999999999</v>
      </c>
      <c r="G468" s="16">
        <v>5000</v>
      </c>
      <c r="H468" s="11">
        <f>'First Calculations'!P467</f>
        <v>1000</v>
      </c>
      <c r="I468" s="12"/>
      <c r="J468" s="13">
        <f t="shared" si="14"/>
        <v>0.2</v>
      </c>
      <c r="L468" t="str">
        <f t="shared" si="15"/>
        <v>20.c.ps.101.220  - S &amp; L Dance Corporation (DBA The Perla Ballet School)  $1000</v>
      </c>
    </row>
    <row r="469" spans="1:18" ht="15.75" x14ac:dyDescent="0.25">
      <c r="A469" s="15">
        <v>467</v>
      </c>
      <c r="B469" s="15" t="s">
        <v>986</v>
      </c>
      <c r="C469" s="15" t="s">
        <v>987</v>
      </c>
      <c r="D469" s="15" t="s">
        <v>39</v>
      </c>
      <c r="E469" s="16">
        <v>25000</v>
      </c>
      <c r="F469" s="15">
        <v>82.713999999999999</v>
      </c>
      <c r="G469" s="16">
        <v>25000</v>
      </c>
      <c r="H469" s="11">
        <f>'First Calculations'!P468</f>
        <v>3930</v>
      </c>
      <c r="I469" s="12"/>
      <c r="J469" s="13">
        <f t="shared" si="14"/>
        <v>0.15720000000000001</v>
      </c>
      <c r="L469" t="str">
        <f t="shared" si="15"/>
        <v>20.c.ps.114.586  - City of Riviera Beach  $3930</v>
      </c>
    </row>
    <row r="470" spans="1:18" ht="15.75" x14ac:dyDescent="0.25">
      <c r="A470" s="15">
        <v>468</v>
      </c>
      <c r="B470" s="15" t="s">
        <v>988</v>
      </c>
      <c r="C470" s="15" t="s">
        <v>989</v>
      </c>
      <c r="D470" s="15" t="s">
        <v>80</v>
      </c>
      <c r="E470" s="16">
        <v>100850</v>
      </c>
      <c r="F470" s="15">
        <v>82.332999999999998</v>
      </c>
      <c r="G470" s="16">
        <v>100850</v>
      </c>
      <c r="H470" s="11">
        <f>'First Calculations'!P469</f>
        <v>15736</v>
      </c>
      <c r="I470" s="12"/>
      <c r="J470" s="13">
        <f t="shared" si="14"/>
        <v>0.15603371343579572</v>
      </c>
      <c r="L470" t="str">
        <f t="shared" si="15"/>
        <v>20.c.ps.180.353  - Jewish Federation of Pinellas &amp; Pasco Counties, FL, Inc.  $15736</v>
      </c>
    </row>
    <row r="471" spans="1:18" ht="25.5" x14ac:dyDescent="0.25">
      <c r="A471" s="15">
        <v>469</v>
      </c>
      <c r="B471" s="15" t="s">
        <v>990</v>
      </c>
      <c r="C471" s="15" t="s">
        <v>991</v>
      </c>
      <c r="D471" s="15" t="s">
        <v>57</v>
      </c>
      <c r="E471" s="16">
        <v>81600</v>
      </c>
      <c r="F471" s="15">
        <v>82.25</v>
      </c>
      <c r="G471" s="16">
        <v>81600</v>
      </c>
      <c r="H471" s="11">
        <f>'First Calculations'!P470</f>
        <v>12722</v>
      </c>
      <c r="I471" s="12"/>
      <c r="J471" s="13">
        <f t="shared" si="14"/>
        <v>0.15590686274509805</v>
      </c>
      <c r="L471" t="str">
        <f t="shared" si="15"/>
        <v>20.c.ps.109.633  - Tampa Educational Cable Consortium, Inc.  $12722</v>
      </c>
    </row>
    <row r="472" spans="1:18" ht="15.75" x14ac:dyDescent="0.25">
      <c r="A472" s="15">
        <v>470</v>
      </c>
      <c r="B472" s="15" t="s">
        <v>992</v>
      </c>
      <c r="C472" s="15" t="s">
        <v>993</v>
      </c>
      <c r="D472" s="15" t="s">
        <v>28</v>
      </c>
      <c r="E472" s="16">
        <v>12279</v>
      </c>
      <c r="F472" s="15">
        <v>82.2</v>
      </c>
      <c r="G472" s="16">
        <v>12279</v>
      </c>
      <c r="H472" s="11">
        <f>'First Calculations'!P471</f>
        <v>1926</v>
      </c>
      <c r="I472" s="12"/>
      <c r="J472" s="13">
        <f t="shared" si="14"/>
        <v>0.15685316393843146</v>
      </c>
      <c r="L472" t="str">
        <f t="shared" si="15"/>
        <v>20.c.ps.102.620  - Community Arts and Culture, Inc.  $1926</v>
      </c>
    </row>
    <row r="473" spans="1:18" ht="15.75" x14ac:dyDescent="0.25">
      <c r="A473" s="15">
        <v>471</v>
      </c>
      <c r="B473" s="15" t="s">
        <v>994</v>
      </c>
      <c r="C473" s="15" t="s">
        <v>995</v>
      </c>
      <c r="D473" s="15" t="s">
        <v>800</v>
      </c>
      <c r="E473" s="16">
        <v>118500</v>
      </c>
      <c r="F473" s="15">
        <v>82</v>
      </c>
      <c r="G473" s="16">
        <v>118500</v>
      </c>
      <c r="H473" s="11">
        <f>'First Calculations'!P472</f>
        <v>18413</v>
      </c>
      <c r="I473" s="12"/>
      <c r="J473" s="13">
        <f t="shared" si="14"/>
        <v>0.15538396624472575</v>
      </c>
      <c r="L473" t="str">
        <f t="shared" si="15"/>
        <v>20.c.ps.500.172  - Osceola Arts, Inc.  $18413</v>
      </c>
    </row>
    <row r="474" spans="1:18" ht="15.75" x14ac:dyDescent="0.25">
      <c r="A474" s="15">
        <v>472</v>
      </c>
      <c r="B474" s="15" t="s">
        <v>996</v>
      </c>
      <c r="C474" s="15" t="s">
        <v>997</v>
      </c>
      <c r="D474" s="15" t="s">
        <v>998</v>
      </c>
      <c r="E474" s="16">
        <v>19150</v>
      </c>
      <c r="F474" s="15">
        <v>81.832999999999998</v>
      </c>
      <c r="G474" s="16">
        <v>19150</v>
      </c>
      <c r="H474" s="11">
        <f>'First Calculations'!P473</f>
        <v>2982</v>
      </c>
      <c r="I474" s="12"/>
      <c r="J474" s="13">
        <f t="shared" si="14"/>
        <v>0.15571801566579635</v>
      </c>
      <c r="L474" t="str">
        <f t="shared" si="15"/>
        <v>20.c.ps.170.616  - Friends of Chinsegut Hill, Inc  $2982</v>
      </c>
    </row>
    <row r="475" spans="1:18" ht="15.75" x14ac:dyDescent="0.25">
      <c r="A475" s="15">
        <v>473</v>
      </c>
      <c r="B475" s="15" t="s">
        <v>999</v>
      </c>
      <c r="C475" s="15" t="s">
        <v>1000</v>
      </c>
      <c r="D475" s="15" t="s">
        <v>73</v>
      </c>
      <c r="E475" s="16">
        <v>23919</v>
      </c>
      <c r="F475" s="15">
        <v>81.832999999999998</v>
      </c>
      <c r="G475" s="16">
        <v>23919</v>
      </c>
      <c r="H475" s="11">
        <f>'First Calculations'!P474</f>
        <v>3721</v>
      </c>
      <c r="I475" s="12"/>
      <c r="J475" s="13">
        <f t="shared" si="14"/>
        <v>0.15556670429365776</v>
      </c>
      <c r="L475" t="str">
        <f t="shared" si="15"/>
        <v>20.c.ps.170.484  - Halifax Historical Society, Inc.  $3721</v>
      </c>
    </row>
    <row r="476" spans="1:18" ht="15.75" x14ac:dyDescent="0.25">
      <c r="A476" s="15">
        <v>474</v>
      </c>
      <c r="B476" s="15" t="s">
        <v>1001</v>
      </c>
      <c r="C476" s="15" t="s">
        <v>1002</v>
      </c>
      <c r="D476" s="15" t="s">
        <v>80</v>
      </c>
      <c r="E476" s="16">
        <v>150000</v>
      </c>
      <c r="F476" s="15">
        <v>81.625</v>
      </c>
      <c r="G476" s="16">
        <v>150000</v>
      </c>
      <c r="H476" s="11">
        <f>'First Calculations'!P475</f>
        <v>23197</v>
      </c>
      <c r="I476" s="12"/>
      <c r="J476" s="13">
        <f t="shared" si="14"/>
        <v>0.15464666666666665</v>
      </c>
      <c r="L476" t="str">
        <f t="shared" si="15"/>
        <v>20.c.ps.102.222  - The Florida Orchestra, Inc. Non-Compliance  $23197</v>
      </c>
    </row>
    <row r="477" spans="1:18" ht="15.75" x14ac:dyDescent="0.25">
      <c r="A477" s="15">
        <v>475</v>
      </c>
      <c r="B477" s="15" t="s">
        <v>1003</v>
      </c>
      <c r="C477" s="15" t="s">
        <v>1004</v>
      </c>
      <c r="D477" s="15" t="s">
        <v>136</v>
      </c>
      <c r="E477" s="16">
        <v>45000</v>
      </c>
      <c r="F477" s="15">
        <v>81.286000000000001</v>
      </c>
      <c r="G477" s="16">
        <v>45000</v>
      </c>
      <c r="H477" s="11">
        <f>'First Calculations'!P476</f>
        <v>6941</v>
      </c>
      <c r="I477" s="12"/>
      <c r="J477" s="13">
        <f t="shared" si="14"/>
        <v>0.15424444444444443</v>
      </c>
      <c r="L477" t="str">
        <f t="shared" si="15"/>
        <v>20.c.ps.101.744  - Florida Dance Theatre, Inc.  $6941</v>
      </c>
    </row>
    <row r="478" spans="1:18" ht="15.75" x14ac:dyDescent="0.25">
      <c r="A478" s="15">
        <v>476</v>
      </c>
      <c r="B478" s="15" t="s">
        <v>1005</v>
      </c>
      <c r="C478" s="15" t="s">
        <v>1006</v>
      </c>
      <c r="D478" s="15" t="s">
        <v>773</v>
      </c>
      <c r="E478" s="16">
        <v>25000</v>
      </c>
      <c r="F478" s="15">
        <v>81.143000000000001</v>
      </c>
      <c r="G478" s="16">
        <v>25000</v>
      </c>
      <c r="H478" s="11">
        <f>'First Calculations'!P477</f>
        <v>3856</v>
      </c>
      <c r="I478" s="12"/>
      <c r="J478" s="13">
        <f t="shared" si="14"/>
        <v>0.15423999999999999</v>
      </c>
      <c r="L478" t="str">
        <f t="shared" si="15"/>
        <v>20.c.ps.114.157  - City of Clermont  $3856</v>
      </c>
    </row>
    <row r="479" spans="1:18" ht="15.75" x14ac:dyDescent="0.25">
      <c r="A479" s="15">
        <v>477</v>
      </c>
      <c r="B479" s="15" t="s">
        <v>1007</v>
      </c>
      <c r="C479" s="15" t="s">
        <v>1008</v>
      </c>
      <c r="D479" s="15" t="s">
        <v>28</v>
      </c>
      <c r="E479" s="16">
        <v>4000</v>
      </c>
      <c r="F479" s="15">
        <v>81.143000000000001</v>
      </c>
      <c r="G479" s="16">
        <v>4000</v>
      </c>
      <c r="H479" s="11">
        <f>'First Calculations'!P478</f>
        <v>1000</v>
      </c>
      <c r="I479" s="12"/>
      <c r="J479" s="13">
        <f t="shared" si="14"/>
        <v>0.25</v>
      </c>
      <c r="L479" t="str">
        <f t="shared" si="15"/>
        <v>20.c.ps.114.463  - The Cove/Rincon Corp.  $1000</v>
      </c>
    </row>
    <row r="480" spans="1:18" ht="15.75" x14ac:dyDescent="0.25">
      <c r="A480" s="15">
        <v>478</v>
      </c>
      <c r="B480" s="15" t="s">
        <v>1009</v>
      </c>
      <c r="C480" s="15" t="s">
        <v>186</v>
      </c>
      <c r="D480" s="15" t="s">
        <v>67</v>
      </c>
      <c r="E480" s="16">
        <v>150000</v>
      </c>
      <c r="F480" s="15">
        <v>81</v>
      </c>
      <c r="G480" s="16">
        <v>150000</v>
      </c>
      <c r="H480" s="11">
        <f>'First Calculations'!P479</f>
        <v>23019</v>
      </c>
      <c r="I480" s="12"/>
      <c r="J480" s="13">
        <f t="shared" si="14"/>
        <v>0.15346000000000001</v>
      </c>
      <c r="L480" t="str">
        <f t="shared" si="15"/>
        <v>20.c.ps.114.314  - University of Florida   $23019</v>
      </c>
      <c r="R480">
        <f>COUNTIF(E:E,"&gt;'Front Page'!")</f>
        <v>1</v>
      </c>
    </row>
    <row r="481" spans="1:14" ht="15.75" x14ac:dyDescent="0.25">
      <c r="A481" s="15">
        <v>479</v>
      </c>
      <c r="B481" s="15" t="s">
        <v>1010</v>
      </c>
      <c r="C481" s="15" t="s">
        <v>1011</v>
      </c>
      <c r="D481" s="15" t="s">
        <v>28</v>
      </c>
      <c r="E481" s="16">
        <v>37000</v>
      </c>
      <c r="F481" s="15">
        <v>80.75</v>
      </c>
      <c r="G481" s="16">
        <v>37000</v>
      </c>
      <c r="H481" s="11">
        <f>'First Calculations'!P480</f>
        <v>5672</v>
      </c>
      <c r="I481" s="12"/>
      <c r="J481" s="13">
        <f t="shared" si="14"/>
        <v>0.1532972972972973</v>
      </c>
      <c r="L481" t="str">
        <f t="shared" si="15"/>
        <v>20.c.ps.109.409  - IFCM Corp.  $5672</v>
      </c>
    </row>
    <row r="482" spans="1:14" ht="15.75" x14ac:dyDescent="0.25">
      <c r="A482" s="15">
        <v>480</v>
      </c>
      <c r="B482" s="15" t="s">
        <v>1012</v>
      </c>
      <c r="C482" s="15" t="s">
        <v>1013</v>
      </c>
      <c r="D482" s="15" t="s">
        <v>67</v>
      </c>
      <c r="E482" s="16">
        <v>20000</v>
      </c>
      <c r="F482" s="15">
        <v>78.332999999999998</v>
      </c>
      <c r="G482" s="16">
        <v>0</v>
      </c>
      <c r="H482" s="11">
        <f>'First Calculations'!P481</f>
        <v>2981</v>
      </c>
      <c r="I482" s="12"/>
      <c r="J482" s="13">
        <f t="shared" si="14"/>
        <v>0.14904999999999999</v>
      </c>
      <c r="L482" t="str">
        <f t="shared" si="15"/>
        <v>20.c.ps.500.122  - Alachua County Board of County Commissioners  $2981</v>
      </c>
    </row>
    <row r="483" spans="1:14" ht="15.75" x14ac:dyDescent="0.25">
      <c r="A483" s="15">
        <v>481</v>
      </c>
      <c r="B483" s="15" t="s">
        <v>1014</v>
      </c>
      <c r="C483" s="15" t="s">
        <v>1015</v>
      </c>
      <c r="D483" s="15" t="s">
        <v>388</v>
      </c>
      <c r="E483" s="16">
        <v>44060</v>
      </c>
      <c r="F483" s="15">
        <v>78</v>
      </c>
      <c r="G483" s="16">
        <v>0</v>
      </c>
      <c r="H483" s="11">
        <f>'First Calculations'!P482</f>
        <v>6522</v>
      </c>
      <c r="I483" s="12"/>
      <c r="J483" s="13">
        <f t="shared" si="14"/>
        <v>0.14802541988197912</v>
      </c>
      <c r="L483" t="str">
        <f t="shared" si="15"/>
        <v>20.c.ps.500.723  - Arts &amp; Cultural Alliance of St. Lucie Inc.  $6522</v>
      </c>
    </row>
    <row r="484" spans="1:14" ht="15.75" x14ac:dyDescent="0.25">
      <c r="A484" s="15">
        <v>482</v>
      </c>
      <c r="B484" s="15" t="s">
        <v>1016</v>
      </c>
      <c r="C484" s="15" t="s">
        <v>1017</v>
      </c>
      <c r="D484" s="15" t="s">
        <v>28</v>
      </c>
      <c r="E484" s="16">
        <v>14088</v>
      </c>
      <c r="F484" s="15">
        <v>77.8</v>
      </c>
      <c r="G484" s="16">
        <v>0</v>
      </c>
      <c r="H484" s="11">
        <f>'First Calculations'!P483</f>
        <v>2090</v>
      </c>
      <c r="I484" s="12"/>
      <c r="J484" s="13">
        <f t="shared" si="14"/>
        <v>0.14835320840431573</v>
      </c>
      <c r="L484" t="str">
        <f t="shared" si="15"/>
        <v>20.c.ps.102.320  - Alliance for Musical Arts Productions, Inc.  $2090</v>
      </c>
    </row>
    <row r="485" spans="1:14" ht="15.75" x14ac:dyDescent="0.25">
      <c r="A485" s="15">
        <v>483</v>
      </c>
      <c r="B485" s="15" t="s">
        <v>1018</v>
      </c>
      <c r="C485" s="15" t="s">
        <v>1019</v>
      </c>
      <c r="D485" s="15" t="s">
        <v>36</v>
      </c>
      <c r="E485" s="16">
        <v>5300</v>
      </c>
      <c r="F485" s="15">
        <v>77.400000000000006</v>
      </c>
      <c r="G485" s="16">
        <v>0</v>
      </c>
      <c r="H485" s="11">
        <f>'First Calculations'!P484</f>
        <v>1000</v>
      </c>
      <c r="I485" s="12"/>
      <c r="J485" s="13">
        <f t="shared" si="14"/>
        <v>0.18867924528301888</v>
      </c>
      <c r="L485" t="str">
        <f t="shared" si="15"/>
        <v>20.c.ps.102.603  - Brazilian Voices, Inc.  $1000</v>
      </c>
    </row>
    <row r="486" spans="1:14" ht="15.75" x14ac:dyDescent="0.25">
      <c r="A486" s="15">
        <v>484</v>
      </c>
      <c r="B486" s="15" t="s">
        <v>1020</v>
      </c>
      <c r="C486" s="15" t="s">
        <v>1021</v>
      </c>
      <c r="D486" s="15" t="s">
        <v>80</v>
      </c>
      <c r="E486" s="16">
        <v>25000</v>
      </c>
      <c r="F486" s="15">
        <v>77</v>
      </c>
      <c r="G486" s="16">
        <v>0</v>
      </c>
      <c r="H486" s="11">
        <f>'First Calculations'!P485</f>
        <v>3660</v>
      </c>
      <c r="I486" s="12"/>
      <c r="J486" s="13">
        <f t="shared" si="14"/>
        <v>0.1464</v>
      </c>
      <c r="L486" t="str">
        <f t="shared" si="15"/>
        <v>20.c.ps.170.105  - The American Craftsman Museum, Inc.  $3660</v>
      </c>
    </row>
    <row r="487" spans="1:14" ht="15.75" x14ac:dyDescent="0.25">
      <c r="A487" s="15">
        <v>485</v>
      </c>
      <c r="B487" s="15" t="s">
        <v>1022</v>
      </c>
      <c r="C487" s="15" t="s">
        <v>1023</v>
      </c>
      <c r="D487" s="15" t="s">
        <v>28</v>
      </c>
      <c r="E487" s="16">
        <v>20500</v>
      </c>
      <c r="F487" s="15">
        <v>76.570999999999998</v>
      </c>
      <c r="G487" s="16">
        <v>0</v>
      </c>
      <c r="H487" s="11">
        <f>'First Calculations'!P486</f>
        <v>2987</v>
      </c>
      <c r="I487" s="12"/>
      <c r="J487" s="13">
        <f t="shared" si="14"/>
        <v>0.14570731707317072</v>
      </c>
      <c r="L487" t="str">
        <f t="shared" si="15"/>
        <v>20.c.ps.101.639  - Ballet Etudes of South Florida, Inc.  $2987</v>
      </c>
      <c r="N487" s="14"/>
    </row>
    <row r="488" spans="1:14" ht="25.5" x14ac:dyDescent="0.25">
      <c r="A488" s="15">
        <v>486</v>
      </c>
      <c r="B488" s="15" t="s">
        <v>1024</v>
      </c>
      <c r="C488" s="15" t="s">
        <v>1025</v>
      </c>
      <c r="D488" s="15" t="s">
        <v>57</v>
      </c>
      <c r="E488" s="16">
        <v>90000</v>
      </c>
      <c r="F488" s="15">
        <v>71.25</v>
      </c>
      <c r="G488" s="16">
        <v>0</v>
      </c>
      <c r="H488" s="11">
        <f>'First Calculations'!P487</f>
        <v>12156</v>
      </c>
      <c r="I488" s="12"/>
      <c r="J488" s="13">
        <f t="shared" si="14"/>
        <v>0.13506666666666667</v>
      </c>
      <c r="L488" t="str">
        <f t="shared" si="15"/>
        <v>20.c.ps.109.401  - Speak Up Tampa Bay Public Access Television, Inc.  $12156</v>
      </c>
    </row>
    <row r="489" spans="1:14" ht="15.75" x14ac:dyDescent="0.25">
      <c r="A489" s="15">
        <v>487</v>
      </c>
      <c r="B489" s="15" t="s">
        <v>1026</v>
      </c>
      <c r="C489" s="15" t="s">
        <v>1027</v>
      </c>
      <c r="D489" s="15" t="s">
        <v>510</v>
      </c>
      <c r="E489" s="16">
        <v>3000</v>
      </c>
      <c r="F489" s="15">
        <v>70</v>
      </c>
      <c r="G489" s="16">
        <v>0</v>
      </c>
      <c r="H489" s="11">
        <f>'First Calculations'!P488</f>
        <v>1000</v>
      </c>
      <c r="I489" s="12"/>
      <c r="J489" s="13">
        <f t="shared" si="14"/>
        <v>0.33333333333333331</v>
      </c>
      <c r="L489" t="str">
        <f t="shared" si="15"/>
        <v>20.c.ps.102.016  - Choral Arts Society  $1000</v>
      </c>
    </row>
    <row r="490" spans="1:14" ht="25.5" x14ac:dyDescent="0.25">
      <c r="A490" s="15">
        <v>488</v>
      </c>
      <c r="B490" s="15" t="s">
        <v>1028</v>
      </c>
      <c r="C490" s="15" t="s">
        <v>1029</v>
      </c>
      <c r="D490" s="15" t="s">
        <v>57</v>
      </c>
      <c r="E490" s="16">
        <v>5000</v>
      </c>
      <c r="F490" s="15">
        <v>58.832999999999998</v>
      </c>
      <c r="G490" s="16">
        <v>0</v>
      </c>
      <c r="H490" s="11">
        <f>'First Calculations'!P489</f>
        <v>1000</v>
      </c>
      <c r="I490" s="12"/>
      <c r="J490" s="13">
        <f t="shared" si="14"/>
        <v>0.2</v>
      </c>
      <c r="L490" t="str">
        <f t="shared" si="15"/>
        <v>20.c.ps.114.210  - Tampa Bay Juneteenth Coalition  $1000</v>
      </c>
    </row>
    <row r="491" spans="1:14" x14ac:dyDescent="0.25">
      <c r="A491" s="5"/>
      <c r="B491" s="5"/>
      <c r="C491" s="5"/>
      <c r="D491" s="5"/>
      <c r="E491" s="5"/>
      <c r="F491" s="5"/>
    </row>
    <row r="492" spans="1:14" x14ac:dyDescent="0.25">
      <c r="A492" s="5"/>
      <c r="B492" s="5"/>
      <c r="C492" s="5"/>
      <c r="D492" s="5"/>
      <c r="E492" s="5"/>
      <c r="F492" s="5"/>
    </row>
    <row r="493" spans="1:14" x14ac:dyDescent="0.25">
      <c r="A493" s="5"/>
      <c r="B493" s="5"/>
      <c r="C493" s="5"/>
      <c r="D493" s="5"/>
      <c r="E493" s="5"/>
      <c r="F493" s="5"/>
    </row>
    <row r="494" spans="1:14" x14ac:dyDescent="0.25">
      <c r="A494" s="5"/>
      <c r="B494" s="5"/>
      <c r="C494" s="5"/>
      <c r="D494" s="5"/>
      <c r="E494" s="5"/>
      <c r="F494" s="5"/>
    </row>
    <row r="495" spans="1:14" x14ac:dyDescent="0.25">
      <c r="A495" s="5"/>
      <c r="B495" s="5"/>
      <c r="C495" s="5"/>
      <c r="D495" s="5"/>
      <c r="E495" s="5"/>
      <c r="F495" s="5"/>
    </row>
    <row r="496" spans="1:14" x14ac:dyDescent="0.25">
      <c r="A496" s="5"/>
      <c r="B496" s="5"/>
      <c r="C496" s="5"/>
      <c r="D496" s="5"/>
      <c r="E496" s="5"/>
      <c r="F496" s="5"/>
      <c r="J496"/>
    </row>
    <row r="497" spans="1:10" x14ac:dyDescent="0.25">
      <c r="A497" s="5"/>
      <c r="B497" s="5"/>
      <c r="C497" s="5"/>
      <c r="D497" s="5"/>
      <c r="E497" s="5"/>
      <c r="F497" s="5"/>
      <c r="J497"/>
    </row>
    <row r="498" spans="1:10" x14ac:dyDescent="0.25">
      <c r="A498" s="5"/>
      <c r="B498" s="5"/>
      <c r="C498" s="5"/>
      <c r="D498" s="5"/>
      <c r="E498" s="5"/>
      <c r="F498" s="5"/>
      <c r="J498"/>
    </row>
    <row r="499" spans="1:10" x14ac:dyDescent="0.25">
      <c r="A499" s="5"/>
      <c r="B499" s="5"/>
      <c r="C499" s="5"/>
      <c r="D499" s="5"/>
      <c r="E499" s="5"/>
      <c r="F499" s="5"/>
      <c r="J499"/>
    </row>
    <row r="500" spans="1:10" x14ac:dyDescent="0.25">
      <c r="A500" s="5"/>
      <c r="B500" s="5"/>
      <c r="C500" s="5"/>
      <c r="D500" s="5"/>
      <c r="E500" s="5"/>
      <c r="F500" s="5"/>
      <c r="J500"/>
    </row>
    <row r="501" spans="1:10" x14ac:dyDescent="0.25">
      <c r="A501" s="5"/>
      <c r="B501" s="5"/>
      <c r="C501" s="5"/>
      <c r="D501" s="5"/>
      <c r="E501" s="5"/>
      <c r="F501" s="5"/>
      <c r="J501"/>
    </row>
    <row r="502" spans="1:10" x14ac:dyDescent="0.25">
      <c r="A502" s="5"/>
      <c r="B502" s="5"/>
      <c r="C502" s="5"/>
      <c r="D502" s="5"/>
      <c r="E502" s="5"/>
      <c r="F502" s="5"/>
      <c r="J502"/>
    </row>
    <row r="503" spans="1:10" x14ac:dyDescent="0.25">
      <c r="A503" s="5"/>
      <c r="B503" s="5"/>
      <c r="C503" s="5"/>
      <c r="D503" s="5"/>
      <c r="E503" s="5"/>
      <c r="F503" s="5"/>
      <c r="J503"/>
    </row>
    <row r="504" spans="1:10" x14ac:dyDescent="0.25">
      <c r="A504" s="5"/>
      <c r="B504" s="5"/>
      <c r="C504" s="5"/>
      <c r="D504" s="5"/>
      <c r="E504" s="5"/>
      <c r="F504" s="5"/>
      <c r="J504"/>
    </row>
    <row r="505" spans="1:10" x14ac:dyDescent="0.25">
      <c r="A505" s="5"/>
      <c r="B505" s="5"/>
      <c r="C505" s="5"/>
      <c r="D505" s="5"/>
      <c r="E505" s="5"/>
      <c r="F505" s="5"/>
      <c r="J505"/>
    </row>
    <row r="506" spans="1:10" x14ac:dyDescent="0.25">
      <c r="A506" s="5"/>
      <c r="B506" s="5"/>
      <c r="C506" s="5"/>
      <c r="D506" s="5"/>
      <c r="E506" s="5"/>
      <c r="F506" s="5"/>
      <c r="J506"/>
    </row>
    <row r="507" spans="1:10" x14ac:dyDescent="0.25">
      <c r="A507" s="5"/>
      <c r="B507" s="5"/>
      <c r="C507" s="5"/>
      <c r="D507" s="5"/>
      <c r="E507" s="5"/>
      <c r="F507" s="5"/>
      <c r="J507"/>
    </row>
    <row r="508" spans="1:10" x14ac:dyDescent="0.25">
      <c r="A508" s="5"/>
      <c r="B508" s="5"/>
      <c r="C508" s="5"/>
      <c r="D508" s="5"/>
      <c r="E508" s="5"/>
      <c r="F508" s="5"/>
      <c r="J508"/>
    </row>
    <row r="509" spans="1:10" x14ac:dyDescent="0.25">
      <c r="A509" s="5"/>
      <c r="B509" s="5"/>
      <c r="C509" s="5"/>
      <c r="D509" s="5"/>
      <c r="E509" s="5"/>
      <c r="F509" s="5"/>
      <c r="J509"/>
    </row>
    <row r="510" spans="1:10" x14ac:dyDescent="0.25">
      <c r="A510" s="5"/>
      <c r="B510" s="5"/>
      <c r="C510" s="5"/>
      <c r="D510" s="5"/>
      <c r="E510" s="5"/>
      <c r="F510" s="5"/>
      <c r="J510"/>
    </row>
    <row r="511" spans="1:10" x14ac:dyDescent="0.25">
      <c r="A511" s="5"/>
      <c r="B511" s="5"/>
      <c r="C511" s="5"/>
      <c r="D511" s="5"/>
      <c r="E511" s="5"/>
      <c r="F511" s="5"/>
      <c r="J511"/>
    </row>
    <row r="512" spans="1:10" x14ac:dyDescent="0.25">
      <c r="A512" s="5"/>
      <c r="B512" s="5"/>
      <c r="C512" s="5"/>
      <c r="D512" s="5"/>
      <c r="E512" s="5"/>
      <c r="F512" s="5"/>
      <c r="J512"/>
    </row>
    <row r="513" spans="1:10" x14ac:dyDescent="0.25">
      <c r="A513" s="5"/>
      <c r="B513" s="5"/>
      <c r="C513" s="5"/>
      <c r="D513" s="5"/>
      <c r="E513" s="5"/>
      <c r="F513" s="5"/>
      <c r="J513"/>
    </row>
    <row r="514" spans="1:10" x14ac:dyDescent="0.25">
      <c r="A514" s="5"/>
      <c r="B514" s="5"/>
      <c r="C514" s="5"/>
      <c r="D514" s="5"/>
      <c r="E514" s="5"/>
      <c r="F514" s="5"/>
      <c r="J514"/>
    </row>
    <row r="515" spans="1:10" x14ac:dyDescent="0.25">
      <c r="A515" s="5"/>
      <c r="B515" s="5"/>
      <c r="C515" s="5"/>
      <c r="D515" s="5"/>
      <c r="E515" s="5"/>
      <c r="F515" s="5"/>
      <c r="J515"/>
    </row>
    <row r="516" spans="1:10" x14ac:dyDescent="0.25">
      <c r="A516" s="5"/>
      <c r="B516" s="5"/>
      <c r="C516" s="5"/>
      <c r="D516" s="5"/>
      <c r="E516" s="5"/>
      <c r="F516" s="5"/>
      <c r="J516"/>
    </row>
    <row r="517" spans="1:10" x14ac:dyDescent="0.25">
      <c r="A517" s="5"/>
      <c r="B517" s="5"/>
      <c r="C517" s="5"/>
      <c r="D517" s="5"/>
      <c r="E517" s="5"/>
      <c r="F517" s="5"/>
      <c r="J517"/>
    </row>
    <row r="518" spans="1:10" x14ac:dyDescent="0.25">
      <c r="A518" s="5"/>
      <c r="B518" s="5"/>
      <c r="C518" s="5"/>
      <c r="D518" s="5"/>
      <c r="E518" s="5"/>
      <c r="F518" s="5"/>
      <c r="J518"/>
    </row>
    <row r="519" spans="1:10" x14ac:dyDescent="0.25">
      <c r="A519" s="5"/>
      <c r="B519" s="5"/>
      <c r="C519" s="5"/>
      <c r="D519" s="5"/>
      <c r="E519" s="5"/>
      <c r="F519" s="5"/>
      <c r="J519"/>
    </row>
    <row r="520" spans="1:10" x14ac:dyDescent="0.25">
      <c r="A520" s="5"/>
      <c r="B520" s="5"/>
      <c r="C520" s="5"/>
      <c r="D520" s="5"/>
      <c r="E520" s="5"/>
      <c r="F520" s="5"/>
      <c r="J520"/>
    </row>
    <row r="521" spans="1:10" x14ac:dyDescent="0.25">
      <c r="A521" s="5"/>
      <c r="B521" s="5"/>
      <c r="C521" s="5"/>
      <c r="D521" s="5"/>
      <c r="E521" s="5"/>
      <c r="F521" s="5"/>
      <c r="J521"/>
    </row>
    <row r="522" spans="1:10" x14ac:dyDescent="0.25">
      <c r="A522" s="5"/>
      <c r="B522" s="5"/>
      <c r="C522" s="5"/>
      <c r="D522" s="5"/>
      <c r="E522" s="5"/>
      <c r="F522" s="5"/>
      <c r="J522"/>
    </row>
    <row r="523" spans="1:10" x14ac:dyDescent="0.25">
      <c r="A523" s="5"/>
      <c r="B523" s="5"/>
      <c r="C523" s="5"/>
      <c r="D523" s="5"/>
      <c r="E523" s="5"/>
      <c r="F523" s="5"/>
      <c r="J523"/>
    </row>
    <row r="524" spans="1:10" x14ac:dyDescent="0.25">
      <c r="A524" s="5"/>
      <c r="B524" s="5"/>
      <c r="C524" s="5"/>
      <c r="D524" s="5"/>
      <c r="E524" s="5"/>
      <c r="F524" s="5"/>
      <c r="J524"/>
    </row>
    <row r="525" spans="1:10" x14ac:dyDescent="0.25">
      <c r="A525" s="5"/>
      <c r="B525" s="5"/>
      <c r="C525" s="5"/>
      <c r="D525" s="5"/>
      <c r="E525" s="5"/>
      <c r="F525" s="5"/>
      <c r="J525"/>
    </row>
    <row r="526" spans="1:10" x14ac:dyDescent="0.25">
      <c r="A526" s="5"/>
      <c r="B526" s="5"/>
      <c r="C526" s="5"/>
      <c r="D526" s="5"/>
      <c r="E526" s="5"/>
      <c r="F526" s="5"/>
      <c r="J526"/>
    </row>
    <row r="527" spans="1:10" x14ac:dyDescent="0.25">
      <c r="A527" s="5"/>
      <c r="B527" s="5"/>
      <c r="C527" s="5"/>
      <c r="D527" s="5"/>
      <c r="E527" s="5"/>
      <c r="F527" s="5"/>
      <c r="J527"/>
    </row>
    <row r="528" spans="1:10" x14ac:dyDescent="0.25">
      <c r="A528" s="5"/>
      <c r="B528" s="5"/>
      <c r="C528" s="5"/>
      <c r="D528" s="5"/>
      <c r="E528" s="5"/>
      <c r="F528" s="5"/>
      <c r="J528"/>
    </row>
    <row r="529" spans="1:10" x14ac:dyDescent="0.25">
      <c r="A529" s="5"/>
      <c r="B529" s="5"/>
      <c r="C529" s="5"/>
      <c r="D529" s="5"/>
      <c r="E529" s="5"/>
      <c r="F529" s="5"/>
      <c r="J529"/>
    </row>
    <row r="530" spans="1:10" x14ac:dyDescent="0.25">
      <c r="A530" s="5"/>
      <c r="B530" s="5"/>
      <c r="C530" s="5"/>
      <c r="D530" s="5"/>
      <c r="E530" s="5"/>
      <c r="F530" s="5"/>
      <c r="J530"/>
    </row>
    <row r="531" spans="1:10" x14ac:dyDescent="0.25">
      <c r="A531" s="5"/>
      <c r="B531" s="5"/>
      <c r="C531" s="5"/>
      <c r="D531" s="5"/>
      <c r="E531" s="5"/>
      <c r="F531" s="5"/>
      <c r="J531"/>
    </row>
    <row r="532" spans="1:10" x14ac:dyDescent="0.25">
      <c r="A532" s="5"/>
      <c r="B532" s="5"/>
      <c r="C532" s="5"/>
      <c r="D532" s="5"/>
      <c r="E532" s="5"/>
      <c r="F532" s="5"/>
      <c r="J532"/>
    </row>
    <row r="533" spans="1:10" x14ac:dyDescent="0.25">
      <c r="A533" s="5"/>
      <c r="B533" s="5"/>
      <c r="C533" s="5"/>
      <c r="D533" s="5"/>
      <c r="E533" s="5"/>
      <c r="F533" s="5"/>
      <c r="J533"/>
    </row>
    <row r="534" spans="1:10" x14ac:dyDescent="0.25">
      <c r="A534" s="5"/>
      <c r="B534" s="5"/>
      <c r="C534" s="5"/>
      <c r="D534" s="5"/>
      <c r="E534" s="5"/>
      <c r="F534" s="5"/>
      <c r="J534"/>
    </row>
    <row r="535" spans="1:10" x14ac:dyDescent="0.25">
      <c r="A535" s="5"/>
      <c r="B535" s="5"/>
      <c r="C535" s="5"/>
      <c r="D535" s="5"/>
      <c r="E535" s="5"/>
      <c r="F535" s="5"/>
      <c r="J535"/>
    </row>
    <row r="536" spans="1:10" x14ac:dyDescent="0.25">
      <c r="A536" s="5"/>
      <c r="B536" s="5"/>
      <c r="C536" s="5"/>
      <c r="D536" s="5"/>
      <c r="E536" s="5"/>
      <c r="F536" s="5"/>
      <c r="J536"/>
    </row>
    <row r="537" spans="1:10" x14ac:dyDescent="0.25">
      <c r="A537" s="5"/>
      <c r="B537" s="5"/>
      <c r="C537" s="5"/>
      <c r="D537" s="5"/>
      <c r="E537" s="5"/>
      <c r="F537" s="5"/>
      <c r="J537"/>
    </row>
    <row r="538" spans="1:10" x14ac:dyDescent="0.25">
      <c r="A538" s="5"/>
      <c r="B538" s="5"/>
      <c r="C538" s="5"/>
      <c r="D538" s="5"/>
      <c r="E538" s="5"/>
      <c r="F538" s="5"/>
      <c r="J538"/>
    </row>
    <row r="539" spans="1:10" x14ac:dyDescent="0.25">
      <c r="A539" s="5"/>
      <c r="B539" s="5"/>
      <c r="C539" s="5"/>
      <c r="D539" s="5"/>
      <c r="E539" s="5"/>
      <c r="F539" s="5"/>
      <c r="J539"/>
    </row>
    <row r="540" spans="1:10" x14ac:dyDescent="0.25">
      <c r="A540" s="5"/>
      <c r="B540" s="5"/>
      <c r="C540" s="5"/>
      <c r="D540" s="5"/>
      <c r="E540" s="5"/>
      <c r="F540" s="5"/>
      <c r="J540"/>
    </row>
    <row r="541" spans="1:10" x14ac:dyDescent="0.25">
      <c r="A541" s="5"/>
      <c r="B541" s="5"/>
      <c r="C541" s="5"/>
      <c r="D541" s="5"/>
      <c r="E541" s="5"/>
      <c r="F541" s="5"/>
      <c r="J541"/>
    </row>
    <row r="542" spans="1:10" x14ac:dyDescent="0.25">
      <c r="A542" s="5"/>
      <c r="B542" s="5"/>
      <c r="C542" s="5"/>
      <c r="D542" s="5"/>
      <c r="E542" s="5"/>
      <c r="F542" s="5"/>
      <c r="J542"/>
    </row>
    <row r="543" spans="1:10" x14ac:dyDescent="0.25">
      <c r="A543" s="5"/>
      <c r="B543" s="5"/>
      <c r="C543" s="5"/>
      <c r="D543" s="5"/>
      <c r="E543" s="5"/>
      <c r="F543" s="5"/>
      <c r="J543"/>
    </row>
    <row r="544" spans="1:10" x14ac:dyDescent="0.25">
      <c r="A544" s="5"/>
      <c r="B544" s="5"/>
      <c r="C544" s="5"/>
      <c r="D544" s="5"/>
      <c r="E544" s="5"/>
      <c r="F544" s="5"/>
      <c r="J544"/>
    </row>
    <row r="545" spans="1:10" x14ac:dyDescent="0.25">
      <c r="A545" s="5"/>
      <c r="B545" s="5"/>
      <c r="C545" s="5"/>
      <c r="D545" s="5"/>
      <c r="E545" s="5"/>
      <c r="F545" s="5"/>
      <c r="J545"/>
    </row>
    <row r="546" spans="1:10" x14ac:dyDescent="0.25">
      <c r="A546" s="5"/>
      <c r="B546" s="5"/>
      <c r="C546" s="5"/>
      <c r="D546" s="5"/>
      <c r="E546" s="5"/>
      <c r="F546" s="5"/>
      <c r="J546"/>
    </row>
    <row r="547" spans="1:10" x14ac:dyDescent="0.25">
      <c r="A547" s="5"/>
      <c r="B547" s="5"/>
      <c r="C547" s="5"/>
      <c r="D547" s="5"/>
      <c r="E547" s="5"/>
      <c r="F547" s="5"/>
      <c r="J547"/>
    </row>
    <row r="548" spans="1:10" x14ac:dyDescent="0.25">
      <c r="A548" s="5"/>
      <c r="B548" s="5"/>
      <c r="C548" s="5"/>
      <c r="D548" s="5"/>
      <c r="E548" s="5"/>
      <c r="F548" s="5"/>
      <c r="J548"/>
    </row>
    <row r="549" spans="1:10" x14ac:dyDescent="0.25">
      <c r="A549" s="5"/>
      <c r="B549" s="5"/>
      <c r="C549" s="5"/>
      <c r="D549" s="5"/>
      <c r="E549" s="5"/>
      <c r="F549" s="5"/>
      <c r="J549"/>
    </row>
    <row r="550" spans="1:10" x14ac:dyDescent="0.25">
      <c r="A550" s="5"/>
      <c r="B550" s="5"/>
      <c r="C550" s="5"/>
      <c r="D550" s="5"/>
      <c r="E550" s="5"/>
      <c r="F550" s="5"/>
      <c r="J550"/>
    </row>
    <row r="551" spans="1:10" x14ac:dyDescent="0.25">
      <c r="A551" s="5"/>
      <c r="B551" s="5"/>
      <c r="C551" s="5"/>
      <c r="D551" s="5"/>
      <c r="E551" s="5"/>
      <c r="F551" s="5"/>
      <c r="J551"/>
    </row>
    <row r="552" spans="1:10" x14ac:dyDescent="0.25">
      <c r="A552" s="5"/>
      <c r="B552" s="5"/>
      <c r="C552" s="5"/>
      <c r="D552" s="5"/>
      <c r="E552" s="5"/>
      <c r="F552" s="5"/>
      <c r="J552"/>
    </row>
    <row r="553" spans="1:10" x14ac:dyDescent="0.25">
      <c r="A553" s="5"/>
      <c r="B553" s="5"/>
      <c r="C553" s="5"/>
      <c r="D553" s="5"/>
      <c r="E553" s="5"/>
      <c r="F553" s="5"/>
      <c r="J553"/>
    </row>
    <row r="554" spans="1:10" x14ac:dyDescent="0.25">
      <c r="A554" s="5"/>
      <c r="B554" s="5"/>
      <c r="C554" s="5"/>
      <c r="D554" s="5"/>
      <c r="E554" s="5"/>
      <c r="F554" s="5"/>
      <c r="J554"/>
    </row>
    <row r="555" spans="1:10" x14ac:dyDescent="0.25">
      <c r="A555" s="5"/>
      <c r="B555" s="5"/>
      <c r="C555" s="5"/>
      <c r="D555" s="5"/>
      <c r="E555" s="5"/>
      <c r="F555" s="5"/>
      <c r="J555"/>
    </row>
    <row r="556" spans="1:10" x14ac:dyDescent="0.25">
      <c r="A556" s="5"/>
      <c r="B556" s="5"/>
      <c r="C556" s="5"/>
      <c r="D556" s="5"/>
      <c r="E556" s="5"/>
      <c r="F556" s="5"/>
      <c r="J556"/>
    </row>
    <row r="557" spans="1:10" x14ac:dyDescent="0.25">
      <c r="A557" s="5"/>
      <c r="B557" s="5"/>
      <c r="C557" s="5"/>
      <c r="D557" s="5"/>
      <c r="E557" s="5"/>
      <c r="F557" s="5"/>
      <c r="J557"/>
    </row>
    <row r="558" spans="1:10" x14ac:dyDescent="0.25">
      <c r="A558" s="5"/>
      <c r="B558" s="5"/>
      <c r="C558" s="5"/>
      <c r="D558" s="5"/>
      <c r="E558" s="5"/>
      <c r="F558" s="5"/>
      <c r="J558"/>
    </row>
    <row r="559" spans="1:10" x14ac:dyDescent="0.25">
      <c r="A559" s="5"/>
      <c r="B559" s="5"/>
      <c r="C559" s="5"/>
      <c r="D559" s="5"/>
      <c r="E559" s="5"/>
      <c r="F559" s="5"/>
      <c r="J559"/>
    </row>
    <row r="560" spans="1:10" x14ac:dyDescent="0.25">
      <c r="A560" s="5"/>
      <c r="B560" s="5"/>
      <c r="C560" s="5"/>
      <c r="D560" s="5"/>
      <c r="E560" s="5"/>
      <c r="F560" s="5"/>
      <c r="J560"/>
    </row>
    <row r="561" spans="1:10" x14ac:dyDescent="0.25">
      <c r="A561" s="5"/>
      <c r="B561" s="5"/>
      <c r="C561" s="5"/>
      <c r="D561" s="5"/>
      <c r="E561" s="5"/>
      <c r="F561" s="5"/>
      <c r="J561"/>
    </row>
    <row r="562" spans="1:10" x14ac:dyDescent="0.25">
      <c r="A562" s="5"/>
      <c r="B562" s="5"/>
      <c r="C562" s="5"/>
      <c r="D562" s="5"/>
      <c r="E562" s="5"/>
      <c r="F562" s="5"/>
      <c r="J562"/>
    </row>
    <row r="563" spans="1:10" x14ac:dyDescent="0.25">
      <c r="A563" s="5"/>
      <c r="B563" s="5"/>
      <c r="C563" s="5"/>
      <c r="D563" s="5"/>
      <c r="E563" s="5"/>
      <c r="F563" s="5"/>
      <c r="J563"/>
    </row>
    <row r="564" spans="1:10" x14ac:dyDescent="0.25">
      <c r="A564" s="5"/>
      <c r="B564" s="5"/>
      <c r="C564" s="5"/>
      <c r="D564" s="5"/>
      <c r="E564" s="5"/>
      <c r="F564" s="5"/>
      <c r="J564"/>
    </row>
    <row r="565" spans="1:10" x14ac:dyDescent="0.25">
      <c r="A565" s="5"/>
      <c r="B565" s="5"/>
      <c r="C565" s="5"/>
      <c r="D565" s="5"/>
      <c r="E565" s="5"/>
      <c r="F565" s="5"/>
      <c r="J565"/>
    </row>
    <row r="566" spans="1:10" x14ac:dyDescent="0.25">
      <c r="A566" s="5"/>
      <c r="B566" s="5"/>
      <c r="C566" s="5"/>
      <c r="D566" s="5"/>
      <c r="E566" s="5"/>
      <c r="F566" s="5"/>
      <c r="J566"/>
    </row>
    <row r="567" spans="1:10" x14ac:dyDescent="0.25">
      <c r="A567" s="5"/>
      <c r="B567" s="5"/>
      <c r="C567" s="5"/>
      <c r="D567" s="5"/>
      <c r="E567" s="5"/>
      <c r="F567" s="5"/>
      <c r="J567"/>
    </row>
    <row r="568" spans="1:10" x14ac:dyDescent="0.25">
      <c r="A568" s="5"/>
      <c r="B568" s="5"/>
      <c r="C568" s="5"/>
      <c r="D568" s="5"/>
      <c r="E568" s="5"/>
      <c r="F568" s="5"/>
      <c r="J568"/>
    </row>
    <row r="569" spans="1:10" x14ac:dyDescent="0.25">
      <c r="A569" s="5"/>
      <c r="B569" s="5"/>
      <c r="C569" s="5"/>
      <c r="D569" s="5"/>
      <c r="E569" s="5"/>
      <c r="F569" s="5"/>
      <c r="J569"/>
    </row>
    <row r="570" spans="1:10" x14ac:dyDescent="0.25">
      <c r="A570" s="5"/>
      <c r="B570" s="5"/>
      <c r="C570" s="5"/>
      <c r="D570" s="5"/>
      <c r="E570" s="5"/>
      <c r="F570" s="5"/>
      <c r="J570"/>
    </row>
    <row r="571" spans="1:10" x14ac:dyDescent="0.25">
      <c r="A571" s="5"/>
      <c r="B571" s="5"/>
      <c r="C571" s="5"/>
      <c r="D571" s="5"/>
      <c r="E571" s="5"/>
      <c r="F571" s="5"/>
      <c r="J571"/>
    </row>
    <row r="572" spans="1:10" x14ac:dyDescent="0.25">
      <c r="A572" s="5"/>
      <c r="B572" s="5"/>
      <c r="C572" s="5"/>
      <c r="D572" s="5"/>
      <c r="E572" s="5"/>
      <c r="F572" s="5"/>
      <c r="J572"/>
    </row>
    <row r="573" spans="1:10" x14ac:dyDescent="0.25">
      <c r="A573" s="5"/>
      <c r="B573" s="5"/>
      <c r="C573" s="5"/>
      <c r="D573" s="5"/>
      <c r="E573" s="5"/>
      <c r="F573" s="5"/>
      <c r="J573"/>
    </row>
    <row r="574" spans="1:10" x14ac:dyDescent="0.25">
      <c r="A574" s="5"/>
      <c r="B574" s="5"/>
      <c r="C574" s="5"/>
      <c r="D574" s="5"/>
      <c r="E574" s="5"/>
      <c r="F574" s="5"/>
      <c r="J574"/>
    </row>
    <row r="575" spans="1:10" x14ac:dyDescent="0.25">
      <c r="A575" s="5"/>
      <c r="B575" s="5"/>
      <c r="C575" s="5"/>
      <c r="D575" s="5"/>
      <c r="E575" s="5"/>
      <c r="F575" s="5"/>
      <c r="J575"/>
    </row>
    <row r="576" spans="1:10" x14ac:dyDescent="0.25">
      <c r="A576" s="5"/>
      <c r="B576" s="5"/>
      <c r="C576" s="5"/>
      <c r="D576" s="5"/>
      <c r="E576" s="5"/>
      <c r="F576" s="5"/>
      <c r="J576"/>
    </row>
    <row r="577" spans="1:10" x14ac:dyDescent="0.25">
      <c r="A577" s="5"/>
      <c r="B577" s="5"/>
      <c r="C577" s="5"/>
      <c r="D577" s="5"/>
      <c r="E577" s="5"/>
      <c r="F577" s="5"/>
      <c r="J577"/>
    </row>
    <row r="578" spans="1:10" x14ac:dyDescent="0.25">
      <c r="A578" s="5"/>
      <c r="B578" s="5"/>
      <c r="C578" s="5"/>
      <c r="D578" s="5"/>
      <c r="E578" s="5"/>
      <c r="F578" s="5"/>
      <c r="J578"/>
    </row>
    <row r="579" spans="1:10" x14ac:dyDescent="0.25">
      <c r="A579" s="5"/>
      <c r="B579" s="5"/>
      <c r="C579" s="5"/>
      <c r="D579" s="5"/>
      <c r="E579" s="5"/>
      <c r="F579" s="5"/>
      <c r="J579"/>
    </row>
    <row r="580" spans="1:10" x14ac:dyDescent="0.25">
      <c r="A580" s="5"/>
      <c r="B580" s="5"/>
      <c r="C580" s="5"/>
      <c r="D580" s="5"/>
      <c r="E580" s="5"/>
      <c r="F580" s="5"/>
      <c r="J580"/>
    </row>
    <row r="581" spans="1:10" x14ac:dyDescent="0.25">
      <c r="A581" s="5"/>
      <c r="B581" s="5"/>
      <c r="C581" s="5"/>
      <c r="D581" s="5"/>
      <c r="E581" s="5"/>
      <c r="F581" s="5"/>
      <c r="J581"/>
    </row>
    <row r="582" spans="1:10" x14ac:dyDescent="0.25">
      <c r="A582" s="5"/>
      <c r="B582" s="5"/>
      <c r="C582" s="5"/>
      <c r="D582" s="5"/>
      <c r="E582" s="5"/>
      <c r="F582" s="5"/>
      <c r="J582"/>
    </row>
    <row r="583" spans="1:10" x14ac:dyDescent="0.25">
      <c r="A583" s="5"/>
      <c r="B583" s="5"/>
      <c r="C583" s="5"/>
      <c r="D583" s="5"/>
      <c r="E583" s="5"/>
      <c r="F583" s="5"/>
      <c r="J583"/>
    </row>
    <row r="584" spans="1:10" x14ac:dyDescent="0.25">
      <c r="A584" s="5"/>
      <c r="B584" s="5"/>
      <c r="C584" s="5"/>
      <c r="D584" s="5"/>
      <c r="E584" s="5"/>
      <c r="F584" s="5"/>
      <c r="J584"/>
    </row>
    <row r="585" spans="1:10" x14ac:dyDescent="0.25">
      <c r="A585" s="5"/>
      <c r="B585" s="5"/>
      <c r="C585" s="5"/>
      <c r="D585" s="5"/>
      <c r="E585" s="5"/>
      <c r="F585" s="5"/>
      <c r="J585"/>
    </row>
    <row r="586" spans="1:10" x14ac:dyDescent="0.25">
      <c r="A586" s="5"/>
      <c r="B586" s="5"/>
      <c r="C586" s="5"/>
      <c r="D586" s="5"/>
      <c r="E586" s="5"/>
      <c r="F586" s="5"/>
      <c r="J586"/>
    </row>
    <row r="587" spans="1:10" x14ac:dyDescent="0.25">
      <c r="A587" s="5"/>
      <c r="B587" s="5"/>
      <c r="C587" s="5"/>
      <c r="D587" s="5"/>
      <c r="E587" s="5"/>
      <c r="F587" s="5"/>
      <c r="J587"/>
    </row>
    <row r="588" spans="1:10" x14ac:dyDescent="0.25">
      <c r="A588" s="5"/>
      <c r="B588" s="5"/>
      <c r="C588" s="5"/>
      <c r="D588" s="5"/>
      <c r="E588" s="5"/>
      <c r="F588" s="5"/>
      <c r="J588"/>
    </row>
    <row r="589" spans="1:10" x14ac:dyDescent="0.25">
      <c r="A589" s="5"/>
      <c r="B589" s="5"/>
      <c r="C589" s="5"/>
      <c r="D589" s="5"/>
      <c r="E589" s="5"/>
      <c r="F589" s="5"/>
      <c r="J589"/>
    </row>
    <row r="590" spans="1:10" x14ac:dyDescent="0.25">
      <c r="A590" s="5"/>
      <c r="B590" s="5"/>
      <c r="C590" s="5"/>
      <c r="D590" s="5"/>
      <c r="E590" s="5"/>
      <c r="F590" s="5"/>
      <c r="J590"/>
    </row>
    <row r="591" spans="1:10" x14ac:dyDescent="0.25">
      <c r="A591" s="5"/>
      <c r="B591" s="5"/>
      <c r="C591" s="5"/>
      <c r="D591" s="5"/>
      <c r="E591" s="5"/>
      <c r="F591" s="5"/>
      <c r="J591"/>
    </row>
    <row r="592" spans="1:10" x14ac:dyDescent="0.25">
      <c r="A592" s="5"/>
      <c r="B592" s="5"/>
      <c r="C592" s="5"/>
      <c r="D592" s="5"/>
      <c r="E592" s="5"/>
      <c r="F592" s="5"/>
      <c r="J592"/>
    </row>
    <row r="593" spans="1:10" x14ac:dyDescent="0.25">
      <c r="A593" s="5"/>
      <c r="B593" s="5"/>
      <c r="C593" s="5"/>
      <c r="D593" s="5"/>
      <c r="E593" s="5"/>
      <c r="F593" s="5"/>
      <c r="J593"/>
    </row>
    <row r="594" spans="1:10" x14ac:dyDescent="0.25">
      <c r="A594" s="5"/>
      <c r="B594" s="5"/>
      <c r="C594" s="5"/>
      <c r="D594" s="5"/>
      <c r="E594" s="5"/>
      <c r="F594" s="5"/>
      <c r="J594"/>
    </row>
    <row r="595" spans="1:10" x14ac:dyDescent="0.25">
      <c r="A595" s="5"/>
      <c r="B595" s="5"/>
      <c r="C595" s="5"/>
      <c r="D595" s="5"/>
      <c r="E595" s="5"/>
      <c r="F595" s="5"/>
      <c r="J595"/>
    </row>
    <row r="596" spans="1:10" x14ac:dyDescent="0.25">
      <c r="A596" s="5"/>
      <c r="B596" s="5"/>
      <c r="C596" s="5"/>
      <c r="D596" s="5"/>
      <c r="E596" s="5"/>
      <c r="F596" s="5"/>
      <c r="J596"/>
    </row>
    <row r="597" spans="1:10" x14ac:dyDescent="0.25">
      <c r="A597" s="5"/>
      <c r="B597" s="5"/>
      <c r="C597" s="5"/>
      <c r="D597" s="5"/>
      <c r="E597" s="5"/>
      <c r="F597" s="5"/>
      <c r="J597"/>
    </row>
    <row r="598" spans="1:10" x14ac:dyDescent="0.25">
      <c r="A598" s="5"/>
      <c r="B598" s="5"/>
      <c r="C598" s="5"/>
      <c r="D598" s="5"/>
      <c r="E598" s="5"/>
      <c r="F598" s="5"/>
      <c r="J598"/>
    </row>
    <row r="599" spans="1:10" x14ac:dyDescent="0.25">
      <c r="A599" s="5"/>
      <c r="B599" s="5"/>
      <c r="C599" s="5"/>
      <c r="D599" s="5"/>
      <c r="E599" s="5"/>
      <c r="F599" s="5"/>
      <c r="J599"/>
    </row>
  </sheetData>
  <protectedRanges>
    <protectedRange algorithmName="SHA-512" hashValue="QaE+/f7CXvPVKMK1kXFEE7ucHyllutJhvy7MFTbhCExmMfQjaxOdqho6YaVEswL8MjnDlnvBGtaBURzIC5Dn3w==" saltValue="DSsl7X7CGfCkP4bZU1MFIg==" spinCount="100000" sqref="A3:F499" name="Range1"/>
  </protectedRanges>
  <conditionalFormatting sqref="H3:H490">
    <cfRule type="expression" dxfId="0" priority="1">
      <formula>"if(H2:H500)&gt;E2:E500)"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599"/>
  <sheetViews>
    <sheetView workbookViewId="0">
      <selection sqref="A1:XFD1048576"/>
    </sheetView>
  </sheetViews>
  <sheetFormatPr defaultColWidth="8.85546875" defaultRowHeight="15" x14ac:dyDescent="0.25"/>
  <cols>
    <col min="1" max="1" width="8.28515625" customWidth="1"/>
    <col min="2" max="2" width="19.28515625" customWidth="1"/>
    <col min="3" max="3" width="66.7109375" customWidth="1"/>
    <col min="4" max="4" width="11.140625" customWidth="1"/>
    <col min="5" max="5" width="12.42578125" customWidth="1"/>
    <col min="6" max="6" width="11.140625" customWidth="1"/>
    <col min="7" max="7" width="0" hidden="1" customWidth="1"/>
    <col min="8" max="8" width="16.42578125" customWidth="1"/>
    <col min="9" max="9" width="13.85546875" customWidth="1"/>
    <col min="10" max="10" width="12.140625" style="7" customWidth="1"/>
    <col min="14" max="14" width="11.140625" bestFit="1" customWidth="1"/>
  </cols>
  <sheetData>
    <row r="1" spans="1:12" ht="42" customHeight="1" thickTop="1" thickBot="1" x14ac:dyDescent="0.45">
      <c r="H1" s="6">
        <v>7376221</v>
      </c>
      <c r="I1" s="10">
        <f>H1-SUM(H3:H490)</f>
        <v>0</v>
      </c>
      <c r="J1" s="7">
        <f>H1/SUM(E3:E499)</f>
        <v>0.17416272350793638</v>
      </c>
    </row>
    <row r="2" spans="1:12" ht="42" customHeight="1" thickTop="1" x14ac:dyDescent="0.45">
      <c r="A2" s="1" t="s">
        <v>0</v>
      </c>
      <c r="B2" s="2" t="s">
        <v>1</v>
      </c>
      <c r="C2" s="2" t="s">
        <v>2</v>
      </c>
      <c r="D2" s="1" t="s">
        <v>3</v>
      </c>
      <c r="E2" s="1" t="s">
        <v>4</v>
      </c>
      <c r="F2" s="1" t="s">
        <v>23</v>
      </c>
      <c r="H2" s="4" t="s">
        <v>22</v>
      </c>
      <c r="I2" s="9" t="s">
        <v>25</v>
      </c>
      <c r="J2" s="8" t="s">
        <v>24</v>
      </c>
    </row>
    <row r="3" spans="1:12" ht="15.75" x14ac:dyDescent="0.25">
      <c r="A3" s="15">
        <v>1</v>
      </c>
      <c r="B3" s="15" t="s">
        <v>26</v>
      </c>
      <c r="C3" s="15" t="s">
        <v>27</v>
      </c>
      <c r="D3" s="15" t="s">
        <v>28</v>
      </c>
      <c r="E3" s="16">
        <v>150000</v>
      </c>
      <c r="F3" s="15">
        <v>98.429000000000002</v>
      </c>
      <c r="G3" s="16">
        <v>150000</v>
      </c>
      <c r="H3" s="11">
        <f>'First Calculations'!P2-1</f>
        <v>27968</v>
      </c>
      <c r="I3" s="12"/>
      <c r="J3" s="13">
        <f t="shared" ref="J3:J66" si="0">H3/E3</f>
        <v>0.18645333333333333</v>
      </c>
      <c r="L3" t="str">
        <f>B3&amp;" - "&amp;C3&amp;" $"&amp;H3</f>
        <v>20.c.ps.180.091  - Performing Arts Center Trust, Inc.  $27968</v>
      </c>
    </row>
    <row r="4" spans="1:12" ht="15.75" x14ac:dyDescent="0.25">
      <c r="A4" s="15">
        <v>2</v>
      </c>
      <c r="B4" s="15" t="s">
        <v>29</v>
      </c>
      <c r="C4" s="15" t="s">
        <v>30</v>
      </c>
      <c r="D4" s="15" t="s">
        <v>28</v>
      </c>
      <c r="E4" s="16">
        <v>150000</v>
      </c>
      <c r="F4" s="15">
        <v>98.25</v>
      </c>
      <c r="G4" s="16">
        <v>150000</v>
      </c>
      <c r="H4" s="11">
        <f>'First Calculations'!P3</f>
        <v>27918</v>
      </c>
      <c r="I4" s="12"/>
      <c r="J4" s="13">
        <f t="shared" si="0"/>
        <v>0.18612000000000001</v>
      </c>
      <c r="L4" t="str">
        <f t="shared" ref="L4:L67" si="1">B4&amp;" - "&amp;C4&amp;" $"&amp;H4</f>
        <v>20.c.ps.102.282  - New World Symphony, Inc.  $27918</v>
      </c>
    </row>
    <row r="5" spans="1:12" ht="15.75" x14ac:dyDescent="0.25">
      <c r="A5" s="15">
        <v>3</v>
      </c>
      <c r="B5" s="15" t="s">
        <v>31</v>
      </c>
      <c r="C5" s="15" t="s">
        <v>32</v>
      </c>
      <c r="D5" s="15" t="s">
        <v>33</v>
      </c>
      <c r="E5" s="16">
        <v>150000</v>
      </c>
      <c r="F5" s="15">
        <v>98</v>
      </c>
      <c r="G5" s="16">
        <v>150000</v>
      </c>
      <c r="H5" s="11">
        <f>'First Calculations'!P4</f>
        <v>27847</v>
      </c>
      <c r="I5" s="12"/>
      <c r="J5" s="13">
        <f t="shared" si="0"/>
        <v>0.18564666666666665</v>
      </c>
      <c r="L5" t="str">
        <f t="shared" si="1"/>
        <v>20.c.ps.141.519  - Venice Theatre, Inc.  $27847</v>
      </c>
    </row>
    <row r="6" spans="1:12" ht="15.75" x14ac:dyDescent="0.25">
      <c r="A6" s="15">
        <v>4</v>
      </c>
      <c r="B6" s="15" t="s">
        <v>34</v>
      </c>
      <c r="C6" s="15" t="s">
        <v>35</v>
      </c>
      <c r="D6" s="15" t="s">
        <v>36</v>
      </c>
      <c r="E6" s="16">
        <v>150000</v>
      </c>
      <c r="F6" s="15">
        <v>98</v>
      </c>
      <c r="G6" s="16">
        <v>150000</v>
      </c>
      <c r="H6" s="11">
        <f>'First Calculations'!P5</f>
        <v>27847</v>
      </c>
      <c r="I6" s="12"/>
      <c r="J6" s="13">
        <f t="shared" si="0"/>
        <v>0.18564666666666665</v>
      </c>
      <c r="L6" t="str">
        <f t="shared" si="1"/>
        <v>20.c.ps.180.209  - Performing Arts Center Authority  $27847</v>
      </c>
    </row>
    <row r="7" spans="1:12" ht="15.75" x14ac:dyDescent="0.25">
      <c r="A7" s="15">
        <v>5</v>
      </c>
      <c r="B7" s="15" t="s">
        <v>37</v>
      </c>
      <c r="C7" s="15" t="s">
        <v>38</v>
      </c>
      <c r="D7" s="15" t="s">
        <v>39</v>
      </c>
      <c r="E7" s="16">
        <v>89000</v>
      </c>
      <c r="F7" s="15">
        <v>97.856999999999999</v>
      </c>
      <c r="G7" s="16">
        <v>89000</v>
      </c>
      <c r="H7" s="11">
        <f>'First Calculations'!P6</f>
        <v>16505</v>
      </c>
      <c r="I7" s="12"/>
      <c r="J7" s="13">
        <f t="shared" si="0"/>
        <v>0.18544943820224719</v>
      </c>
      <c r="L7" t="str">
        <f t="shared" si="1"/>
        <v>20.c.ps.102.241  - Young Singers of the Palm Beaches, Inc.  $16505</v>
      </c>
    </row>
    <row r="8" spans="1:12" ht="15.75" x14ac:dyDescent="0.25">
      <c r="A8" s="15">
        <v>6</v>
      </c>
      <c r="B8" s="15" t="s">
        <v>40</v>
      </c>
      <c r="C8" s="15" t="s">
        <v>41</v>
      </c>
      <c r="D8" s="15" t="s">
        <v>28</v>
      </c>
      <c r="E8" s="16">
        <v>143431</v>
      </c>
      <c r="F8" s="15">
        <v>97.832999999999998</v>
      </c>
      <c r="G8" s="16">
        <v>143431</v>
      </c>
      <c r="H8" s="11">
        <f>'First Calculations'!P7</f>
        <v>26583</v>
      </c>
      <c r="I8" s="12"/>
      <c r="J8" s="13">
        <f t="shared" si="0"/>
        <v>0.18533650326637896</v>
      </c>
      <c r="L8" t="str">
        <f t="shared" si="1"/>
        <v>20.c.ps.200.672  - Miami Music Project, Inc.  $26583</v>
      </c>
    </row>
    <row r="9" spans="1:12" ht="15.75" x14ac:dyDescent="0.25">
      <c r="A9" s="15">
        <v>7</v>
      </c>
      <c r="B9" s="15" t="s">
        <v>42</v>
      </c>
      <c r="C9" s="15" t="s">
        <v>43</v>
      </c>
      <c r="D9" s="15" t="s">
        <v>33</v>
      </c>
      <c r="E9" s="16">
        <v>150000</v>
      </c>
      <c r="F9" s="15">
        <v>97.667000000000002</v>
      </c>
      <c r="G9" s="16">
        <v>150000</v>
      </c>
      <c r="H9" s="11">
        <f>'First Calculations'!P8</f>
        <v>27753</v>
      </c>
      <c r="I9" s="12"/>
      <c r="J9" s="13">
        <f t="shared" si="0"/>
        <v>0.18501999999999999</v>
      </c>
      <c r="L9" t="str">
        <f t="shared" si="1"/>
        <v>20.c.ps.142.390  - Florida Studio Theatre, Inc.  $27753</v>
      </c>
    </row>
    <row r="10" spans="1:12" ht="15.75" x14ac:dyDescent="0.25">
      <c r="A10" s="15">
        <v>8</v>
      </c>
      <c r="B10" s="15" t="s">
        <v>44</v>
      </c>
      <c r="C10" s="15" t="s">
        <v>45</v>
      </c>
      <c r="D10" s="15" t="s">
        <v>28</v>
      </c>
      <c r="E10" s="16">
        <v>90000</v>
      </c>
      <c r="F10" s="15">
        <v>97.5</v>
      </c>
      <c r="G10" s="16">
        <v>90000</v>
      </c>
      <c r="H10" s="11">
        <f>'First Calculations'!P9</f>
        <v>16629</v>
      </c>
      <c r="I10" s="12"/>
      <c r="J10" s="13">
        <f t="shared" si="0"/>
        <v>0.18476666666666666</v>
      </c>
      <c r="L10" t="str">
        <f t="shared" si="1"/>
        <v>20.c.ps.180.529  - Miami Light Project, Inc.  $16629</v>
      </c>
    </row>
    <row r="11" spans="1:12" ht="15.75" x14ac:dyDescent="0.25">
      <c r="A11" s="15">
        <v>9</v>
      </c>
      <c r="B11" s="15" t="s">
        <v>46</v>
      </c>
      <c r="C11" s="15" t="s">
        <v>47</v>
      </c>
      <c r="D11" s="15" t="s">
        <v>33</v>
      </c>
      <c r="E11" s="16">
        <v>150000</v>
      </c>
      <c r="F11" s="15">
        <v>97.429000000000002</v>
      </c>
      <c r="G11" s="16">
        <v>150000</v>
      </c>
      <c r="H11" s="11">
        <f>'First Calculations'!P10</f>
        <v>27685</v>
      </c>
      <c r="I11" s="12"/>
      <c r="J11" s="13">
        <f t="shared" si="0"/>
        <v>0.18456666666666666</v>
      </c>
      <c r="L11" t="str">
        <f t="shared" si="1"/>
        <v>20.c.ps.180.594  - City of Sarasota  $27685</v>
      </c>
    </row>
    <row r="12" spans="1:12" ht="15.75" x14ac:dyDescent="0.25">
      <c r="A12" s="15">
        <v>10</v>
      </c>
      <c r="B12" s="15" t="s">
        <v>48</v>
      </c>
      <c r="C12" s="15" t="s">
        <v>49</v>
      </c>
      <c r="D12" s="15" t="s">
        <v>50</v>
      </c>
      <c r="E12" s="16">
        <v>150000</v>
      </c>
      <c r="F12" s="15">
        <v>97.332999999999998</v>
      </c>
      <c r="G12" s="16">
        <v>150000</v>
      </c>
      <c r="H12" s="11">
        <f>'First Calculations'!P11</f>
        <v>27658</v>
      </c>
      <c r="I12" s="12"/>
      <c r="J12" s="13">
        <f t="shared" si="0"/>
        <v>0.18438666666666667</v>
      </c>
      <c r="L12" t="str">
        <f t="shared" si="1"/>
        <v>20.c.ps.200.326  - Cathedral Arts Project, Inc.  $27658</v>
      </c>
    </row>
    <row r="13" spans="1:12" ht="15.75" x14ac:dyDescent="0.25">
      <c r="A13" s="15">
        <v>11</v>
      </c>
      <c r="B13" s="15" t="s">
        <v>51</v>
      </c>
      <c r="C13" s="15" t="s">
        <v>52</v>
      </c>
      <c r="D13" s="15" t="s">
        <v>28</v>
      </c>
      <c r="E13" s="16">
        <v>150000</v>
      </c>
      <c r="F13" s="15">
        <v>97.332999999999998</v>
      </c>
      <c r="G13" s="16">
        <v>150000</v>
      </c>
      <c r="H13" s="11">
        <f>'First Calculations'!P12</f>
        <v>27658</v>
      </c>
      <c r="I13" s="12"/>
      <c r="J13" s="13">
        <f t="shared" si="0"/>
        <v>0.18438666666666667</v>
      </c>
      <c r="L13" t="str">
        <f t="shared" si="1"/>
        <v>20.c.ps.170.739  - Miami Children's Museum, Inc.  $27658</v>
      </c>
    </row>
    <row r="14" spans="1:12" ht="15.75" x14ac:dyDescent="0.25">
      <c r="A14" s="15">
        <v>12</v>
      </c>
      <c r="B14" s="15" t="s">
        <v>53</v>
      </c>
      <c r="C14" s="15" t="s">
        <v>54</v>
      </c>
      <c r="D14" s="15" t="s">
        <v>33</v>
      </c>
      <c r="E14" s="16">
        <v>150000</v>
      </c>
      <c r="F14" s="15">
        <v>97.332999999999998</v>
      </c>
      <c r="G14" s="16">
        <v>150000</v>
      </c>
      <c r="H14" s="11">
        <f>'First Calculations'!P13</f>
        <v>27658</v>
      </c>
      <c r="I14" s="12"/>
      <c r="J14" s="13">
        <f t="shared" si="0"/>
        <v>0.18438666666666667</v>
      </c>
      <c r="L14" t="str">
        <f t="shared" si="1"/>
        <v>20.c.ps.142.565  - Asolo Theatre, Inc.  $27658</v>
      </c>
    </row>
    <row r="15" spans="1:12" ht="25.5" x14ac:dyDescent="0.25">
      <c r="A15" s="15">
        <v>13</v>
      </c>
      <c r="B15" s="15" t="s">
        <v>55</v>
      </c>
      <c r="C15" s="15" t="s">
        <v>56</v>
      </c>
      <c r="D15" s="15" t="s">
        <v>57</v>
      </c>
      <c r="E15" s="16">
        <v>150000</v>
      </c>
      <c r="F15" s="15">
        <v>97.286000000000001</v>
      </c>
      <c r="G15" s="16">
        <v>150000</v>
      </c>
      <c r="H15" s="11">
        <f>'First Calculations'!P14</f>
        <v>27645</v>
      </c>
      <c r="I15" s="12"/>
      <c r="J15" s="13">
        <f t="shared" si="0"/>
        <v>0.18429999999999999</v>
      </c>
      <c r="L15" t="str">
        <f t="shared" si="1"/>
        <v>20.c.ps.180.376  - Tampa Bay Performing Arts Center, Inc.  $27645</v>
      </c>
    </row>
    <row r="16" spans="1:12" ht="15.75" x14ac:dyDescent="0.25">
      <c r="A16" s="15">
        <v>14</v>
      </c>
      <c r="B16" s="15" t="s">
        <v>58</v>
      </c>
      <c r="C16" s="15" t="s">
        <v>59</v>
      </c>
      <c r="D16" s="15" t="s">
        <v>28</v>
      </c>
      <c r="E16" s="16">
        <v>150000</v>
      </c>
      <c r="F16" s="15">
        <v>97.2</v>
      </c>
      <c r="G16" s="16">
        <v>150000</v>
      </c>
      <c r="H16" s="11">
        <f>'First Calculations'!P15</f>
        <v>27620</v>
      </c>
      <c r="I16" s="12"/>
      <c r="J16" s="13">
        <f t="shared" si="0"/>
        <v>0.18413333333333334</v>
      </c>
      <c r="L16" t="str">
        <f t="shared" si="1"/>
        <v>20.c.ps.101.302  - Miami City Ballet, Inc.  $27620</v>
      </c>
    </row>
    <row r="17" spans="1:12" ht="15.75" x14ac:dyDescent="0.25">
      <c r="A17" s="15">
        <v>15</v>
      </c>
      <c r="B17" s="15" t="s">
        <v>60</v>
      </c>
      <c r="C17" s="15" t="s">
        <v>61</v>
      </c>
      <c r="D17" s="15" t="s">
        <v>28</v>
      </c>
      <c r="E17" s="16">
        <v>28000</v>
      </c>
      <c r="F17" s="15">
        <v>97</v>
      </c>
      <c r="G17" s="16">
        <v>28000</v>
      </c>
      <c r="H17" s="11">
        <f>'First Calculations'!P16</f>
        <v>5157</v>
      </c>
      <c r="I17" s="12"/>
      <c r="J17" s="13">
        <f t="shared" si="0"/>
        <v>0.18417857142857144</v>
      </c>
      <c r="L17" t="str">
        <f t="shared" si="1"/>
        <v>20.c.ps.110.755  - University of Wynwood, Inc.  $5157</v>
      </c>
    </row>
    <row r="18" spans="1:12" ht="15.75" x14ac:dyDescent="0.25">
      <c r="A18" s="15">
        <v>16</v>
      </c>
      <c r="B18" s="15" t="s">
        <v>62</v>
      </c>
      <c r="C18" s="15" t="s">
        <v>63</v>
      </c>
      <c r="D18" s="15" t="s">
        <v>64</v>
      </c>
      <c r="E18" s="16">
        <v>130000</v>
      </c>
      <c r="F18" s="15">
        <v>97</v>
      </c>
      <c r="G18" s="16">
        <v>130000</v>
      </c>
      <c r="H18" s="11">
        <f>'First Calculations'!P17</f>
        <v>23890</v>
      </c>
      <c r="I18" s="12"/>
      <c r="J18" s="13">
        <f t="shared" si="0"/>
        <v>0.18376923076923077</v>
      </c>
      <c r="L18" t="str">
        <f t="shared" si="1"/>
        <v>20.c.ps.105.227  - Naples Art Association, Inc.  $23890</v>
      </c>
    </row>
    <row r="19" spans="1:12" ht="15.75" x14ac:dyDescent="0.25">
      <c r="A19" s="15">
        <v>17</v>
      </c>
      <c r="B19" s="15" t="s">
        <v>65</v>
      </c>
      <c r="C19" s="15" t="s">
        <v>66</v>
      </c>
      <c r="D19" s="15" t="s">
        <v>67</v>
      </c>
      <c r="E19" s="16">
        <v>90000</v>
      </c>
      <c r="F19" s="15">
        <v>96.856999999999999</v>
      </c>
      <c r="G19" s="16">
        <v>90000</v>
      </c>
      <c r="H19" s="11">
        <f>'First Calculations'!P18</f>
        <v>16520</v>
      </c>
      <c r="I19" s="12"/>
      <c r="J19" s="13">
        <f t="shared" si="0"/>
        <v>0.18355555555555556</v>
      </c>
      <c r="L19" t="str">
        <f t="shared" si="1"/>
        <v>20.c.ps.114.681  - Shands Teaching Hospital and Clinics, Inc.  $16520</v>
      </c>
    </row>
    <row r="20" spans="1:12" ht="15.75" x14ac:dyDescent="0.25">
      <c r="A20" s="15">
        <v>18</v>
      </c>
      <c r="B20" s="15" t="s">
        <v>68</v>
      </c>
      <c r="C20" s="15" t="s">
        <v>69</v>
      </c>
      <c r="D20" s="15" t="s">
        <v>70</v>
      </c>
      <c r="E20" s="16">
        <v>150000</v>
      </c>
      <c r="F20" s="15">
        <v>96.570999999999998</v>
      </c>
      <c r="G20" s="16">
        <v>150000</v>
      </c>
      <c r="H20" s="11">
        <f>'First Calculations'!P19</f>
        <v>27441</v>
      </c>
      <c r="I20" s="12"/>
      <c r="J20" s="13">
        <f t="shared" si="0"/>
        <v>0.18293999999999999</v>
      </c>
      <c r="L20" t="str">
        <f t="shared" si="1"/>
        <v>20.c.ps.141.746  - The Marion Players, Inc.  $27441</v>
      </c>
    </row>
    <row r="21" spans="1:12" ht="15.75" x14ac:dyDescent="0.25">
      <c r="A21" s="15">
        <v>19</v>
      </c>
      <c r="B21" s="15" t="s">
        <v>71</v>
      </c>
      <c r="C21" s="15" t="s">
        <v>72</v>
      </c>
      <c r="D21" s="15" t="s">
        <v>73</v>
      </c>
      <c r="E21" s="16">
        <v>150000</v>
      </c>
      <c r="F21" s="15">
        <v>96.429000000000002</v>
      </c>
      <c r="G21" s="16">
        <v>150000</v>
      </c>
      <c r="H21" s="11">
        <f>'First Calculations'!P20</f>
        <v>27401</v>
      </c>
      <c r="I21" s="12"/>
      <c r="J21" s="13">
        <f t="shared" si="0"/>
        <v>0.18267333333333333</v>
      </c>
      <c r="L21" t="str">
        <f t="shared" si="1"/>
        <v>20.c.ps.114.237  - Atlantic Center for the Arts, Inc.  $27401</v>
      </c>
    </row>
    <row r="22" spans="1:12" ht="15.75" x14ac:dyDescent="0.25">
      <c r="A22" s="15">
        <v>20</v>
      </c>
      <c r="B22" s="15" t="s">
        <v>74</v>
      </c>
      <c r="C22" s="15" t="s">
        <v>75</v>
      </c>
      <c r="D22" s="15" t="s">
        <v>36</v>
      </c>
      <c r="E22" s="16">
        <v>90000</v>
      </c>
      <c r="F22" s="15">
        <v>96.429000000000002</v>
      </c>
      <c r="G22" s="16">
        <v>90000</v>
      </c>
      <c r="H22" s="11">
        <f>'First Calculations'!P21</f>
        <v>16447</v>
      </c>
      <c r="I22" s="12"/>
      <c r="J22" s="13">
        <f t="shared" si="0"/>
        <v>0.18274444444444443</v>
      </c>
      <c r="L22" t="str">
        <f t="shared" si="1"/>
        <v>20.c.ps.141.136  - The Fort Lauderdale Children's Theatre, Inc.  $16447</v>
      </c>
    </row>
    <row r="23" spans="1:12" ht="15.75" x14ac:dyDescent="0.25">
      <c r="A23" s="15">
        <v>21</v>
      </c>
      <c r="B23" s="15" t="s">
        <v>76</v>
      </c>
      <c r="C23" s="15" t="s">
        <v>77</v>
      </c>
      <c r="D23" s="15" t="s">
        <v>28</v>
      </c>
      <c r="E23" s="16">
        <v>38800</v>
      </c>
      <c r="F23" s="15">
        <v>96.286000000000001</v>
      </c>
      <c r="G23" s="16">
        <v>38800</v>
      </c>
      <c r="H23" s="11">
        <f>'First Calculations'!P22</f>
        <v>7088</v>
      </c>
      <c r="I23" s="12"/>
      <c r="J23" s="13">
        <f t="shared" si="0"/>
        <v>0.18268041237113403</v>
      </c>
      <c r="L23" t="str">
        <f t="shared" si="1"/>
        <v>20.c.ps.114.508  - ArtSouth, A Not-for-Profit Corporation  $7088</v>
      </c>
    </row>
    <row r="24" spans="1:12" ht="15.75" x14ac:dyDescent="0.25">
      <c r="A24" s="15">
        <v>22</v>
      </c>
      <c r="B24" s="15" t="s">
        <v>78</v>
      </c>
      <c r="C24" s="15" t="s">
        <v>79</v>
      </c>
      <c r="D24" s="15" t="s">
        <v>80</v>
      </c>
      <c r="E24" s="16">
        <v>150000</v>
      </c>
      <c r="F24" s="15">
        <v>96.2</v>
      </c>
      <c r="G24" s="16">
        <v>150000</v>
      </c>
      <c r="H24" s="11">
        <f>'First Calculations'!P23</f>
        <v>27336</v>
      </c>
      <c r="I24" s="12"/>
      <c r="J24" s="13">
        <f t="shared" si="0"/>
        <v>0.18224000000000001</v>
      </c>
      <c r="L24" t="str">
        <f t="shared" si="1"/>
        <v>20.c.ps.105.278  - Arts Center Association, Inc.  $27336</v>
      </c>
    </row>
    <row r="25" spans="1:12" ht="15.75" x14ac:dyDescent="0.25">
      <c r="A25" s="15">
        <v>23</v>
      </c>
      <c r="B25" s="15" t="s">
        <v>81</v>
      </c>
      <c r="C25" s="15" t="s">
        <v>82</v>
      </c>
      <c r="D25" s="15" t="s">
        <v>28</v>
      </c>
      <c r="E25" s="16">
        <v>150000</v>
      </c>
      <c r="F25" s="15">
        <v>96.167000000000002</v>
      </c>
      <c r="G25" s="16">
        <v>150000</v>
      </c>
      <c r="H25" s="11">
        <f>'First Calculations'!P24</f>
        <v>27327</v>
      </c>
      <c r="I25" s="12"/>
      <c r="J25" s="13">
        <f t="shared" si="0"/>
        <v>0.18218000000000001</v>
      </c>
      <c r="L25" t="str">
        <f t="shared" si="1"/>
        <v>20.c.ps.170.538  - Jorge M. Pérez Art Museum of Miami-Dade County, Inc.  $27327</v>
      </c>
    </row>
    <row r="26" spans="1:12" ht="15.75" x14ac:dyDescent="0.25">
      <c r="A26" s="15">
        <v>24</v>
      </c>
      <c r="B26" s="15" t="s">
        <v>83</v>
      </c>
      <c r="C26" s="15" t="s">
        <v>84</v>
      </c>
      <c r="D26" s="15" t="s">
        <v>67</v>
      </c>
      <c r="E26" s="16">
        <v>85860</v>
      </c>
      <c r="F26" s="15">
        <v>96.143000000000001</v>
      </c>
      <c r="G26" s="16">
        <v>85860</v>
      </c>
      <c r="H26" s="11">
        <f>'First Calculations'!P25</f>
        <v>15644</v>
      </c>
      <c r="I26" s="12"/>
      <c r="J26" s="13">
        <f t="shared" si="0"/>
        <v>0.18220358723503377</v>
      </c>
      <c r="L26" t="str">
        <f t="shared" si="1"/>
        <v>20.c.ps.101.086  - Dance Alive!, Inc.  $15644</v>
      </c>
    </row>
    <row r="27" spans="1:12" ht="15.75" x14ac:dyDescent="0.25">
      <c r="A27" s="15">
        <v>25</v>
      </c>
      <c r="B27" s="15" t="s">
        <v>85</v>
      </c>
      <c r="C27" s="15" t="s">
        <v>86</v>
      </c>
      <c r="D27" s="15" t="s">
        <v>87</v>
      </c>
      <c r="E27" s="16">
        <v>132336</v>
      </c>
      <c r="F27" s="15">
        <v>96.125</v>
      </c>
      <c r="G27" s="16">
        <v>132336</v>
      </c>
      <c r="H27" s="11">
        <f>'First Calculations'!P26</f>
        <v>24100</v>
      </c>
      <c r="I27" s="12"/>
      <c r="J27" s="13">
        <f t="shared" si="0"/>
        <v>0.18211219925039293</v>
      </c>
      <c r="L27" t="str">
        <f t="shared" si="1"/>
        <v>20.c.ps.102.333  - The Bach Festival Society of Winter Park, Inc.  $24100</v>
      </c>
    </row>
    <row r="28" spans="1:12" ht="15.75" x14ac:dyDescent="0.25">
      <c r="A28" s="15">
        <v>26</v>
      </c>
      <c r="B28" s="15" t="s">
        <v>88</v>
      </c>
      <c r="C28" s="15" t="s">
        <v>89</v>
      </c>
      <c r="D28" s="15" t="s">
        <v>90</v>
      </c>
      <c r="E28" s="16">
        <v>150000</v>
      </c>
      <c r="F28" s="15">
        <v>96</v>
      </c>
      <c r="G28" s="16">
        <v>150000</v>
      </c>
      <c r="H28" s="11">
        <f>'First Calculations'!P27</f>
        <v>27279</v>
      </c>
      <c r="I28" s="12"/>
      <c r="J28" s="13">
        <f t="shared" si="0"/>
        <v>0.18185999999999999</v>
      </c>
      <c r="L28" t="str">
        <f t="shared" si="1"/>
        <v>20.c.ps.141.541  - The Historic Cocoa Village Playhouse, Inc.  $27279</v>
      </c>
    </row>
    <row r="29" spans="1:12" ht="15.75" x14ac:dyDescent="0.25">
      <c r="A29" s="15">
        <v>27</v>
      </c>
      <c r="B29" s="15" t="s">
        <v>91</v>
      </c>
      <c r="C29" s="15" t="s">
        <v>92</v>
      </c>
      <c r="D29" s="15" t="s">
        <v>50</v>
      </c>
      <c r="E29" s="16">
        <v>90000</v>
      </c>
      <c r="F29" s="15">
        <v>96</v>
      </c>
      <c r="G29" s="16">
        <v>90000</v>
      </c>
      <c r="H29" s="11">
        <f>'First Calculations'!P28</f>
        <v>16374</v>
      </c>
      <c r="I29" s="12"/>
      <c r="J29" s="13">
        <f t="shared" si="0"/>
        <v>0.18193333333333334</v>
      </c>
      <c r="L29" t="str">
        <f t="shared" si="1"/>
        <v>20.c.ps.141.351  - Theatre Jacksonville, Inc.  $16374</v>
      </c>
    </row>
    <row r="30" spans="1:12" ht="15.75" x14ac:dyDescent="0.25">
      <c r="A30" s="15">
        <v>28</v>
      </c>
      <c r="B30" s="15" t="s">
        <v>93</v>
      </c>
      <c r="C30" s="15" t="s">
        <v>94</v>
      </c>
      <c r="D30" s="15" t="s">
        <v>95</v>
      </c>
      <c r="E30" s="16">
        <v>70175</v>
      </c>
      <c r="F30" s="15">
        <v>96</v>
      </c>
      <c r="G30" s="16">
        <v>70175</v>
      </c>
      <c r="H30" s="11">
        <f>'First Calculations'!P29</f>
        <v>12770</v>
      </c>
      <c r="I30" s="12"/>
      <c r="J30" s="13">
        <f t="shared" si="0"/>
        <v>0.18197363733523333</v>
      </c>
      <c r="L30" t="str">
        <f t="shared" si="1"/>
        <v>20.c.ps.102.263  - Amelia Island Chamber Music Festival, Inc.  $12770</v>
      </c>
    </row>
    <row r="31" spans="1:12" ht="25.5" x14ac:dyDescent="0.25">
      <c r="A31" s="15">
        <v>29</v>
      </c>
      <c r="B31" s="15" t="s">
        <v>96</v>
      </c>
      <c r="C31" s="15" t="s">
        <v>97</v>
      </c>
      <c r="D31" s="15" t="s">
        <v>57</v>
      </c>
      <c r="E31" s="16">
        <v>150000</v>
      </c>
      <c r="F31" s="15">
        <v>96</v>
      </c>
      <c r="G31" s="16">
        <v>150000</v>
      </c>
      <c r="H31" s="11">
        <f>'First Calculations'!P30</f>
        <v>27279</v>
      </c>
      <c r="I31" s="12"/>
      <c r="J31" s="13">
        <f t="shared" si="0"/>
        <v>0.18185999999999999</v>
      </c>
      <c r="L31" t="str">
        <f t="shared" si="1"/>
        <v>20.c.ps.109.391  - The Tampa Theatre, Inc.  $27279</v>
      </c>
    </row>
    <row r="32" spans="1:12" ht="15.75" x14ac:dyDescent="0.25">
      <c r="A32" s="15">
        <v>30</v>
      </c>
      <c r="B32" s="15" t="s">
        <v>98</v>
      </c>
      <c r="C32" s="15" t="s">
        <v>99</v>
      </c>
      <c r="D32" s="15" t="s">
        <v>50</v>
      </c>
      <c r="E32" s="16">
        <v>82500</v>
      </c>
      <c r="F32" s="15">
        <v>95.856999999999999</v>
      </c>
      <c r="G32" s="16">
        <v>82500</v>
      </c>
      <c r="H32" s="11">
        <f>'First Calculations'!P31</f>
        <v>14988</v>
      </c>
      <c r="I32" s="12"/>
      <c r="J32" s="13">
        <f t="shared" si="0"/>
        <v>0.18167272727272726</v>
      </c>
      <c r="L32" t="str">
        <f t="shared" si="1"/>
        <v>20.c.ps.141.579  - Players by the Sea, Inc  $14988</v>
      </c>
    </row>
    <row r="33" spans="1:12" ht="15.75" x14ac:dyDescent="0.25">
      <c r="A33" s="15">
        <v>31</v>
      </c>
      <c r="B33" s="15" t="s">
        <v>100</v>
      </c>
      <c r="C33" s="15" t="s">
        <v>101</v>
      </c>
      <c r="D33" s="15" t="s">
        <v>102</v>
      </c>
      <c r="E33" s="16">
        <v>113500</v>
      </c>
      <c r="F33" s="15">
        <v>95.856999999999999</v>
      </c>
      <c r="G33" s="16">
        <v>113500</v>
      </c>
      <c r="H33" s="11">
        <f>'First Calculations'!P32</f>
        <v>20614</v>
      </c>
      <c r="I33" s="12"/>
      <c r="J33" s="13">
        <f t="shared" si="0"/>
        <v>0.18162114537444934</v>
      </c>
      <c r="L33" t="str">
        <f t="shared" si="1"/>
        <v>20.c.ps.141.236  - Pensacola Little Theatre, Inc.  $20614</v>
      </c>
    </row>
    <row r="34" spans="1:12" ht="15.75" x14ac:dyDescent="0.25">
      <c r="A34" s="15">
        <v>32</v>
      </c>
      <c r="B34" s="15" t="s">
        <v>103</v>
      </c>
      <c r="C34" s="15" t="s">
        <v>104</v>
      </c>
      <c r="D34" s="15" t="s">
        <v>39</v>
      </c>
      <c r="E34" s="16">
        <v>150000</v>
      </c>
      <c r="F34" s="15">
        <v>95.856999999999999</v>
      </c>
      <c r="G34" s="16">
        <v>150000</v>
      </c>
      <c r="H34" s="11">
        <f>'First Calculations'!P33</f>
        <v>27239</v>
      </c>
      <c r="I34" s="12"/>
      <c r="J34" s="13">
        <f t="shared" si="0"/>
        <v>0.18159333333333333</v>
      </c>
      <c r="L34" t="str">
        <f t="shared" si="1"/>
        <v>20.c.ps.180.309  - Raymond F. Kravis Center for the Performing Arts, Inc.  $27239</v>
      </c>
    </row>
    <row r="35" spans="1:12" ht="15.75" x14ac:dyDescent="0.25">
      <c r="A35" s="15">
        <v>33</v>
      </c>
      <c r="B35" s="15" t="s">
        <v>105</v>
      </c>
      <c r="C35" s="15" t="s">
        <v>106</v>
      </c>
      <c r="D35" s="15" t="s">
        <v>70</v>
      </c>
      <c r="E35" s="16">
        <v>90000</v>
      </c>
      <c r="F35" s="15">
        <v>95.856999999999999</v>
      </c>
      <c r="G35" s="16">
        <v>90000</v>
      </c>
      <c r="H35" s="11">
        <f>'First Calculations'!P34</f>
        <v>16349</v>
      </c>
      <c r="I35" s="12"/>
      <c r="J35" s="13">
        <f t="shared" si="0"/>
        <v>0.18165555555555554</v>
      </c>
      <c r="L35" t="str">
        <f t="shared" si="1"/>
        <v>20.c.ps.102.564  - Ocala Symphony Orchestra, Inc.  $16349</v>
      </c>
    </row>
    <row r="36" spans="1:12" ht="15.75" x14ac:dyDescent="0.25">
      <c r="A36" s="15">
        <v>34</v>
      </c>
      <c r="B36" s="15" t="s">
        <v>107</v>
      </c>
      <c r="C36" s="15" t="s">
        <v>108</v>
      </c>
      <c r="D36" s="15" t="s">
        <v>39</v>
      </c>
      <c r="E36" s="16">
        <v>150000</v>
      </c>
      <c r="F36" s="15">
        <v>95.832999999999998</v>
      </c>
      <c r="G36" s="16">
        <v>150000</v>
      </c>
      <c r="H36" s="11">
        <f>'First Calculations'!P35</f>
        <v>27232</v>
      </c>
      <c r="I36" s="12"/>
      <c r="J36" s="13">
        <f t="shared" si="0"/>
        <v>0.18154666666666666</v>
      </c>
      <c r="L36" t="str">
        <f t="shared" si="1"/>
        <v>20.c.ps.170.679  - Boca Raton Museum of Art, Inc.  $27232</v>
      </c>
    </row>
    <row r="37" spans="1:12" ht="15.75" x14ac:dyDescent="0.25">
      <c r="A37" s="15">
        <v>35</v>
      </c>
      <c r="B37" s="15" t="s">
        <v>109</v>
      </c>
      <c r="C37" s="15" t="s">
        <v>110</v>
      </c>
      <c r="D37" s="15" t="s">
        <v>39</v>
      </c>
      <c r="E37" s="16">
        <v>150000</v>
      </c>
      <c r="F37" s="15">
        <v>95.832999999999998</v>
      </c>
      <c r="G37" s="16">
        <v>150000</v>
      </c>
      <c r="H37" s="11">
        <f>'First Calculations'!P36</f>
        <v>27232</v>
      </c>
      <c r="I37" s="12"/>
      <c r="J37" s="13">
        <f t="shared" si="0"/>
        <v>0.18154666666666666</v>
      </c>
      <c r="L37" t="str">
        <f t="shared" si="1"/>
        <v>20.c.ps.142.343  - Maltz Jupiter Theatre, Inc.  $27232</v>
      </c>
    </row>
    <row r="38" spans="1:12" ht="15.75" x14ac:dyDescent="0.25">
      <c r="A38" s="15">
        <v>36</v>
      </c>
      <c r="B38" s="15" t="s">
        <v>111</v>
      </c>
      <c r="C38" s="15" t="s">
        <v>112</v>
      </c>
      <c r="D38" s="15" t="s">
        <v>36</v>
      </c>
      <c r="E38" s="16">
        <v>150000</v>
      </c>
      <c r="F38" s="15">
        <v>95.832999999999998</v>
      </c>
      <c r="G38" s="16">
        <v>150000</v>
      </c>
      <c r="H38" s="11">
        <f>'First Calculations'!P37</f>
        <v>27232</v>
      </c>
      <c r="I38" s="12"/>
      <c r="J38" s="13">
        <f t="shared" si="0"/>
        <v>0.18154666666666666</v>
      </c>
      <c r="L38" t="str">
        <f t="shared" si="1"/>
        <v>20.c.ps.170.495  - Museum of Discovery and Science, Inc.  $27232</v>
      </c>
    </row>
    <row r="39" spans="1:12" ht="15.75" x14ac:dyDescent="0.25">
      <c r="A39" s="15">
        <v>37</v>
      </c>
      <c r="B39" s="15" t="s">
        <v>113</v>
      </c>
      <c r="C39" s="15" t="s">
        <v>114</v>
      </c>
      <c r="D39" s="15" t="s">
        <v>115</v>
      </c>
      <c r="E39" s="16">
        <v>70300</v>
      </c>
      <c r="F39" s="15">
        <v>95.713999999999999</v>
      </c>
      <c r="G39" s="16">
        <v>70300</v>
      </c>
      <c r="H39" s="11">
        <f>'First Calculations'!P38</f>
        <v>12755</v>
      </c>
      <c r="I39" s="12"/>
      <c r="J39" s="13">
        <f t="shared" si="0"/>
        <v>0.18143669985775249</v>
      </c>
      <c r="L39" t="str">
        <f t="shared" si="1"/>
        <v>20.c.ps.141.378  - Tallahassee Little Theatre, Inc.  $12755</v>
      </c>
    </row>
    <row r="40" spans="1:12" ht="15.75" x14ac:dyDescent="0.25">
      <c r="A40" s="15">
        <v>38</v>
      </c>
      <c r="B40" s="15" t="s">
        <v>116</v>
      </c>
      <c r="C40" s="15" t="s">
        <v>117</v>
      </c>
      <c r="D40" s="15" t="s">
        <v>33</v>
      </c>
      <c r="E40" s="16">
        <v>90000</v>
      </c>
      <c r="F40" s="15">
        <v>95.713999999999999</v>
      </c>
      <c r="G40" s="16">
        <v>90000</v>
      </c>
      <c r="H40" s="11">
        <f>'First Calculations'!P39</f>
        <v>16325</v>
      </c>
      <c r="I40" s="12"/>
      <c r="J40" s="13">
        <f t="shared" si="0"/>
        <v>0.18138888888888888</v>
      </c>
      <c r="L40" t="str">
        <f t="shared" si="1"/>
        <v>20.c.ps.114.151  - The Hermitage Artist Retreat, Inc.  $16325</v>
      </c>
    </row>
    <row r="41" spans="1:12" ht="15.75" x14ac:dyDescent="0.25">
      <c r="A41" s="15">
        <v>39</v>
      </c>
      <c r="B41" s="15" t="s">
        <v>118</v>
      </c>
      <c r="C41" s="15" t="s">
        <v>119</v>
      </c>
      <c r="D41" s="15" t="s">
        <v>115</v>
      </c>
      <c r="E41" s="16">
        <v>150000</v>
      </c>
      <c r="F41" s="15">
        <v>95.713999999999999</v>
      </c>
      <c r="G41" s="16">
        <v>150000</v>
      </c>
      <c r="H41" s="11">
        <f>'First Calculations'!P40</f>
        <v>27198</v>
      </c>
      <c r="I41" s="12"/>
      <c r="J41" s="13">
        <f t="shared" si="0"/>
        <v>0.18132000000000001</v>
      </c>
      <c r="L41" t="str">
        <f t="shared" si="1"/>
        <v>20.c.ps.180.046  - Florida State University Foundation, Inc.  $27198</v>
      </c>
    </row>
    <row r="42" spans="1:12" ht="15.75" x14ac:dyDescent="0.25">
      <c r="A42" s="15">
        <v>40</v>
      </c>
      <c r="B42" s="15" t="s">
        <v>120</v>
      </c>
      <c r="C42" s="15" t="s">
        <v>121</v>
      </c>
      <c r="D42" s="15" t="s">
        <v>87</v>
      </c>
      <c r="E42" s="16">
        <v>150000</v>
      </c>
      <c r="F42" s="15">
        <v>95.713999999999999</v>
      </c>
      <c r="G42" s="16">
        <v>150000</v>
      </c>
      <c r="H42" s="11">
        <f>'First Calculations'!P41</f>
        <v>27198</v>
      </c>
      <c r="I42" s="12"/>
      <c r="J42" s="13">
        <f t="shared" si="0"/>
        <v>0.18132000000000001</v>
      </c>
      <c r="L42" t="str">
        <f t="shared" si="1"/>
        <v>20.c.ps.170.728  - Orlando Science Center, Inc.  $27198</v>
      </c>
    </row>
    <row r="43" spans="1:12" ht="15.75" x14ac:dyDescent="0.25">
      <c r="A43" s="15">
        <v>41</v>
      </c>
      <c r="B43" s="15" t="s">
        <v>122</v>
      </c>
      <c r="C43" s="15" t="s">
        <v>123</v>
      </c>
      <c r="D43" s="15" t="s">
        <v>124</v>
      </c>
      <c r="E43" s="16">
        <v>150000</v>
      </c>
      <c r="F43" s="15">
        <v>95.667000000000002</v>
      </c>
      <c r="G43" s="16">
        <v>150000</v>
      </c>
      <c r="H43" s="11">
        <f>'First Calculations'!P42</f>
        <v>27185</v>
      </c>
      <c r="I43" s="12"/>
      <c r="J43" s="13">
        <f t="shared" si="0"/>
        <v>0.18123333333333333</v>
      </c>
      <c r="L43" t="str">
        <f t="shared" si="1"/>
        <v>20.c.ps.142.523  - Florida Repertory Company, Inc.  $27185</v>
      </c>
    </row>
    <row r="44" spans="1:12" ht="15.75" x14ac:dyDescent="0.25">
      <c r="A44" s="15">
        <v>42</v>
      </c>
      <c r="B44" s="15" t="s">
        <v>125</v>
      </c>
      <c r="C44" s="15" t="s">
        <v>126</v>
      </c>
      <c r="D44" s="15" t="s">
        <v>80</v>
      </c>
      <c r="E44" s="16">
        <v>150000</v>
      </c>
      <c r="F44" s="15">
        <v>95.667000000000002</v>
      </c>
      <c r="G44" s="16">
        <v>150000</v>
      </c>
      <c r="H44" s="11">
        <f>'First Calculations'!P43</f>
        <v>27185</v>
      </c>
      <c r="I44" s="12"/>
      <c r="J44" s="13">
        <f t="shared" si="0"/>
        <v>0.18123333333333333</v>
      </c>
      <c r="L44" t="str">
        <f t="shared" si="1"/>
        <v>20.c.ps.170.552  - Great Explorations, Inc.  $27185</v>
      </c>
    </row>
    <row r="45" spans="1:12" ht="15.75" x14ac:dyDescent="0.25">
      <c r="A45" s="15">
        <v>43</v>
      </c>
      <c r="B45" s="15" t="s">
        <v>127</v>
      </c>
      <c r="C45" s="15" t="s">
        <v>128</v>
      </c>
      <c r="D45" s="15" t="s">
        <v>87</v>
      </c>
      <c r="E45" s="16">
        <v>15000</v>
      </c>
      <c r="F45" s="15">
        <v>95.6</v>
      </c>
      <c r="G45" s="16">
        <v>15000</v>
      </c>
      <c r="H45" s="11">
        <f>'First Calculations'!P44</f>
        <v>2730</v>
      </c>
      <c r="I45" s="12"/>
      <c r="J45" s="13">
        <f t="shared" si="0"/>
        <v>0.182</v>
      </c>
      <c r="L45" t="str">
        <f t="shared" si="1"/>
        <v>20.c.ps.200.431  - Central Florida Vocal Arts  $2730</v>
      </c>
    </row>
    <row r="46" spans="1:12" ht="15.75" x14ac:dyDescent="0.25">
      <c r="A46" s="15">
        <v>44</v>
      </c>
      <c r="B46" s="15" t="s">
        <v>129</v>
      </c>
      <c r="C46" s="15" t="s">
        <v>130</v>
      </c>
      <c r="D46" s="15" t="s">
        <v>80</v>
      </c>
      <c r="E46" s="16">
        <v>90000</v>
      </c>
      <c r="F46" s="15">
        <v>95.6</v>
      </c>
      <c r="G46" s="16">
        <v>90000</v>
      </c>
      <c r="H46" s="11">
        <f>'First Calculations'!P45</f>
        <v>16305</v>
      </c>
      <c r="I46" s="12"/>
      <c r="J46" s="13">
        <f t="shared" si="0"/>
        <v>0.18116666666666667</v>
      </c>
      <c r="L46" t="str">
        <f t="shared" si="1"/>
        <v>20.c.ps.105.233  - Florida Craftsmen  $16305</v>
      </c>
    </row>
    <row r="47" spans="1:12" ht="15.75" x14ac:dyDescent="0.25">
      <c r="A47" s="15">
        <v>45</v>
      </c>
      <c r="B47" s="15" t="s">
        <v>131</v>
      </c>
      <c r="C47" s="15" t="s">
        <v>132</v>
      </c>
      <c r="D47" s="15" t="s">
        <v>133</v>
      </c>
      <c r="E47" s="16">
        <v>150000</v>
      </c>
      <c r="F47" s="15">
        <v>95.570999999999998</v>
      </c>
      <c r="G47" s="16">
        <v>150000</v>
      </c>
      <c r="H47" s="11">
        <f>'First Calculations'!P46</f>
        <v>27157</v>
      </c>
      <c r="I47" s="12"/>
      <c r="J47" s="13">
        <f t="shared" si="0"/>
        <v>0.18104666666666666</v>
      </c>
      <c r="L47" t="str">
        <f t="shared" si="1"/>
        <v>20.c.ps.141.607  - The Manatee Players, Inc.  $27157</v>
      </c>
    </row>
    <row r="48" spans="1:12" ht="15.75" x14ac:dyDescent="0.25">
      <c r="A48" s="15">
        <v>46</v>
      </c>
      <c r="B48" s="15" t="s">
        <v>134</v>
      </c>
      <c r="C48" s="15" t="s">
        <v>135</v>
      </c>
      <c r="D48" s="15" t="s">
        <v>136</v>
      </c>
      <c r="E48" s="16">
        <v>78937</v>
      </c>
      <c r="F48" s="15">
        <v>95.570999999999998</v>
      </c>
      <c r="G48" s="16">
        <v>78937</v>
      </c>
      <c r="H48" s="11">
        <f>'First Calculations'!P47</f>
        <v>14299</v>
      </c>
      <c r="I48" s="12"/>
      <c r="J48" s="13">
        <f t="shared" si="0"/>
        <v>0.18114445697201567</v>
      </c>
      <c r="L48" t="str">
        <f t="shared" si="1"/>
        <v>20.c.ps.102.108  - The Imperial Symphony Orchestra, Inc.  $14299</v>
      </c>
    </row>
    <row r="49" spans="1:12" ht="15.75" x14ac:dyDescent="0.25">
      <c r="A49" s="15">
        <v>47</v>
      </c>
      <c r="B49" s="15" t="s">
        <v>137</v>
      </c>
      <c r="C49" s="15" t="s">
        <v>138</v>
      </c>
      <c r="D49" s="15" t="s">
        <v>28</v>
      </c>
      <c r="E49" s="16">
        <v>25000</v>
      </c>
      <c r="F49" s="15">
        <v>95.332999999999998</v>
      </c>
      <c r="G49" s="16">
        <v>25000</v>
      </c>
      <c r="H49" s="11">
        <f>'First Calculations'!P48</f>
        <v>4527</v>
      </c>
      <c r="I49" s="12"/>
      <c r="J49" s="13">
        <f t="shared" si="0"/>
        <v>0.18107999999999999</v>
      </c>
      <c r="L49" t="str">
        <f t="shared" si="1"/>
        <v>20.c.ps.170.707  - Institute of Contemporary Art, Miami  $4527</v>
      </c>
    </row>
    <row r="50" spans="1:12" ht="15.75" x14ac:dyDescent="0.25">
      <c r="A50" s="15">
        <v>48</v>
      </c>
      <c r="B50" s="15" t="s">
        <v>139</v>
      </c>
      <c r="C50" s="15" t="s">
        <v>140</v>
      </c>
      <c r="D50" s="15" t="s">
        <v>80</v>
      </c>
      <c r="E50" s="16">
        <v>40000</v>
      </c>
      <c r="F50" s="15">
        <v>95.332999999999998</v>
      </c>
      <c r="G50" s="16">
        <v>40000</v>
      </c>
      <c r="H50" s="11">
        <f>'First Calculations'!P49</f>
        <v>7235</v>
      </c>
      <c r="I50" s="12"/>
      <c r="J50" s="13">
        <f t="shared" si="0"/>
        <v>0.18087500000000001</v>
      </c>
      <c r="L50" t="str">
        <f t="shared" si="1"/>
        <v>20.c.ps.170.576  - Dunedin Museum, Inc.  $7235</v>
      </c>
    </row>
    <row r="51" spans="1:12" ht="15.75" x14ac:dyDescent="0.25">
      <c r="A51" s="15">
        <v>49</v>
      </c>
      <c r="B51" s="15" t="s">
        <v>141</v>
      </c>
      <c r="C51" s="15" t="s">
        <v>142</v>
      </c>
      <c r="D51" s="15" t="s">
        <v>87</v>
      </c>
      <c r="E51" s="16">
        <v>150000</v>
      </c>
      <c r="F51" s="15">
        <v>95.332999999999998</v>
      </c>
      <c r="G51" s="16">
        <v>150000</v>
      </c>
      <c r="H51" s="11">
        <f>'First Calculations'!P50</f>
        <v>27090</v>
      </c>
      <c r="I51" s="12"/>
      <c r="J51" s="13">
        <f t="shared" si="0"/>
        <v>0.18060000000000001</v>
      </c>
      <c r="L51" t="str">
        <f t="shared" si="1"/>
        <v>20.c.ps.500.507  - United Arts of Central Florida  $27090</v>
      </c>
    </row>
    <row r="52" spans="1:12" ht="15.75" x14ac:dyDescent="0.25">
      <c r="A52" s="15">
        <v>50</v>
      </c>
      <c r="B52" s="15" t="s">
        <v>143</v>
      </c>
      <c r="C52" s="15" t="s">
        <v>144</v>
      </c>
      <c r="D52" s="15" t="s">
        <v>28</v>
      </c>
      <c r="E52" s="16">
        <v>150000</v>
      </c>
      <c r="F52" s="15">
        <v>95.286000000000001</v>
      </c>
      <c r="G52" s="16">
        <v>150000</v>
      </c>
      <c r="H52" s="11">
        <f>'First Calculations'!P51</f>
        <v>27077</v>
      </c>
      <c r="I52" s="12"/>
      <c r="J52" s="13">
        <f t="shared" si="0"/>
        <v>0.18051333333333333</v>
      </c>
      <c r="L52" t="str">
        <f t="shared" si="1"/>
        <v>20.c.ps.170.641  - Vizcaya Museum and Gardens Trust, Inc.  $27077</v>
      </c>
    </row>
    <row r="53" spans="1:12" ht="15.75" x14ac:dyDescent="0.25">
      <c r="A53" s="15">
        <v>51</v>
      </c>
      <c r="B53" s="15" t="s">
        <v>145</v>
      </c>
      <c r="C53" s="15" t="s">
        <v>146</v>
      </c>
      <c r="D53" s="15" t="s">
        <v>87</v>
      </c>
      <c r="E53" s="16">
        <v>46100</v>
      </c>
      <c r="F53" s="15">
        <v>95.286000000000001</v>
      </c>
      <c r="G53" s="16">
        <v>46100</v>
      </c>
      <c r="H53" s="11">
        <f>'First Calculations'!P52</f>
        <v>8332</v>
      </c>
      <c r="I53" s="12"/>
      <c r="J53" s="13">
        <f t="shared" si="0"/>
        <v>0.18073752711496746</v>
      </c>
      <c r="L53" t="str">
        <f t="shared" si="1"/>
        <v>20.c.ps.102.689  - Florida Symphony Youth Orchestra, Inc.  $8332</v>
      </c>
    </row>
    <row r="54" spans="1:12" ht="15.75" x14ac:dyDescent="0.25">
      <c r="A54" s="15">
        <v>52</v>
      </c>
      <c r="B54" s="15" t="s">
        <v>147</v>
      </c>
      <c r="C54" s="15" t="s">
        <v>148</v>
      </c>
      <c r="D54" s="15" t="s">
        <v>36</v>
      </c>
      <c r="E54" s="16">
        <v>120000</v>
      </c>
      <c r="F54" s="15">
        <v>95.286000000000001</v>
      </c>
      <c r="G54" s="16">
        <v>120000</v>
      </c>
      <c r="H54" s="11">
        <f>'First Calculations'!P53</f>
        <v>21664</v>
      </c>
      <c r="I54" s="12"/>
      <c r="J54" s="13">
        <f t="shared" si="0"/>
        <v>0.18053333333333332</v>
      </c>
      <c r="L54" t="str">
        <f t="shared" si="1"/>
        <v>20.c.ps.114.176  - Hollywood Art and Culture Center, Inc.  $21664</v>
      </c>
    </row>
    <row r="55" spans="1:12" ht="15.75" x14ac:dyDescent="0.25">
      <c r="A55" s="15">
        <v>53</v>
      </c>
      <c r="B55" s="15" t="s">
        <v>149</v>
      </c>
      <c r="C55" s="15" t="s">
        <v>150</v>
      </c>
      <c r="D55" s="15" t="s">
        <v>87</v>
      </c>
      <c r="E55" s="16">
        <v>150000</v>
      </c>
      <c r="F55" s="15">
        <v>95.25</v>
      </c>
      <c r="G55" s="16">
        <v>150000</v>
      </c>
      <c r="H55" s="11">
        <f>'First Calculations'!P54</f>
        <v>27066</v>
      </c>
      <c r="I55" s="12"/>
      <c r="J55" s="13">
        <f t="shared" si="0"/>
        <v>0.18043999999999999</v>
      </c>
      <c r="L55" t="str">
        <f t="shared" si="1"/>
        <v>20.c.ps.109.634  - Enzian Theatre, Inc.  $27066</v>
      </c>
    </row>
    <row r="56" spans="1:12" ht="15.75" x14ac:dyDescent="0.25">
      <c r="A56" s="15">
        <v>54</v>
      </c>
      <c r="B56" s="15" t="s">
        <v>151</v>
      </c>
      <c r="C56" s="15" t="s">
        <v>152</v>
      </c>
      <c r="D56" s="15" t="s">
        <v>115</v>
      </c>
      <c r="E56" s="16">
        <v>100651</v>
      </c>
      <c r="F56" s="15">
        <v>95.25</v>
      </c>
      <c r="G56" s="16">
        <v>100651</v>
      </c>
      <c r="H56" s="11">
        <f>'First Calculations'!P55</f>
        <v>18167</v>
      </c>
      <c r="I56" s="12"/>
      <c r="J56" s="13">
        <f t="shared" si="0"/>
        <v>0.18049497769520423</v>
      </c>
      <c r="L56" t="str">
        <f t="shared" si="1"/>
        <v>20.c.ps.102.164  - Tallahassee Symphony Orchestra, Inc.  $18167</v>
      </c>
    </row>
    <row r="57" spans="1:12" ht="15.75" x14ac:dyDescent="0.25">
      <c r="A57" s="15">
        <v>55</v>
      </c>
      <c r="B57" s="15" t="s">
        <v>153</v>
      </c>
      <c r="C57" s="15" t="s">
        <v>154</v>
      </c>
      <c r="D57" s="15" t="s">
        <v>50</v>
      </c>
      <c r="E57" s="16">
        <v>150000</v>
      </c>
      <c r="F57" s="15">
        <v>95.143000000000001</v>
      </c>
      <c r="G57" s="16">
        <v>150000</v>
      </c>
      <c r="H57" s="11">
        <f>'First Calculations'!P56</f>
        <v>27036</v>
      </c>
      <c r="I57" s="12"/>
      <c r="J57" s="13">
        <f t="shared" si="0"/>
        <v>0.18024000000000001</v>
      </c>
      <c r="L57" t="str">
        <f t="shared" si="1"/>
        <v>20.c.ps.170.281  - The DeEtte Holden Cummer Museum Foundation, Inc.  $27036</v>
      </c>
    </row>
    <row r="58" spans="1:12" ht="15.75" x14ac:dyDescent="0.25">
      <c r="A58" s="15">
        <v>56</v>
      </c>
      <c r="B58" s="15" t="s">
        <v>155</v>
      </c>
      <c r="C58" s="15" t="s">
        <v>156</v>
      </c>
      <c r="D58" s="15" t="s">
        <v>64</v>
      </c>
      <c r="E58" s="16">
        <v>150000</v>
      </c>
      <c r="F58" s="15">
        <v>95.143000000000001</v>
      </c>
      <c r="G58" s="16">
        <v>150000</v>
      </c>
      <c r="H58" s="11">
        <f>'First Calculations'!P57</f>
        <v>27036</v>
      </c>
      <c r="I58" s="12"/>
      <c r="J58" s="13">
        <f t="shared" si="0"/>
        <v>0.18024000000000001</v>
      </c>
      <c r="L58" t="str">
        <f t="shared" si="1"/>
        <v>20.c.ps.114.096  - Artis—Naples, Inc.  $27036</v>
      </c>
    </row>
    <row r="59" spans="1:12" ht="15.75" x14ac:dyDescent="0.25">
      <c r="A59" s="15">
        <v>57</v>
      </c>
      <c r="B59" s="15" t="s">
        <v>157</v>
      </c>
      <c r="C59" s="15" t="s">
        <v>158</v>
      </c>
      <c r="D59" s="15" t="s">
        <v>36</v>
      </c>
      <c r="E59" s="16">
        <v>149727</v>
      </c>
      <c r="F59" s="15">
        <v>95</v>
      </c>
      <c r="G59" s="16">
        <v>149727</v>
      </c>
      <c r="H59" s="11">
        <f>'First Calculations'!P58</f>
        <v>26946</v>
      </c>
      <c r="I59" s="12"/>
      <c r="J59" s="13">
        <f t="shared" si="0"/>
        <v>0.17996754092448256</v>
      </c>
      <c r="L59" t="str">
        <f t="shared" si="1"/>
        <v>20.c.ps.114.453  - ArtServe, Inc.  $26946</v>
      </c>
    </row>
    <row r="60" spans="1:12" ht="15.75" x14ac:dyDescent="0.25">
      <c r="A60" s="15">
        <v>58</v>
      </c>
      <c r="B60" s="15" t="s">
        <v>159</v>
      </c>
      <c r="C60" s="15" t="s">
        <v>160</v>
      </c>
      <c r="D60" s="15" t="s">
        <v>33</v>
      </c>
      <c r="E60" s="16">
        <v>141228</v>
      </c>
      <c r="F60" s="15">
        <v>95</v>
      </c>
      <c r="G60" s="16">
        <v>141228</v>
      </c>
      <c r="H60" s="11">
        <f>'First Calculations'!P59</f>
        <v>25418</v>
      </c>
      <c r="I60" s="12"/>
      <c r="J60" s="13">
        <f t="shared" si="0"/>
        <v>0.1799784745234656</v>
      </c>
      <c r="L60" t="str">
        <f t="shared" si="1"/>
        <v>20.c.ps.141.133  - The Players, Inc.  $25418</v>
      </c>
    </row>
    <row r="61" spans="1:12" ht="25.5" x14ac:dyDescent="0.25">
      <c r="A61" s="15">
        <v>59</v>
      </c>
      <c r="B61" s="15" t="s">
        <v>161</v>
      </c>
      <c r="C61" s="15" t="s">
        <v>162</v>
      </c>
      <c r="D61" s="15" t="s">
        <v>57</v>
      </c>
      <c r="E61" s="16">
        <v>77912</v>
      </c>
      <c r="F61" s="15">
        <v>95</v>
      </c>
      <c r="G61" s="16">
        <v>77912</v>
      </c>
      <c r="H61" s="11">
        <f>'First Calculations'!P60</f>
        <v>14029</v>
      </c>
      <c r="I61" s="12"/>
      <c r="J61" s="13">
        <f t="shared" si="0"/>
        <v>0.18006212136769689</v>
      </c>
      <c r="L61" t="str">
        <f t="shared" si="1"/>
        <v>20.c.ps.170.243  - The University of Tampa, Incorporated  $14029</v>
      </c>
    </row>
    <row r="62" spans="1:12" ht="25.5" x14ac:dyDescent="0.25">
      <c r="A62" s="15">
        <v>60</v>
      </c>
      <c r="B62" s="15" t="s">
        <v>163</v>
      </c>
      <c r="C62" s="15" t="s">
        <v>164</v>
      </c>
      <c r="D62" s="15" t="s">
        <v>57</v>
      </c>
      <c r="E62" s="16">
        <v>28000</v>
      </c>
      <c r="F62" s="15">
        <v>95</v>
      </c>
      <c r="G62" s="16">
        <v>28000</v>
      </c>
      <c r="H62" s="11">
        <f>'First Calculations'!P61</f>
        <v>5051</v>
      </c>
      <c r="I62" s="12"/>
      <c r="J62" s="13">
        <f t="shared" si="0"/>
        <v>0.18039285714285713</v>
      </c>
      <c r="L62" t="str">
        <f t="shared" si="1"/>
        <v>20.c.ps.102.427  - FloriMezzo, Inc.  $5051</v>
      </c>
    </row>
    <row r="63" spans="1:12" ht="15.75" x14ac:dyDescent="0.25">
      <c r="A63" s="15">
        <v>61</v>
      </c>
      <c r="B63" s="15" t="s">
        <v>165</v>
      </c>
      <c r="C63" s="15" t="s">
        <v>166</v>
      </c>
      <c r="D63" s="15" t="s">
        <v>28</v>
      </c>
      <c r="E63" s="16">
        <v>150000</v>
      </c>
      <c r="F63" s="15">
        <v>95</v>
      </c>
      <c r="G63" s="16">
        <v>150000</v>
      </c>
      <c r="H63" s="11">
        <f>'First Calculations'!P62</f>
        <v>26995</v>
      </c>
      <c r="I63" s="12"/>
      <c r="J63" s="13">
        <f t="shared" si="0"/>
        <v>0.17996666666666666</v>
      </c>
      <c r="L63" t="str">
        <f t="shared" si="1"/>
        <v>20.c.ps.102.602  - Seraphic Fire, Inc.  $26995</v>
      </c>
    </row>
    <row r="64" spans="1:12" ht="15.75" x14ac:dyDescent="0.25">
      <c r="A64" s="15">
        <v>62</v>
      </c>
      <c r="B64" s="15" t="s">
        <v>167</v>
      </c>
      <c r="C64" s="15" t="s">
        <v>168</v>
      </c>
      <c r="D64" s="15" t="s">
        <v>169</v>
      </c>
      <c r="E64" s="16">
        <v>62107</v>
      </c>
      <c r="F64" s="15">
        <v>95</v>
      </c>
      <c r="G64" s="16">
        <v>62107</v>
      </c>
      <c r="H64" s="11">
        <f>'First Calculations'!P63</f>
        <v>11186</v>
      </c>
      <c r="I64" s="12"/>
      <c r="J64" s="13">
        <f t="shared" si="0"/>
        <v>0.18010852238878064</v>
      </c>
      <c r="L64" t="str">
        <f t="shared" si="1"/>
        <v>20.c.ps.105.029  - Gadsden Arts, Inc.  $11186</v>
      </c>
    </row>
    <row r="65" spans="1:12" ht="15.75" x14ac:dyDescent="0.25">
      <c r="A65" s="15">
        <v>63</v>
      </c>
      <c r="B65" s="15" t="s">
        <v>170</v>
      </c>
      <c r="C65" s="15" t="s">
        <v>171</v>
      </c>
      <c r="D65" s="15" t="s">
        <v>172</v>
      </c>
      <c r="E65" s="16">
        <v>150000</v>
      </c>
      <c r="F65" s="15">
        <v>95</v>
      </c>
      <c r="G65" s="16">
        <v>150000</v>
      </c>
      <c r="H65" s="11">
        <f>'First Calculations'!P64</f>
        <v>26995</v>
      </c>
      <c r="I65" s="12"/>
      <c r="J65" s="13">
        <f t="shared" si="0"/>
        <v>0.17996666666666666</v>
      </c>
      <c r="L65" t="str">
        <f t="shared" si="1"/>
        <v>20.c.ps.142.647  - Riverside Theatre, Inc.  $26995</v>
      </c>
    </row>
    <row r="66" spans="1:12" ht="15.75" x14ac:dyDescent="0.25">
      <c r="A66" s="15">
        <v>64</v>
      </c>
      <c r="B66" s="15" t="s">
        <v>173</v>
      </c>
      <c r="C66" s="15" t="s">
        <v>174</v>
      </c>
      <c r="D66" s="15" t="s">
        <v>39</v>
      </c>
      <c r="E66" s="16">
        <v>150000</v>
      </c>
      <c r="F66" s="15">
        <v>95</v>
      </c>
      <c r="G66" s="16">
        <v>150000</v>
      </c>
      <c r="H66" s="11">
        <f>'First Calculations'!P65</f>
        <v>26995</v>
      </c>
      <c r="I66" s="12"/>
      <c r="J66" s="13">
        <f t="shared" si="0"/>
        <v>0.17996666666666666</v>
      </c>
      <c r="L66" t="str">
        <f t="shared" si="1"/>
        <v>20.c.ps.102.242  - Palm Beach Opera, Inc.  $26995</v>
      </c>
    </row>
    <row r="67" spans="1:12" ht="15.75" x14ac:dyDescent="0.25">
      <c r="A67" s="15">
        <v>65</v>
      </c>
      <c r="B67" s="15" t="s">
        <v>175</v>
      </c>
      <c r="C67" s="15" t="s">
        <v>176</v>
      </c>
      <c r="D67" s="15" t="s">
        <v>87</v>
      </c>
      <c r="E67" s="16">
        <v>100950</v>
      </c>
      <c r="F67" s="15">
        <v>94.856999999999999</v>
      </c>
      <c r="G67" s="16">
        <v>100950</v>
      </c>
      <c r="H67" s="11">
        <f>'First Calculations'!P66</f>
        <v>18145</v>
      </c>
      <c r="I67" s="12"/>
      <c r="J67" s="13">
        <f t="shared" ref="J67:J129" si="2">H67/E67</f>
        <v>0.17974244675581971</v>
      </c>
      <c r="L67" t="str">
        <f t="shared" si="1"/>
        <v>20.c.ps.170.490  - Holocaust Memorial Resource and Education Center of Florida, Inc.  $18145</v>
      </c>
    </row>
    <row r="68" spans="1:12" ht="15.75" x14ac:dyDescent="0.25">
      <c r="A68" s="15">
        <v>66</v>
      </c>
      <c r="B68" s="15" t="s">
        <v>177</v>
      </c>
      <c r="C68" s="15" t="s">
        <v>178</v>
      </c>
      <c r="D68" s="15" t="s">
        <v>90</v>
      </c>
      <c r="E68" s="16">
        <v>110000</v>
      </c>
      <c r="F68" s="15">
        <v>94.856999999999999</v>
      </c>
      <c r="G68" s="16">
        <v>110000</v>
      </c>
      <c r="H68" s="11">
        <f>'First Calculations'!P67</f>
        <v>19771</v>
      </c>
      <c r="I68" s="12"/>
      <c r="J68" s="13">
        <f t="shared" si="2"/>
        <v>0.17973636363636364</v>
      </c>
      <c r="L68" t="str">
        <f t="shared" ref="L68:L131" si="3">B68&amp;" - "&amp;C68&amp;" $"&amp;H68</f>
        <v>20.c.ps.141.249  - Titusville Playhouse, Inc.  $19771</v>
      </c>
    </row>
    <row r="69" spans="1:12" ht="15.75" x14ac:dyDescent="0.25">
      <c r="A69" s="15">
        <v>67</v>
      </c>
      <c r="B69" s="15" t="s">
        <v>179</v>
      </c>
      <c r="C69" s="15" t="s">
        <v>180</v>
      </c>
      <c r="D69" s="15" t="s">
        <v>87</v>
      </c>
      <c r="E69" s="16">
        <v>129724</v>
      </c>
      <c r="F69" s="15">
        <v>94.856999999999999</v>
      </c>
      <c r="G69" s="16">
        <v>129724</v>
      </c>
      <c r="H69" s="11">
        <f>'First Calculations'!P68</f>
        <v>23313</v>
      </c>
      <c r="I69" s="12"/>
      <c r="J69" s="13">
        <f t="shared" si="2"/>
        <v>0.17971231229379298</v>
      </c>
      <c r="L69" t="str">
        <f t="shared" si="3"/>
        <v>20.c.ps.114.441  - Central Florida Community Arts, Inc.  $23313</v>
      </c>
    </row>
    <row r="70" spans="1:12" ht="15.75" x14ac:dyDescent="0.25">
      <c r="A70" s="15">
        <v>68</v>
      </c>
      <c r="B70" s="15" t="s">
        <v>181</v>
      </c>
      <c r="C70" s="15" t="s">
        <v>182</v>
      </c>
      <c r="D70" s="15" t="s">
        <v>64</v>
      </c>
      <c r="E70" s="16">
        <v>150000</v>
      </c>
      <c r="F70" s="15">
        <v>94.856999999999999</v>
      </c>
      <c r="G70" s="16">
        <v>150000</v>
      </c>
      <c r="H70" s="11">
        <f>'First Calculations'!P69</f>
        <v>26955</v>
      </c>
      <c r="I70" s="12"/>
      <c r="J70" s="13">
        <f t="shared" si="2"/>
        <v>0.1797</v>
      </c>
      <c r="L70" t="str">
        <f t="shared" si="3"/>
        <v>20.c.ps.170.458  - Conservancy of Southwest Florida, Inc.  $26955</v>
      </c>
    </row>
    <row r="71" spans="1:12" ht="15.75" x14ac:dyDescent="0.25">
      <c r="A71" s="15">
        <v>69</v>
      </c>
      <c r="B71" s="15" t="s">
        <v>183</v>
      </c>
      <c r="C71" s="15" t="s">
        <v>184</v>
      </c>
      <c r="D71" s="15" t="s">
        <v>28</v>
      </c>
      <c r="E71" s="16">
        <v>150000</v>
      </c>
      <c r="F71" s="15">
        <v>94.832999999999998</v>
      </c>
      <c r="G71" s="16">
        <v>150000</v>
      </c>
      <c r="H71" s="11">
        <f>'First Calculations'!P70</f>
        <v>26948</v>
      </c>
      <c r="I71" s="12"/>
      <c r="J71" s="13">
        <f t="shared" si="2"/>
        <v>0.17965333333333333</v>
      </c>
      <c r="L71" t="str">
        <f t="shared" si="3"/>
        <v>20.c.ps.170.398  - Zoo Miami Foundation  $26948</v>
      </c>
    </row>
    <row r="72" spans="1:12" ht="15.75" x14ac:dyDescent="0.25">
      <c r="A72" s="15">
        <v>70</v>
      </c>
      <c r="B72" s="15" t="s">
        <v>185</v>
      </c>
      <c r="C72" s="15" t="s">
        <v>186</v>
      </c>
      <c r="D72" s="15" t="s">
        <v>67</v>
      </c>
      <c r="E72" s="16">
        <v>150000</v>
      </c>
      <c r="F72" s="15">
        <v>94.832999999999998</v>
      </c>
      <c r="G72" s="16">
        <v>150000</v>
      </c>
      <c r="H72" s="11">
        <f>'First Calculations'!P71</f>
        <v>26948</v>
      </c>
      <c r="I72" s="12"/>
      <c r="J72" s="13">
        <f t="shared" si="2"/>
        <v>0.17965333333333333</v>
      </c>
      <c r="L72" t="str">
        <f t="shared" si="3"/>
        <v>20.c.ps.170.116  - University of Florida   $26948</v>
      </c>
    </row>
    <row r="73" spans="1:12" ht="15.75" x14ac:dyDescent="0.25">
      <c r="A73" s="15">
        <v>71</v>
      </c>
      <c r="B73" s="15" t="s">
        <v>187</v>
      </c>
      <c r="C73" s="15" t="s">
        <v>188</v>
      </c>
      <c r="D73" s="15" t="s">
        <v>39</v>
      </c>
      <c r="E73" s="16">
        <v>150000</v>
      </c>
      <c r="F73" s="15">
        <v>94.832999999999998</v>
      </c>
      <c r="G73" s="16">
        <v>150000</v>
      </c>
      <c r="H73" s="11">
        <f>'First Calculations'!P72</f>
        <v>26948</v>
      </c>
      <c r="I73" s="12"/>
      <c r="J73" s="13">
        <f t="shared" si="2"/>
        <v>0.17965333333333333</v>
      </c>
      <c r="L73" t="str">
        <f t="shared" si="3"/>
        <v>20.c.ps.142.527  - Palm Beach Dramaworks, Inc.  $26948</v>
      </c>
    </row>
    <row r="74" spans="1:12" ht="15.75" x14ac:dyDescent="0.25">
      <c r="A74" s="15">
        <v>72</v>
      </c>
      <c r="B74" s="15" t="s">
        <v>189</v>
      </c>
      <c r="C74" s="15" t="s">
        <v>190</v>
      </c>
      <c r="D74" s="15" t="s">
        <v>136</v>
      </c>
      <c r="E74" s="16">
        <v>25000</v>
      </c>
      <c r="F74" s="15">
        <v>94.832999999999998</v>
      </c>
      <c r="G74" s="16">
        <v>25000</v>
      </c>
      <c r="H74" s="11">
        <f>'First Calculations'!P73</f>
        <v>4504</v>
      </c>
      <c r="I74" s="12"/>
      <c r="J74" s="13">
        <f t="shared" si="2"/>
        <v>0.18015999999999999</v>
      </c>
      <c r="L74" t="str">
        <f t="shared" si="3"/>
        <v>20.c.ps.170.081  - City of Lake Wales  $4504</v>
      </c>
    </row>
    <row r="75" spans="1:12" ht="15.75" x14ac:dyDescent="0.25">
      <c r="A75" s="15">
        <v>73</v>
      </c>
      <c r="B75" s="15" t="s">
        <v>191</v>
      </c>
      <c r="C75" s="15" t="s">
        <v>192</v>
      </c>
      <c r="D75" s="15" t="s">
        <v>50</v>
      </c>
      <c r="E75" s="16">
        <v>150000</v>
      </c>
      <c r="F75" s="15">
        <v>94.832999999999998</v>
      </c>
      <c r="G75" s="16">
        <v>150000</v>
      </c>
      <c r="H75" s="11">
        <f>'First Calculations'!P74</f>
        <v>26948</v>
      </c>
      <c r="I75" s="12"/>
      <c r="J75" s="13">
        <f t="shared" si="2"/>
        <v>0.17965333333333333</v>
      </c>
      <c r="L75" t="str">
        <f t="shared" si="3"/>
        <v>20.c.ps.170.092  - Museum of Science and History of Jacksonville, Inc.  $26948</v>
      </c>
    </row>
    <row r="76" spans="1:12" ht="15.75" x14ac:dyDescent="0.25">
      <c r="A76" s="15">
        <v>74</v>
      </c>
      <c r="B76" s="15" t="s">
        <v>193</v>
      </c>
      <c r="C76" s="15" t="s">
        <v>194</v>
      </c>
      <c r="D76" s="15" t="s">
        <v>28</v>
      </c>
      <c r="E76" s="16">
        <v>101805</v>
      </c>
      <c r="F76" s="15">
        <v>94.832999999999998</v>
      </c>
      <c r="G76" s="16">
        <v>101805</v>
      </c>
      <c r="H76" s="11">
        <f>'First Calculations'!P75</f>
        <v>18294</v>
      </c>
      <c r="I76" s="12"/>
      <c r="J76" s="13">
        <f t="shared" si="2"/>
        <v>0.17969647856195667</v>
      </c>
      <c r="L76" t="str">
        <f t="shared" si="3"/>
        <v>20.c.ps.142.437  - Fantasy Theatre Factory, Inc.  $18294</v>
      </c>
    </row>
    <row r="77" spans="1:12" ht="15.75" x14ac:dyDescent="0.25">
      <c r="A77" s="15">
        <v>75</v>
      </c>
      <c r="B77" s="15" t="s">
        <v>195</v>
      </c>
      <c r="C77" s="15" t="s">
        <v>196</v>
      </c>
      <c r="D77" s="15" t="s">
        <v>36</v>
      </c>
      <c r="E77" s="16">
        <v>50000</v>
      </c>
      <c r="F77" s="15">
        <v>94.832999999999998</v>
      </c>
      <c r="G77" s="16">
        <v>50000</v>
      </c>
      <c r="H77" s="11">
        <f>'First Calculations'!P76</f>
        <v>8993</v>
      </c>
      <c r="I77" s="12"/>
      <c r="J77" s="13">
        <f t="shared" si="2"/>
        <v>0.17985999999999999</v>
      </c>
      <c r="L77" t="str">
        <f t="shared" si="3"/>
        <v>20.c.ps.180.195  - Gold Coast Jazz Society, Inc.  $8993</v>
      </c>
    </row>
    <row r="78" spans="1:12" ht="15.75" x14ac:dyDescent="0.25">
      <c r="A78" s="15">
        <v>76</v>
      </c>
      <c r="B78" s="15" t="s">
        <v>197</v>
      </c>
      <c r="C78" s="15" t="s">
        <v>198</v>
      </c>
      <c r="D78" s="15" t="s">
        <v>87</v>
      </c>
      <c r="E78" s="16">
        <v>65000</v>
      </c>
      <c r="F78" s="15">
        <v>94.713999999999999</v>
      </c>
      <c r="G78" s="16">
        <v>65000</v>
      </c>
      <c r="H78" s="11">
        <f>'First Calculations'!P77</f>
        <v>11671</v>
      </c>
      <c r="I78" s="12"/>
      <c r="J78" s="13">
        <f t="shared" si="2"/>
        <v>0.17955384615384615</v>
      </c>
      <c r="L78" t="str">
        <f t="shared" si="3"/>
        <v>20.c.ps.170.158  - Friends of the Mennello Museum of American Art, Inc.  $11671</v>
      </c>
    </row>
    <row r="79" spans="1:12" ht="15.75" x14ac:dyDescent="0.25">
      <c r="A79" s="15">
        <v>77</v>
      </c>
      <c r="B79" s="15" t="s">
        <v>199</v>
      </c>
      <c r="C79" s="15" t="s">
        <v>186</v>
      </c>
      <c r="D79" s="15" t="s">
        <v>67</v>
      </c>
      <c r="E79" s="16">
        <v>132500</v>
      </c>
      <c r="F79" s="15">
        <v>94.713999999999999</v>
      </c>
      <c r="G79" s="16">
        <v>132500</v>
      </c>
      <c r="H79" s="11">
        <f>'First Calculations'!P78</f>
        <v>23776</v>
      </c>
      <c r="I79" s="12"/>
      <c r="J79" s="13">
        <f t="shared" si="2"/>
        <v>0.17944150943396225</v>
      </c>
      <c r="L79" t="str">
        <f t="shared" si="3"/>
        <v>20.c.ps.114.207  - University of Florida   $23776</v>
      </c>
    </row>
    <row r="80" spans="1:12" ht="15.75" x14ac:dyDescent="0.25">
      <c r="A80" s="15">
        <v>78</v>
      </c>
      <c r="B80" s="15" t="s">
        <v>200</v>
      </c>
      <c r="C80" s="15" t="s">
        <v>201</v>
      </c>
      <c r="D80" s="15" t="s">
        <v>39</v>
      </c>
      <c r="E80" s="16">
        <v>150000</v>
      </c>
      <c r="F80" s="15">
        <v>94.713999999999999</v>
      </c>
      <c r="G80" s="16">
        <v>150000</v>
      </c>
      <c r="H80" s="11">
        <f>'First Calculations'!P79</f>
        <v>26914</v>
      </c>
      <c r="I80" s="12"/>
      <c r="J80" s="13">
        <f t="shared" si="2"/>
        <v>0.17942666666666668</v>
      </c>
      <c r="L80" t="str">
        <f t="shared" si="3"/>
        <v>20.c.ps.170.345  - The Henry Morrison Flagler Museum  $26914</v>
      </c>
    </row>
    <row r="81" spans="1:12" ht="15.75" x14ac:dyDescent="0.25">
      <c r="A81" s="15">
        <v>79</v>
      </c>
      <c r="B81" s="15" t="s">
        <v>202</v>
      </c>
      <c r="C81" s="15" t="s">
        <v>203</v>
      </c>
      <c r="D81" s="15" t="s">
        <v>36</v>
      </c>
      <c r="E81" s="16">
        <v>150000</v>
      </c>
      <c r="F81" s="15">
        <v>94.713999999999999</v>
      </c>
      <c r="G81" s="16">
        <v>150000</v>
      </c>
      <c r="H81" s="11">
        <f>'First Calculations'!P80</f>
        <v>26914</v>
      </c>
      <c r="I81" s="12"/>
      <c r="J81" s="13">
        <f t="shared" si="2"/>
        <v>0.17942666666666668</v>
      </c>
      <c r="L81" t="str">
        <f t="shared" si="3"/>
        <v>20.c.ps.114.410  - City of Pembroke Pines  $26914</v>
      </c>
    </row>
    <row r="82" spans="1:12" ht="15.75" x14ac:dyDescent="0.25">
      <c r="A82" s="15">
        <v>80</v>
      </c>
      <c r="B82" s="15" t="s">
        <v>204</v>
      </c>
      <c r="C82" s="15" t="s">
        <v>205</v>
      </c>
      <c r="D82" s="15" t="s">
        <v>87</v>
      </c>
      <c r="E82" s="16">
        <v>150000</v>
      </c>
      <c r="F82" s="15">
        <v>94.667000000000002</v>
      </c>
      <c r="G82" s="16">
        <v>150000</v>
      </c>
      <c r="H82" s="11">
        <f>'First Calculations'!P81</f>
        <v>26901</v>
      </c>
      <c r="I82" s="12"/>
      <c r="J82" s="13">
        <f t="shared" si="2"/>
        <v>0.17934</v>
      </c>
      <c r="L82" t="str">
        <f t="shared" si="3"/>
        <v>20.c.ps.142.554  - Orlando Repertory Theatre, Inc.  $26901</v>
      </c>
    </row>
    <row r="83" spans="1:12" ht="15.75" x14ac:dyDescent="0.25">
      <c r="A83" s="15">
        <v>81</v>
      </c>
      <c r="B83" s="15" t="s">
        <v>206</v>
      </c>
      <c r="C83" s="15" t="s">
        <v>207</v>
      </c>
      <c r="D83" s="15" t="s">
        <v>124</v>
      </c>
      <c r="E83" s="16">
        <v>126450</v>
      </c>
      <c r="F83" s="15">
        <v>94.625</v>
      </c>
      <c r="G83" s="16">
        <v>126450</v>
      </c>
      <c r="H83" s="11">
        <f>'First Calculations'!P82</f>
        <v>22670</v>
      </c>
      <c r="I83" s="12"/>
      <c r="J83" s="13">
        <f t="shared" si="2"/>
        <v>0.17928034796362199</v>
      </c>
      <c r="L83" t="str">
        <f t="shared" si="3"/>
        <v>20.c.ps.102.659  - Gulf Coast Symphony Orchestra, Inc.  $22670</v>
      </c>
    </row>
    <row r="84" spans="1:12" ht="15.75" x14ac:dyDescent="0.25">
      <c r="A84" s="15">
        <v>82</v>
      </c>
      <c r="B84" s="15" t="s">
        <v>208</v>
      </c>
      <c r="C84" s="15" t="s">
        <v>209</v>
      </c>
      <c r="D84" s="15" t="s">
        <v>73</v>
      </c>
      <c r="E84" s="16">
        <v>42011</v>
      </c>
      <c r="F84" s="15">
        <v>94.6</v>
      </c>
      <c r="G84" s="16">
        <v>42011</v>
      </c>
      <c r="H84" s="11">
        <f>'First Calculations'!P83</f>
        <v>7540</v>
      </c>
      <c r="I84" s="12"/>
      <c r="J84" s="13">
        <f t="shared" si="2"/>
        <v>0.17947680369427055</v>
      </c>
      <c r="L84" t="str">
        <f t="shared" si="3"/>
        <v>20.c.ps.105.344  - Images, A Festival of the Arts, Inc.  $7540</v>
      </c>
    </row>
    <row r="85" spans="1:12" ht="15.75" x14ac:dyDescent="0.25">
      <c r="A85" s="15">
        <v>83</v>
      </c>
      <c r="B85" s="15" t="s">
        <v>210</v>
      </c>
      <c r="C85" s="15" t="s">
        <v>211</v>
      </c>
      <c r="D85" s="15" t="s">
        <v>28</v>
      </c>
      <c r="E85" s="16">
        <v>150000</v>
      </c>
      <c r="F85" s="15">
        <v>94.570999999999998</v>
      </c>
      <c r="G85" s="16">
        <v>150000</v>
      </c>
      <c r="H85" s="11">
        <f>'First Calculations'!P84</f>
        <v>26873</v>
      </c>
      <c r="I85" s="12"/>
      <c r="J85" s="13">
        <f t="shared" si="2"/>
        <v>0.17915333333333333</v>
      </c>
      <c r="L85" t="str">
        <f t="shared" si="3"/>
        <v>20.c.ps.114.254  - Village of Pinecrest  $26873</v>
      </c>
    </row>
    <row r="86" spans="1:12" ht="15.75" x14ac:dyDescent="0.25">
      <c r="A86" s="15">
        <v>84</v>
      </c>
      <c r="B86" s="15" t="s">
        <v>212</v>
      </c>
      <c r="C86" s="15" t="s">
        <v>213</v>
      </c>
      <c r="D86" s="15" t="s">
        <v>115</v>
      </c>
      <c r="E86" s="16">
        <v>90000</v>
      </c>
      <c r="F86" s="15">
        <v>94.570999999999998</v>
      </c>
      <c r="G86" s="16">
        <v>90000</v>
      </c>
      <c r="H86" s="11">
        <f>'First Calculations'!P85</f>
        <v>16130</v>
      </c>
      <c r="I86" s="12"/>
      <c r="J86" s="13">
        <f t="shared" si="2"/>
        <v>0.17922222222222223</v>
      </c>
      <c r="L86" t="str">
        <f t="shared" si="3"/>
        <v>20.c.ps.101.089  - The Tallahassee Ballet, Inc.  $16130</v>
      </c>
    </row>
    <row r="87" spans="1:12" ht="15.75" x14ac:dyDescent="0.25">
      <c r="A87" s="15">
        <v>85</v>
      </c>
      <c r="B87" s="15" t="s">
        <v>214</v>
      </c>
      <c r="C87" s="15" t="s">
        <v>215</v>
      </c>
      <c r="D87" s="15" t="s">
        <v>115</v>
      </c>
      <c r="E87" s="16">
        <v>150000</v>
      </c>
      <c r="F87" s="15">
        <v>94.570999999999998</v>
      </c>
      <c r="G87" s="16">
        <v>150000</v>
      </c>
      <c r="H87" s="11">
        <f>'First Calculations'!P86</f>
        <v>26873</v>
      </c>
      <c r="I87" s="12"/>
      <c r="J87" s="13">
        <f t="shared" si="2"/>
        <v>0.17915333333333333</v>
      </c>
      <c r="L87" t="str">
        <f t="shared" si="3"/>
        <v>20.c.ps.170.664  - Tallahassee Museum of History and Natural Science, Inc.  $26873</v>
      </c>
    </row>
    <row r="88" spans="1:12" ht="15.75" x14ac:dyDescent="0.25">
      <c r="A88" s="15">
        <v>86</v>
      </c>
      <c r="B88" s="15" t="s">
        <v>216</v>
      </c>
      <c r="C88" s="15" t="s">
        <v>217</v>
      </c>
      <c r="D88" s="15" t="s">
        <v>28</v>
      </c>
      <c r="E88" s="16">
        <v>96000</v>
      </c>
      <c r="F88" s="15">
        <v>94.5</v>
      </c>
      <c r="G88" s="16">
        <v>96000</v>
      </c>
      <c r="H88" s="11">
        <f>'First Calculations'!P87</f>
        <v>17192</v>
      </c>
      <c r="I88" s="12"/>
      <c r="J88" s="13">
        <f t="shared" si="2"/>
        <v>0.17908333333333334</v>
      </c>
      <c r="L88" t="str">
        <f t="shared" si="3"/>
        <v>20.c.ps.110.299  - Miami Dade College  $17192</v>
      </c>
    </row>
    <row r="89" spans="1:12" ht="15.75" x14ac:dyDescent="0.25">
      <c r="A89" s="15">
        <v>87</v>
      </c>
      <c r="B89" s="15" t="s">
        <v>218</v>
      </c>
      <c r="C89" s="15" t="s">
        <v>219</v>
      </c>
      <c r="D89" s="15" t="s">
        <v>87</v>
      </c>
      <c r="E89" s="16">
        <v>150000</v>
      </c>
      <c r="F89" s="15">
        <v>94.5</v>
      </c>
      <c r="G89" s="16">
        <v>150000</v>
      </c>
      <c r="H89" s="11">
        <f>'First Calculations'!P88</f>
        <v>26853</v>
      </c>
      <c r="I89" s="12"/>
      <c r="J89" s="13">
        <f t="shared" si="2"/>
        <v>0.17902000000000001</v>
      </c>
      <c r="L89" t="str">
        <f t="shared" si="3"/>
        <v>20.c.ps.101.131  - Orlando Ballet, Inc.  $26853</v>
      </c>
    </row>
    <row r="90" spans="1:12" ht="15.75" x14ac:dyDescent="0.25">
      <c r="A90" s="15">
        <v>88</v>
      </c>
      <c r="B90" s="15" t="s">
        <v>220</v>
      </c>
      <c r="C90" s="15" t="s">
        <v>221</v>
      </c>
      <c r="D90" s="15" t="s">
        <v>28</v>
      </c>
      <c r="E90" s="16">
        <v>46330</v>
      </c>
      <c r="F90" s="15">
        <v>94.5</v>
      </c>
      <c r="G90" s="16">
        <v>46330</v>
      </c>
      <c r="H90" s="11">
        <f>'First Calculations'!P89</f>
        <v>8304</v>
      </c>
      <c r="I90" s="12"/>
      <c r="J90" s="13">
        <f t="shared" si="2"/>
        <v>0.17923591625296784</v>
      </c>
      <c r="L90" t="str">
        <f t="shared" si="3"/>
        <v>20.c.ps.200.199  - Musicall, Inc.  $8304</v>
      </c>
    </row>
    <row r="91" spans="1:12" ht="15.75" x14ac:dyDescent="0.25">
      <c r="A91" s="15">
        <v>89</v>
      </c>
      <c r="B91" s="15" t="s">
        <v>222</v>
      </c>
      <c r="C91" s="15" t="s">
        <v>223</v>
      </c>
      <c r="D91" s="15" t="s">
        <v>80</v>
      </c>
      <c r="E91" s="16">
        <v>136000</v>
      </c>
      <c r="F91" s="15">
        <v>94.5</v>
      </c>
      <c r="G91" s="16">
        <v>136000</v>
      </c>
      <c r="H91" s="11">
        <f>'First Calculations'!P90</f>
        <v>24348</v>
      </c>
      <c r="I91" s="12"/>
      <c r="J91" s="13">
        <f t="shared" si="2"/>
        <v>0.17902941176470588</v>
      </c>
      <c r="L91" t="str">
        <f t="shared" si="3"/>
        <v>20.c.ps.142.517  - FreeFall Theatre, Inc.  $24348</v>
      </c>
    </row>
    <row r="92" spans="1:12" ht="15.75" x14ac:dyDescent="0.25">
      <c r="A92" s="15">
        <v>90</v>
      </c>
      <c r="B92" s="15" t="s">
        <v>224</v>
      </c>
      <c r="C92" s="15" t="s">
        <v>225</v>
      </c>
      <c r="D92" s="15" t="s">
        <v>28</v>
      </c>
      <c r="E92" s="16">
        <v>115102</v>
      </c>
      <c r="F92" s="15">
        <v>94.5</v>
      </c>
      <c r="G92" s="16">
        <v>115102</v>
      </c>
      <c r="H92" s="11">
        <f>'First Calculations'!P91</f>
        <v>20609</v>
      </c>
      <c r="I92" s="12"/>
      <c r="J92" s="13">
        <f t="shared" si="2"/>
        <v>0.17904988618790291</v>
      </c>
      <c r="L92" t="str">
        <f t="shared" si="3"/>
        <v>20.c.ps.200.446  - Miami Theater Center, Inc.  $20609</v>
      </c>
    </row>
    <row r="93" spans="1:12" ht="15.75" x14ac:dyDescent="0.25">
      <c r="A93" s="15">
        <v>91</v>
      </c>
      <c r="B93" s="15" t="s">
        <v>226</v>
      </c>
      <c r="C93" s="15" t="s">
        <v>227</v>
      </c>
      <c r="D93" s="15" t="s">
        <v>28</v>
      </c>
      <c r="E93" s="16">
        <v>150000</v>
      </c>
      <c r="F93" s="15">
        <v>94.429000000000002</v>
      </c>
      <c r="G93" s="16">
        <v>150000</v>
      </c>
      <c r="H93" s="11">
        <f>'First Calculations'!P92</f>
        <v>26833</v>
      </c>
      <c r="I93" s="12"/>
      <c r="J93" s="13">
        <f t="shared" si="2"/>
        <v>0.17888666666666667</v>
      </c>
      <c r="L93" t="str">
        <f t="shared" si="3"/>
        <v>20.c.ps.114.733  - National Foundation for Advancement in the Arts, Inc.  $26833</v>
      </c>
    </row>
    <row r="94" spans="1:12" ht="15.75" x14ac:dyDescent="0.25">
      <c r="A94" s="15">
        <v>92</v>
      </c>
      <c r="B94" s="15" t="s">
        <v>228</v>
      </c>
      <c r="C94" s="15" t="s">
        <v>229</v>
      </c>
      <c r="D94" s="15" t="s">
        <v>33</v>
      </c>
      <c r="E94" s="16">
        <v>90000</v>
      </c>
      <c r="F94" s="15">
        <v>94.429000000000002</v>
      </c>
      <c r="G94" s="16">
        <v>90000</v>
      </c>
      <c r="H94" s="11">
        <f>'First Calculations'!P93</f>
        <v>16106</v>
      </c>
      <c r="I94" s="12"/>
      <c r="J94" s="13">
        <f t="shared" si="2"/>
        <v>0.17895555555555556</v>
      </c>
      <c r="L94" t="str">
        <f t="shared" si="3"/>
        <v>20.c.ps.102.475  - The Perlman Music Program/Suncoast, Inc.  $16106</v>
      </c>
    </row>
    <row r="95" spans="1:12" ht="15.75" x14ac:dyDescent="0.25">
      <c r="A95" s="15">
        <v>93</v>
      </c>
      <c r="B95" s="15" t="s">
        <v>230</v>
      </c>
      <c r="C95" s="15" t="s">
        <v>231</v>
      </c>
      <c r="D95" s="15" t="s">
        <v>87</v>
      </c>
      <c r="E95" s="16">
        <v>150000</v>
      </c>
      <c r="F95" s="15">
        <v>94.429000000000002</v>
      </c>
      <c r="G95" s="16">
        <v>150000</v>
      </c>
      <c r="H95" s="11">
        <f>'First Calculations'!P94</f>
        <v>26833</v>
      </c>
      <c r="I95" s="12"/>
      <c r="J95" s="13">
        <f t="shared" si="2"/>
        <v>0.17888666666666667</v>
      </c>
      <c r="L95" t="str">
        <f t="shared" si="3"/>
        <v>20.c.ps.180.584  - Dr. Phillips Center for the Performing Arts, Inc.  $26833</v>
      </c>
    </row>
    <row r="96" spans="1:12" ht="15.75" x14ac:dyDescent="0.25">
      <c r="A96" s="15">
        <v>94</v>
      </c>
      <c r="B96" s="15" t="s">
        <v>232</v>
      </c>
      <c r="C96" s="15" t="s">
        <v>233</v>
      </c>
      <c r="D96" s="15" t="s">
        <v>28</v>
      </c>
      <c r="E96" s="16">
        <v>16000</v>
      </c>
      <c r="F96" s="15">
        <v>94.4</v>
      </c>
      <c r="G96" s="16">
        <v>16000</v>
      </c>
      <c r="H96" s="11">
        <f>'First Calculations'!P95</f>
        <v>2875</v>
      </c>
      <c r="I96" s="12"/>
      <c r="J96" s="13">
        <f t="shared" si="2"/>
        <v>0.1796875</v>
      </c>
      <c r="L96" t="str">
        <f t="shared" si="3"/>
        <v>20.c.ps.101.464  - Dimensions Dance Theater of Miami Inc.  $2875</v>
      </c>
    </row>
    <row r="97" spans="1:12" ht="15.75" x14ac:dyDescent="0.25">
      <c r="A97" s="15">
        <v>95</v>
      </c>
      <c r="B97" s="15" t="s">
        <v>234</v>
      </c>
      <c r="C97" s="15" t="s">
        <v>235</v>
      </c>
      <c r="D97" s="15" t="s">
        <v>133</v>
      </c>
      <c r="E97" s="16">
        <v>90000</v>
      </c>
      <c r="F97" s="15">
        <v>94.4</v>
      </c>
      <c r="G97" s="16">
        <v>90000</v>
      </c>
      <c r="H97" s="11">
        <f>'First Calculations'!P96</f>
        <v>16101</v>
      </c>
      <c r="I97" s="12"/>
      <c r="J97" s="13">
        <f t="shared" si="2"/>
        <v>0.1789</v>
      </c>
      <c r="L97" t="str">
        <f t="shared" si="3"/>
        <v>20.c.ps.105.487  - ArtCenter Manatee  $16101</v>
      </c>
    </row>
    <row r="98" spans="1:12" ht="15.75" x14ac:dyDescent="0.25">
      <c r="A98" s="15">
        <v>96</v>
      </c>
      <c r="B98" s="15" t="s">
        <v>236</v>
      </c>
      <c r="C98" s="15" t="s">
        <v>237</v>
      </c>
      <c r="D98" s="15" t="s">
        <v>39</v>
      </c>
      <c r="E98" s="16">
        <v>150000</v>
      </c>
      <c r="F98" s="15">
        <v>94.332999999999998</v>
      </c>
      <c r="G98" s="16">
        <v>150000</v>
      </c>
      <c r="H98" s="11">
        <f>'First Calculations'!P97</f>
        <v>26806</v>
      </c>
      <c r="I98" s="12"/>
      <c r="J98" s="13">
        <f t="shared" si="2"/>
        <v>0.17870666666666668</v>
      </c>
      <c r="L98" t="str">
        <f t="shared" si="3"/>
        <v>20.c.ps.170.770  - Norton Museum of Art, Inc.  $26806</v>
      </c>
    </row>
    <row r="99" spans="1:12" ht="15.75" x14ac:dyDescent="0.25">
      <c r="A99" s="15">
        <v>97</v>
      </c>
      <c r="B99" s="15" t="s">
        <v>238</v>
      </c>
      <c r="C99" s="15" t="s">
        <v>239</v>
      </c>
      <c r="D99" s="15" t="s">
        <v>28</v>
      </c>
      <c r="E99" s="16">
        <v>50000</v>
      </c>
      <c r="F99" s="15">
        <v>94.332999999999998</v>
      </c>
      <c r="G99" s="16">
        <v>50000</v>
      </c>
      <c r="H99" s="11">
        <f>'First Calculations'!P98</f>
        <v>8945</v>
      </c>
      <c r="I99" s="12"/>
      <c r="J99" s="13">
        <f t="shared" si="2"/>
        <v>0.1789</v>
      </c>
      <c r="L99" t="str">
        <f t="shared" si="3"/>
        <v>20.c.ps.180.349  - Chopin Foundation of the United States, Inc.  $8945</v>
      </c>
    </row>
    <row r="100" spans="1:12" ht="15.75" x14ac:dyDescent="0.25">
      <c r="A100" s="15">
        <v>98</v>
      </c>
      <c r="B100" s="15" t="s">
        <v>240</v>
      </c>
      <c r="C100" s="15" t="s">
        <v>241</v>
      </c>
      <c r="D100" s="15" t="s">
        <v>136</v>
      </c>
      <c r="E100" s="16">
        <v>87407</v>
      </c>
      <c r="F100" s="15">
        <v>94.286000000000001</v>
      </c>
      <c r="G100" s="16">
        <v>87407</v>
      </c>
      <c r="H100" s="11">
        <f>'First Calculations'!P99</f>
        <v>15619</v>
      </c>
      <c r="I100" s="12"/>
      <c r="J100" s="13">
        <f t="shared" si="2"/>
        <v>0.17869278204262817</v>
      </c>
      <c r="L100" t="str">
        <f t="shared" si="3"/>
        <v>20.c.ps.170.268  - Explorations V Children's Museum, Inc.  $15619</v>
      </c>
    </row>
    <row r="101" spans="1:12" ht="15.75" x14ac:dyDescent="0.25">
      <c r="A101" s="15">
        <v>99</v>
      </c>
      <c r="B101" s="15" t="s">
        <v>242</v>
      </c>
      <c r="C101" s="15" t="s">
        <v>243</v>
      </c>
      <c r="D101" s="15" t="s">
        <v>50</v>
      </c>
      <c r="E101" s="16">
        <v>150000</v>
      </c>
      <c r="F101" s="15">
        <v>94.286000000000001</v>
      </c>
      <c r="G101" s="16">
        <v>150000</v>
      </c>
      <c r="H101" s="11">
        <f>'First Calculations'!P100</f>
        <v>26793</v>
      </c>
      <c r="I101" s="12"/>
      <c r="J101" s="13">
        <f t="shared" si="2"/>
        <v>0.17862</v>
      </c>
      <c r="L101" t="str">
        <f t="shared" si="3"/>
        <v>20.c.ps.180.572  - Florida State College at Jacksonville Foundation, Inc.  $26793</v>
      </c>
    </row>
    <row r="102" spans="1:12" ht="15.75" x14ac:dyDescent="0.25">
      <c r="A102" s="15">
        <v>100</v>
      </c>
      <c r="B102" s="15" t="s">
        <v>244</v>
      </c>
      <c r="C102" s="15" t="s">
        <v>245</v>
      </c>
      <c r="D102" s="15" t="s">
        <v>87</v>
      </c>
      <c r="E102" s="16">
        <v>150000</v>
      </c>
      <c r="F102" s="15">
        <v>94.167000000000002</v>
      </c>
      <c r="G102" s="16">
        <v>150000</v>
      </c>
      <c r="H102" s="11">
        <f>'First Calculations'!P101</f>
        <v>26759</v>
      </c>
      <c r="I102" s="12"/>
      <c r="J102" s="13">
        <f t="shared" si="2"/>
        <v>0.17839333333333332</v>
      </c>
      <c r="L102" t="str">
        <f t="shared" si="3"/>
        <v>20.c.ps.142.506  - Orlando Shakespeare Theater, Inc.  $26759</v>
      </c>
    </row>
    <row r="103" spans="1:12" ht="15.75" x14ac:dyDescent="0.25">
      <c r="A103" s="15">
        <v>101</v>
      </c>
      <c r="B103" s="15" t="s">
        <v>246</v>
      </c>
      <c r="C103" s="15" t="s">
        <v>247</v>
      </c>
      <c r="D103" s="15" t="s">
        <v>80</v>
      </c>
      <c r="E103" s="16">
        <v>150000</v>
      </c>
      <c r="F103" s="15">
        <v>94.167000000000002</v>
      </c>
      <c r="G103" s="16">
        <v>150000</v>
      </c>
      <c r="H103" s="11">
        <f>'First Calculations'!P102</f>
        <v>26759</v>
      </c>
      <c r="I103" s="12"/>
      <c r="J103" s="13">
        <f t="shared" si="2"/>
        <v>0.17839333333333332</v>
      </c>
      <c r="L103" t="str">
        <f t="shared" si="3"/>
        <v>20.c.ps.114.357  - Ruth Eckerd Hall, Inc.  $26759</v>
      </c>
    </row>
    <row r="104" spans="1:12" ht="15.75" x14ac:dyDescent="0.25">
      <c r="A104" s="15">
        <v>102</v>
      </c>
      <c r="B104" s="15" t="s">
        <v>248</v>
      </c>
      <c r="C104" s="15" t="s">
        <v>249</v>
      </c>
      <c r="D104" s="15" t="s">
        <v>36</v>
      </c>
      <c r="E104" s="16">
        <v>150000</v>
      </c>
      <c r="F104" s="15">
        <v>94.143000000000001</v>
      </c>
      <c r="G104" s="16">
        <v>150000</v>
      </c>
      <c r="H104" s="11">
        <f>'First Calculations'!P103</f>
        <v>26752</v>
      </c>
      <c r="I104" s="12"/>
      <c r="J104" s="13">
        <f t="shared" si="2"/>
        <v>0.17834666666666665</v>
      </c>
      <c r="L104" t="str">
        <f t="shared" si="3"/>
        <v>20.c.ps.170.337  - Young At Art of Broward, Inc.  $26752</v>
      </c>
    </row>
    <row r="105" spans="1:12" ht="15.75" x14ac:dyDescent="0.25">
      <c r="A105" s="15">
        <v>103</v>
      </c>
      <c r="B105" s="15" t="s">
        <v>250</v>
      </c>
      <c r="C105" s="15" t="s">
        <v>251</v>
      </c>
      <c r="D105" s="15" t="s">
        <v>39</v>
      </c>
      <c r="E105" s="16">
        <v>59350</v>
      </c>
      <c r="F105" s="15">
        <v>94</v>
      </c>
      <c r="G105" s="16">
        <v>59350</v>
      </c>
      <c r="H105" s="11">
        <f>'First Calculations'!P104</f>
        <v>10578</v>
      </c>
      <c r="I105" s="12"/>
      <c r="J105" s="13">
        <f t="shared" si="2"/>
        <v>0.17823083403538331</v>
      </c>
      <c r="L105" t="str">
        <f t="shared" si="3"/>
        <v>20.c.ps.105.477  - Florida Atlantic University  $10578</v>
      </c>
    </row>
    <row r="106" spans="1:12" ht="15.75" x14ac:dyDescent="0.25">
      <c r="A106" s="15">
        <v>104</v>
      </c>
      <c r="B106" s="15" t="s">
        <v>252</v>
      </c>
      <c r="C106" s="15" t="s">
        <v>186</v>
      </c>
      <c r="D106" s="15" t="s">
        <v>67</v>
      </c>
      <c r="E106" s="16">
        <v>150000</v>
      </c>
      <c r="F106" s="15">
        <v>94</v>
      </c>
      <c r="G106" s="16">
        <v>150000</v>
      </c>
      <c r="H106" s="11">
        <f>'First Calculations'!P105</f>
        <v>26711</v>
      </c>
      <c r="I106" s="12"/>
      <c r="J106" s="13">
        <f t="shared" si="2"/>
        <v>0.17807333333333333</v>
      </c>
      <c r="L106" t="str">
        <f t="shared" si="3"/>
        <v>20.c.ps.170.113  - University of Florida   $26711</v>
      </c>
    </row>
    <row r="107" spans="1:12" ht="15.75" x14ac:dyDescent="0.25">
      <c r="A107" s="15">
        <v>105</v>
      </c>
      <c r="B107" s="15" t="s">
        <v>253</v>
      </c>
      <c r="C107" s="15" t="s">
        <v>254</v>
      </c>
      <c r="D107" s="15" t="s">
        <v>36</v>
      </c>
      <c r="E107" s="16">
        <v>78250</v>
      </c>
      <c r="F107" s="15">
        <v>94</v>
      </c>
      <c r="G107" s="16">
        <v>78250</v>
      </c>
      <c r="H107" s="11">
        <f>'First Calculations'!P106</f>
        <v>13942</v>
      </c>
      <c r="I107" s="12"/>
      <c r="J107" s="13">
        <f t="shared" si="2"/>
        <v>0.17817252396166133</v>
      </c>
      <c r="L107" t="str">
        <f t="shared" si="3"/>
        <v>20.c.ps.170.418  - The Stranahan House, Inc.  $13942</v>
      </c>
    </row>
    <row r="108" spans="1:12" ht="15.75" x14ac:dyDescent="0.25">
      <c r="A108" s="15">
        <v>106</v>
      </c>
      <c r="B108" s="15" t="s">
        <v>255</v>
      </c>
      <c r="C108" s="15" t="s">
        <v>256</v>
      </c>
      <c r="D108" s="15" t="s">
        <v>36</v>
      </c>
      <c r="E108" s="16">
        <v>150000</v>
      </c>
      <c r="F108" s="15">
        <v>94</v>
      </c>
      <c r="G108" s="16">
        <v>150000</v>
      </c>
      <c r="H108" s="11">
        <f>'First Calculations'!P107</f>
        <v>26711</v>
      </c>
      <c r="I108" s="12"/>
      <c r="J108" s="13">
        <f t="shared" si="2"/>
        <v>0.17807333333333333</v>
      </c>
      <c r="L108" t="str">
        <f t="shared" si="3"/>
        <v>20.c.ps.180.264  - Broward Performing Arts Foundation, Inc.  $26711</v>
      </c>
    </row>
    <row r="109" spans="1:12" ht="15.75" x14ac:dyDescent="0.25">
      <c r="A109" s="15">
        <v>107</v>
      </c>
      <c r="B109" s="15" t="s">
        <v>257</v>
      </c>
      <c r="C109" s="15" t="s">
        <v>258</v>
      </c>
      <c r="D109" s="15" t="s">
        <v>50</v>
      </c>
      <c r="E109" s="16">
        <v>100086</v>
      </c>
      <c r="F109" s="15">
        <v>94</v>
      </c>
      <c r="G109" s="16">
        <v>100086</v>
      </c>
      <c r="H109" s="11">
        <f>'First Calculations'!P108</f>
        <v>17828</v>
      </c>
      <c r="I109" s="12"/>
      <c r="J109" s="13">
        <f t="shared" si="2"/>
        <v>0.17812681094258936</v>
      </c>
      <c r="L109" t="str">
        <f t="shared" si="3"/>
        <v>20.c.ps.102.383  - The Jacksonville Children's Chorus, Inc.  $17828</v>
      </c>
    </row>
    <row r="110" spans="1:12" ht="25.5" x14ac:dyDescent="0.25">
      <c r="A110" s="15">
        <v>108</v>
      </c>
      <c r="B110" s="15" t="s">
        <v>259</v>
      </c>
      <c r="C110" s="15" t="s">
        <v>260</v>
      </c>
      <c r="D110" s="15" t="s">
        <v>57</v>
      </c>
      <c r="E110" s="16">
        <v>25000</v>
      </c>
      <c r="F110" s="15">
        <v>94</v>
      </c>
      <c r="G110" s="16">
        <v>25000</v>
      </c>
      <c r="H110" s="11">
        <f>'First Calculations'!P109</f>
        <v>4464</v>
      </c>
      <c r="I110" s="12"/>
      <c r="J110" s="13">
        <f t="shared" si="2"/>
        <v>0.17856</v>
      </c>
      <c r="L110" t="str">
        <f t="shared" si="3"/>
        <v>20.c.ps.114.339  - Community Stepping Stones, Inc.  $4464</v>
      </c>
    </row>
    <row r="111" spans="1:12" ht="15.75" x14ac:dyDescent="0.25">
      <c r="A111" s="15">
        <v>109</v>
      </c>
      <c r="B111" s="15" t="s">
        <v>261</v>
      </c>
      <c r="C111" s="15" t="s">
        <v>262</v>
      </c>
      <c r="D111" s="15" t="s">
        <v>90</v>
      </c>
      <c r="E111" s="16">
        <v>90208</v>
      </c>
      <c r="F111" s="15">
        <v>93.875</v>
      </c>
      <c r="G111" s="16">
        <v>90208</v>
      </c>
      <c r="H111" s="11">
        <f>'First Calculations'!P110</f>
        <v>16048</v>
      </c>
      <c r="I111" s="12"/>
      <c r="J111" s="13">
        <f t="shared" si="2"/>
        <v>0.17789996452642781</v>
      </c>
      <c r="L111" t="str">
        <f t="shared" si="3"/>
        <v>20.c.ps.102.162  - Brevard Symphony Orchestra, Inc.  $16048</v>
      </c>
    </row>
    <row r="112" spans="1:12" ht="15.75" x14ac:dyDescent="0.25">
      <c r="A112" s="15">
        <v>110</v>
      </c>
      <c r="B112" s="15" t="s">
        <v>263</v>
      </c>
      <c r="C112" s="15" t="s">
        <v>264</v>
      </c>
      <c r="D112" s="15" t="s">
        <v>33</v>
      </c>
      <c r="E112" s="16">
        <v>60534</v>
      </c>
      <c r="F112" s="15">
        <v>93.856999999999999</v>
      </c>
      <c r="G112" s="16">
        <v>60534</v>
      </c>
      <c r="H112" s="11">
        <f>'First Calculations'!P111</f>
        <v>10772</v>
      </c>
      <c r="I112" s="12"/>
      <c r="J112" s="13">
        <f t="shared" si="2"/>
        <v>0.17794958205306108</v>
      </c>
      <c r="L112" t="str">
        <f t="shared" si="3"/>
        <v>20.c.ps.102.174  - Key Chorale, Inc.  $10772</v>
      </c>
    </row>
    <row r="113" spans="1:12" ht="15.75" x14ac:dyDescent="0.25">
      <c r="A113" s="15">
        <v>111</v>
      </c>
      <c r="B113" s="15" t="s">
        <v>265</v>
      </c>
      <c r="C113" s="15" t="s">
        <v>266</v>
      </c>
      <c r="D113" s="15" t="s">
        <v>39</v>
      </c>
      <c r="E113" s="16">
        <v>90000</v>
      </c>
      <c r="F113" s="15">
        <v>93.856999999999999</v>
      </c>
      <c r="G113" s="16">
        <v>90000</v>
      </c>
      <c r="H113" s="11">
        <f>'First Calculations'!P112</f>
        <v>16008</v>
      </c>
      <c r="I113" s="12"/>
      <c r="J113" s="13">
        <f t="shared" si="2"/>
        <v>0.17786666666666667</v>
      </c>
      <c r="L113" t="str">
        <f t="shared" si="3"/>
        <v>20.c.ps.102.421  - Boca Raton Philharmonic Symphonia, Inc.  $16008</v>
      </c>
    </row>
    <row r="114" spans="1:12" ht="15.75" x14ac:dyDescent="0.25">
      <c r="A114" s="15">
        <v>112</v>
      </c>
      <c r="B114" s="15" t="s">
        <v>267</v>
      </c>
      <c r="C114" s="15" t="s">
        <v>268</v>
      </c>
      <c r="D114" s="15" t="s">
        <v>28</v>
      </c>
      <c r="E114" s="16">
        <v>150000</v>
      </c>
      <c r="F114" s="15">
        <v>93.856999999999999</v>
      </c>
      <c r="G114" s="16">
        <v>150000</v>
      </c>
      <c r="H114" s="11">
        <f>'First Calculations'!P113</f>
        <v>26671</v>
      </c>
      <c r="I114" s="12"/>
      <c r="J114" s="13">
        <f t="shared" si="2"/>
        <v>0.17780666666666667</v>
      </c>
      <c r="L114" t="str">
        <f t="shared" si="3"/>
        <v>20.c.ps.170.115  - Museum of Science, Inc.  $26671</v>
      </c>
    </row>
    <row r="115" spans="1:12" ht="15.75" x14ac:dyDescent="0.25">
      <c r="A115" s="15">
        <v>113</v>
      </c>
      <c r="B115" s="15" t="s">
        <v>269</v>
      </c>
      <c r="C115" s="15" t="s">
        <v>270</v>
      </c>
      <c r="D115" s="15" t="s">
        <v>36</v>
      </c>
      <c r="E115" s="16">
        <v>88175</v>
      </c>
      <c r="F115" s="15">
        <v>93.856999999999999</v>
      </c>
      <c r="G115" s="16">
        <v>88175</v>
      </c>
      <c r="H115" s="11">
        <f>'First Calculations'!P114</f>
        <v>15684</v>
      </c>
      <c r="I115" s="12"/>
      <c r="J115" s="13">
        <f t="shared" si="2"/>
        <v>0.17787354692373122</v>
      </c>
      <c r="L115" t="str">
        <f t="shared" si="3"/>
        <v>20.c.ps.102.732  - Gay Men's Chorus of South Florida  $15684</v>
      </c>
    </row>
    <row r="116" spans="1:12" ht="15.75" x14ac:dyDescent="0.25">
      <c r="A116" s="15">
        <v>114</v>
      </c>
      <c r="B116" s="15" t="s">
        <v>271</v>
      </c>
      <c r="C116" s="15" t="s">
        <v>272</v>
      </c>
      <c r="D116" s="15" t="s">
        <v>33</v>
      </c>
      <c r="E116" s="16">
        <v>150000</v>
      </c>
      <c r="F116" s="15">
        <v>93.832999999999998</v>
      </c>
      <c r="G116" s="16">
        <v>150000</v>
      </c>
      <c r="H116" s="11">
        <f>'First Calculations'!P115</f>
        <v>26664</v>
      </c>
      <c r="I116" s="12"/>
      <c r="J116" s="13">
        <f t="shared" si="2"/>
        <v>0.17776</v>
      </c>
      <c r="L116" t="str">
        <f t="shared" si="3"/>
        <v>20.c.ps.101.417  - Sarasota Ballet of Florida, Inc.  $26664</v>
      </c>
    </row>
    <row r="117" spans="1:12" ht="15.75" x14ac:dyDescent="0.25">
      <c r="A117" s="15">
        <v>115</v>
      </c>
      <c r="B117" s="15" t="s">
        <v>273</v>
      </c>
      <c r="C117" s="15" t="s">
        <v>274</v>
      </c>
      <c r="D117" s="15" t="s">
        <v>36</v>
      </c>
      <c r="E117" s="16">
        <v>70500</v>
      </c>
      <c r="F117" s="15">
        <v>93.832999999999998</v>
      </c>
      <c r="G117" s="16">
        <v>70500</v>
      </c>
      <c r="H117" s="11">
        <f>'First Calculations'!P116</f>
        <v>12540</v>
      </c>
      <c r="I117" s="12"/>
      <c r="J117" s="13">
        <f t="shared" si="2"/>
        <v>0.17787234042553191</v>
      </c>
      <c r="L117" t="str">
        <f t="shared" si="3"/>
        <v>20.c.ps.200.035  - All Florida Youth Orchestra, Incorporated  $12540</v>
      </c>
    </row>
    <row r="118" spans="1:12" ht="15.75" x14ac:dyDescent="0.25">
      <c r="A118" s="15">
        <v>116</v>
      </c>
      <c r="B118" s="15" t="s">
        <v>275</v>
      </c>
      <c r="C118" s="15" t="s">
        <v>276</v>
      </c>
      <c r="D118" s="15" t="s">
        <v>87</v>
      </c>
      <c r="E118" s="16">
        <v>105754</v>
      </c>
      <c r="F118" s="15">
        <v>93.8</v>
      </c>
      <c r="G118" s="16">
        <v>105754</v>
      </c>
      <c r="H118" s="11">
        <f>'First Calculations'!P117</f>
        <v>18797</v>
      </c>
      <c r="I118" s="12"/>
      <c r="J118" s="13">
        <f t="shared" si="2"/>
        <v>0.17774268585585415</v>
      </c>
      <c r="L118" t="str">
        <f t="shared" si="3"/>
        <v>20.c.ps.105.384  - Crealde School of Art  $18797</v>
      </c>
    </row>
    <row r="119" spans="1:12" ht="15.75" x14ac:dyDescent="0.25">
      <c r="A119" s="15">
        <v>117</v>
      </c>
      <c r="B119" s="15" t="s">
        <v>277</v>
      </c>
      <c r="C119" s="15" t="s">
        <v>278</v>
      </c>
      <c r="D119" s="15" t="s">
        <v>28</v>
      </c>
      <c r="E119" s="16">
        <v>90000</v>
      </c>
      <c r="F119" s="15">
        <v>93.8</v>
      </c>
      <c r="G119" s="16">
        <v>90000</v>
      </c>
      <c r="H119" s="11">
        <f>'First Calculations'!P118</f>
        <v>15999</v>
      </c>
      <c r="I119" s="12"/>
      <c r="J119" s="13">
        <f t="shared" si="2"/>
        <v>0.17776666666666666</v>
      </c>
      <c r="L119" t="str">
        <f t="shared" si="3"/>
        <v>20.c.ps.105.239  - Bakehouse Art Complex, Inc.  $15999</v>
      </c>
    </row>
    <row r="120" spans="1:12" ht="15.75" x14ac:dyDescent="0.25">
      <c r="A120" s="15">
        <v>118</v>
      </c>
      <c r="B120" s="15" t="s">
        <v>279</v>
      </c>
      <c r="C120" s="15" t="s">
        <v>280</v>
      </c>
      <c r="D120" s="15" t="s">
        <v>87</v>
      </c>
      <c r="E120" s="16">
        <v>90000</v>
      </c>
      <c r="F120" s="15">
        <v>93.713999999999999</v>
      </c>
      <c r="G120" s="16">
        <v>90000</v>
      </c>
      <c r="H120" s="11">
        <f>'First Calculations'!P119</f>
        <v>15984</v>
      </c>
      <c r="I120" s="12"/>
      <c r="J120" s="13">
        <f t="shared" si="2"/>
        <v>0.17760000000000001</v>
      </c>
      <c r="L120" t="str">
        <f t="shared" si="3"/>
        <v>20.c.ps.170.039  - Albin Polasek Museum and Sculpture Gardens, Inc.  $15984</v>
      </c>
    </row>
    <row r="121" spans="1:12" ht="15.75" x14ac:dyDescent="0.25">
      <c r="A121" s="15">
        <v>119</v>
      </c>
      <c r="B121" s="15" t="s">
        <v>281</v>
      </c>
      <c r="C121" s="15" t="s">
        <v>282</v>
      </c>
      <c r="D121" s="15" t="s">
        <v>102</v>
      </c>
      <c r="E121" s="16">
        <v>48332</v>
      </c>
      <c r="F121" s="15">
        <v>93.713999999999999</v>
      </c>
      <c r="G121" s="16">
        <v>48332</v>
      </c>
      <c r="H121" s="11">
        <f>'First Calculations'!P120</f>
        <v>8591</v>
      </c>
      <c r="I121" s="12"/>
      <c r="J121" s="13">
        <f t="shared" si="2"/>
        <v>0.17774973102706282</v>
      </c>
      <c r="L121" t="str">
        <f t="shared" si="3"/>
        <v>20.c.ps.170.630  - The Pensacola Mess Hall, Inc.  $8591</v>
      </c>
    </row>
    <row r="122" spans="1:12" ht="15.75" x14ac:dyDescent="0.25">
      <c r="A122" s="15">
        <v>120</v>
      </c>
      <c r="B122" s="15" t="s">
        <v>283</v>
      </c>
      <c r="C122" s="15" t="s">
        <v>284</v>
      </c>
      <c r="D122" s="15" t="s">
        <v>87</v>
      </c>
      <c r="E122" s="16">
        <v>150000</v>
      </c>
      <c r="F122" s="15">
        <v>93.667000000000002</v>
      </c>
      <c r="G122" s="16">
        <v>150000</v>
      </c>
      <c r="H122" s="11">
        <f>'First Calculations'!P121</f>
        <v>26617</v>
      </c>
      <c r="I122" s="12"/>
      <c r="J122" s="13">
        <f t="shared" si="2"/>
        <v>0.17744666666666667</v>
      </c>
      <c r="L122" t="str">
        <f t="shared" si="3"/>
        <v>20.c.ps.170.286  - Historical Society of Central Florida, Inc.  $26617</v>
      </c>
    </row>
    <row r="123" spans="1:12" ht="15.75" x14ac:dyDescent="0.25">
      <c r="A123" s="15">
        <v>121</v>
      </c>
      <c r="B123" s="15" t="s">
        <v>285</v>
      </c>
      <c r="C123" s="15" t="s">
        <v>286</v>
      </c>
      <c r="D123" s="15" t="s">
        <v>287</v>
      </c>
      <c r="E123" s="16">
        <v>117788</v>
      </c>
      <c r="F123" s="15">
        <v>93.667000000000002</v>
      </c>
      <c r="G123" s="16">
        <v>117788</v>
      </c>
      <c r="H123" s="11">
        <f>'First Calculations'!P122</f>
        <v>20904</v>
      </c>
      <c r="I123" s="12"/>
      <c r="J123" s="13">
        <f t="shared" si="2"/>
        <v>0.17747138927564776</v>
      </c>
      <c r="L123" t="str">
        <f t="shared" si="3"/>
        <v>20.c.ps.142.057  - Key West Players, Inc.  $20904</v>
      </c>
    </row>
    <row r="124" spans="1:12" ht="15.75" x14ac:dyDescent="0.25">
      <c r="A124" s="15">
        <v>122</v>
      </c>
      <c r="B124" s="15" t="s">
        <v>288</v>
      </c>
      <c r="C124" s="15" t="s">
        <v>289</v>
      </c>
      <c r="D124" s="15" t="s">
        <v>28</v>
      </c>
      <c r="E124" s="16">
        <v>50000</v>
      </c>
      <c r="F124" s="15">
        <v>93.667000000000002</v>
      </c>
      <c r="G124" s="16">
        <v>50000</v>
      </c>
      <c r="H124" s="11">
        <f>'First Calculations'!P123</f>
        <v>8882</v>
      </c>
      <c r="I124" s="12"/>
      <c r="J124" s="13">
        <f t="shared" si="2"/>
        <v>0.17763999999999999</v>
      </c>
      <c r="L124" t="str">
        <f t="shared" si="3"/>
        <v>20.c.ps.142.537  - City Theatre  $8882</v>
      </c>
    </row>
    <row r="125" spans="1:12" ht="15.75" x14ac:dyDescent="0.25">
      <c r="A125" s="15">
        <v>123</v>
      </c>
      <c r="B125" s="15" t="s">
        <v>290</v>
      </c>
      <c r="C125" s="15" t="s">
        <v>291</v>
      </c>
      <c r="D125" s="15" t="s">
        <v>33</v>
      </c>
      <c r="E125" s="16">
        <v>150000</v>
      </c>
      <c r="F125" s="15">
        <v>93.625</v>
      </c>
      <c r="G125" s="16">
        <v>150000</v>
      </c>
      <c r="H125" s="11">
        <f>'First Calculations'!P124</f>
        <v>26605</v>
      </c>
      <c r="I125" s="12"/>
      <c r="J125" s="13">
        <f t="shared" si="2"/>
        <v>0.17736666666666667</v>
      </c>
      <c r="L125" t="str">
        <f t="shared" si="3"/>
        <v>20.c.ps.102.394  - Florida West Coast Symphony, Inc.  $26605</v>
      </c>
    </row>
    <row r="126" spans="1:12" ht="25.5" x14ac:dyDescent="0.25">
      <c r="A126" s="15">
        <v>124</v>
      </c>
      <c r="B126" s="15" t="s">
        <v>292</v>
      </c>
      <c r="C126" s="15" t="s">
        <v>293</v>
      </c>
      <c r="D126" s="15" t="s">
        <v>57</v>
      </c>
      <c r="E126" s="16">
        <v>40000</v>
      </c>
      <c r="F126" s="15">
        <v>93.6</v>
      </c>
      <c r="G126" s="16">
        <v>40000</v>
      </c>
      <c r="H126" s="11">
        <f>'First Calculations'!P125</f>
        <v>7104</v>
      </c>
      <c r="I126" s="12"/>
      <c r="J126" s="13">
        <f t="shared" si="2"/>
        <v>0.17760000000000001</v>
      </c>
      <c r="L126" t="str">
        <f t="shared" si="3"/>
        <v>20.c.ps.102.628  - Choral Masterworks Festival, Inc.   $7104</v>
      </c>
    </row>
    <row r="127" spans="1:12" ht="15.75" x14ac:dyDescent="0.25">
      <c r="A127" s="15">
        <v>125</v>
      </c>
      <c r="B127" s="15" t="s">
        <v>294</v>
      </c>
      <c r="C127" s="15" t="s">
        <v>295</v>
      </c>
      <c r="D127" s="15" t="s">
        <v>28</v>
      </c>
      <c r="E127" s="16">
        <v>150000</v>
      </c>
      <c r="F127" s="15">
        <v>93.6</v>
      </c>
      <c r="G127" s="16">
        <v>150000</v>
      </c>
      <c r="H127" s="11">
        <f>'First Calculations'!P126</f>
        <v>26598</v>
      </c>
      <c r="I127" s="12"/>
      <c r="J127" s="13">
        <f t="shared" si="2"/>
        <v>0.17732000000000001</v>
      </c>
      <c r="L127" t="str">
        <f t="shared" si="3"/>
        <v>20.c.ps.105.657  - South Florida Art Center, Inc.  $26598</v>
      </c>
    </row>
    <row r="128" spans="1:12" ht="15.75" x14ac:dyDescent="0.25">
      <c r="A128" s="15">
        <v>126</v>
      </c>
      <c r="B128" s="15" t="s">
        <v>296</v>
      </c>
      <c r="C128" s="15" t="s">
        <v>297</v>
      </c>
      <c r="D128" s="15" t="s">
        <v>67</v>
      </c>
      <c r="E128" s="16">
        <v>35000</v>
      </c>
      <c r="F128" s="15">
        <v>93.6</v>
      </c>
      <c r="G128" s="16">
        <v>35000</v>
      </c>
      <c r="H128" s="11">
        <f>'First Calculations'!P127</f>
        <v>6218</v>
      </c>
      <c r="I128" s="12"/>
      <c r="J128" s="13">
        <f t="shared" si="2"/>
        <v>0.17765714285714285</v>
      </c>
      <c r="L128" t="str">
        <f t="shared" si="3"/>
        <v>20.c.ps.102.619  - Gainesville Youth Chorus, Inc.  $6218</v>
      </c>
    </row>
    <row r="129" spans="1:12" ht="15.75" x14ac:dyDescent="0.25">
      <c r="A129" s="15">
        <v>127</v>
      </c>
      <c r="B129" s="15" t="s">
        <v>298</v>
      </c>
      <c r="C129" s="15" t="s">
        <v>299</v>
      </c>
      <c r="D129" s="15" t="s">
        <v>115</v>
      </c>
      <c r="E129" s="16">
        <v>40000</v>
      </c>
      <c r="F129" s="15">
        <v>93.6</v>
      </c>
      <c r="G129" s="16">
        <v>40000</v>
      </c>
      <c r="H129" s="11">
        <f>'First Calculations'!P128</f>
        <v>7104</v>
      </c>
      <c r="I129" s="12"/>
      <c r="J129" s="13">
        <f t="shared" si="2"/>
        <v>0.17760000000000001</v>
      </c>
      <c r="L129" t="str">
        <f t="shared" si="3"/>
        <v>20.c.ps.102.250  - The Tallahassee Bach Parley, Inc.  $7104</v>
      </c>
    </row>
    <row r="130" spans="1:12" ht="15.75" x14ac:dyDescent="0.25">
      <c r="A130" s="15">
        <v>128</v>
      </c>
      <c r="B130" s="15" t="s">
        <v>300</v>
      </c>
      <c r="C130" s="15" t="s">
        <v>301</v>
      </c>
      <c r="D130" s="15" t="s">
        <v>87</v>
      </c>
      <c r="E130" s="16">
        <v>137268</v>
      </c>
      <c r="F130" s="15">
        <v>93.570999999999998</v>
      </c>
      <c r="G130" s="16">
        <v>137268</v>
      </c>
      <c r="H130" s="11">
        <f>'First Calculations'!P129</f>
        <v>24334</v>
      </c>
      <c r="I130" s="12"/>
      <c r="J130" s="13">
        <f t="shared" ref="J130:J193" si="4">H130/E130</f>
        <v>0.17727365445697468</v>
      </c>
      <c r="L130" t="str">
        <f t="shared" si="3"/>
        <v>20.c.ps.180.461  - International Fringe Festival of Central Florida, Inc.  $24334</v>
      </c>
    </row>
    <row r="131" spans="1:12" ht="15.75" x14ac:dyDescent="0.25">
      <c r="A131" s="15">
        <v>129</v>
      </c>
      <c r="B131" s="15" t="s">
        <v>302</v>
      </c>
      <c r="C131" s="15" t="s">
        <v>303</v>
      </c>
      <c r="D131" s="15" t="s">
        <v>304</v>
      </c>
      <c r="E131" s="16">
        <v>150000</v>
      </c>
      <c r="F131" s="15">
        <v>93.570999999999998</v>
      </c>
      <c r="G131" s="16">
        <v>150000</v>
      </c>
      <c r="H131" s="11">
        <f>'First Calculations'!P130</f>
        <v>26589</v>
      </c>
      <c r="I131" s="12"/>
      <c r="J131" s="13">
        <f t="shared" si="4"/>
        <v>0.17726</v>
      </c>
      <c r="L131" t="str">
        <f t="shared" si="3"/>
        <v>20.c.ps.170.763  - Central Florida Zoological Society, Inc.  $26589</v>
      </c>
    </row>
    <row r="132" spans="1:12" ht="15.75" x14ac:dyDescent="0.25">
      <c r="A132" s="15">
        <v>130</v>
      </c>
      <c r="B132" s="15" t="s">
        <v>305</v>
      </c>
      <c r="C132" s="15" t="s">
        <v>306</v>
      </c>
      <c r="D132" s="15" t="s">
        <v>39</v>
      </c>
      <c r="E132" s="16">
        <v>150000</v>
      </c>
      <c r="F132" s="15">
        <v>93.570999999999998</v>
      </c>
      <c r="G132" s="16">
        <v>150000</v>
      </c>
      <c r="H132" s="11">
        <f>'First Calculations'!P131</f>
        <v>26589</v>
      </c>
      <c r="I132" s="12"/>
      <c r="J132" s="13">
        <f t="shared" si="4"/>
        <v>0.17726</v>
      </c>
      <c r="L132" t="str">
        <f t="shared" ref="L132:L195" si="5">B132&amp;" - "&amp;C132&amp;" $"&amp;H132</f>
        <v>20.c.ps.180.356  - Palm Beach State College  $26589</v>
      </c>
    </row>
    <row r="133" spans="1:12" ht="15.75" x14ac:dyDescent="0.25">
      <c r="A133" s="15">
        <v>131</v>
      </c>
      <c r="B133" s="15" t="s">
        <v>307</v>
      </c>
      <c r="C133" s="15" t="s">
        <v>308</v>
      </c>
      <c r="D133" s="15" t="s">
        <v>87</v>
      </c>
      <c r="E133" s="16">
        <v>150000</v>
      </c>
      <c r="F133" s="15">
        <v>93.570999999999998</v>
      </c>
      <c r="G133" s="16">
        <v>150000</v>
      </c>
      <c r="H133" s="11">
        <f>'First Calculations'!P132</f>
        <v>26589</v>
      </c>
      <c r="I133" s="12"/>
      <c r="J133" s="13">
        <f t="shared" si="4"/>
        <v>0.17726</v>
      </c>
      <c r="L133" t="str">
        <f t="shared" si="5"/>
        <v>20.c.ps.102.668  - The Orlando Philharmonic Orchestra, Inc.  $26589</v>
      </c>
    </row>
    <row r="134" spans="1:12" ht="15.75" x14ac:dyDescent="0.25">
      <c r="A134" s="15">
        <v>132</v>
      </c>
      <c r="B134" s="15" t="s">
        <v>309</v>
      </c>
      <c r="C134" s="15" t="s">
        <v>310</v>
      </c>
      <c r="D134" s="15" t="s">
        <v>90</v>
      </c>
      <c r="E134" s="16">
        <v>150000</v>
      </c>
      <c r="F134" s="15">
        <v>93.5</v>
      </c>
      <c r="G134" s="16">
        <v>150000</v>
      </c>
      <c r="H134" s="11">
        <f>'First Calculations'!P133</f>
        <v>26569</v>
      </c>
      <c r="I134" s="12"/>
      <c r="J134" s="13">
        <f t="shared" si="4"/>
        <v>0.17712666666666665</v>
      </c>
      <c r="L134" t="str">
        <f t="shared" si="5"/>
        <v>20.c.ps.170.203  - East Coast Zoological Society of Florida, Inc.  $26569</v>
      </c>
    </row>
    <row r="135" spans="1:12" ht="15.75" x14ac:dyDescent="0.25">
      <c r="A135" s="15">
        <v>133</v>
      </c>
      <c r="B135" s="15" t="s">
        <v>311</v>
      </c>
      <c r="C135" s="15" t="s">
        <v>312</v>
      </c>
      <c r="D135" s="15" t="s">
        <v>28</v>
      </c>
      <c r="E135" s="16">
        <v>150000</v>
      </c>
      <c r="F135" s="15">
        <v>93.5</v>
      </c>
      <c r="G135" s="16">
        <v>150000</v>
      </c>
      <c r="H135" s="11">
        <f>'First Calculations'!P134</f>
        <v>26569</v>
      </c>
      <c r="I135" s="12"/>
      <c r="J135" s="13">
        <f t="shared" si="4"/>
        <v>0.17712666666666665</v>
      </c>
      <c r="L135" t="str">
        <f t="shared" si="5"/>
        <v>20.c.ps.500.731  - Miami-Dade County  $26569</v>
      </c>
    </row>
    <row r="136" spans="1:12" ht="15.75" x14ac:dyDescent="0.25">
      <c r="A136" s="15">
        <v>134</v>
      </c>
      <c r="B136" s="15" t="s">
        <v>313</v>
      </c>
      <c r="C136" s="15" t="s">
        <v>314</v>
      </c>
      <c r="D136" s="15" t="s">
        <v>87</v>
      </c>
      <c r="E136" s="16">
        <v>91000</v>
      </c>
      <c r="F136" s="15">
        <v>93.5</v>
      </c>
      <c r="G136" s="16">
        <v>91000</v>
      </c>
      <c r="H136" s="11">
        <f>'First Calculations'!P135</f>
        <v>16125</v>
      </c>
      <c r="I136" s="12"/>
      <c r="J136" s="13">
        <f t="shared" si="4"/>
        <v>0.17719780219780221</v>
      </c>
      <c r="L136" t="str">
        <f t="shared" si="5"/>
        <v>20.c.ps.142.022  - The Winter Park Playhouse, Inc.  $16125</v>
      </c>
    </row>
    <row r="137" spans="1:12" ht="15.75" x14ac:dyDescent="0.25">
      <c r="A137" s="15">
        <v>135</v>
      </c>
      <c r="B137" s="15" t="s">
        <v>315</v>
      </c>
      <c r="C137" s="15" t="s">
        <v>316</v>
      </c>
      <c r="D137" s="15" t="s">
        <v>67</v>
      </c>
      <c r="E137" s="16">
        <v>40000</v>
      </c>
      <c r="F137" s="15">
        <v>93.5</v>
      </c>
      <c r="G137" s="16">
        <v>40000</v>
      </c>
      <c r="H137" s="11">
        <f>'First Calculations'!P136</f>
        <v>7096</v>
      </c>
      <c r="I137" s="12"/>
      <c r="J137" s="13">
        <f t="shared" si="4"/>
        <v>0.1774</v>
      </c>
      <c r="L137" t="str">
        <f t="shared" si="5"/>
        <v>20.c.ps.170.725  - Matheson History Museum  $7096</v>
      </c>
    </row>
    <row r="138" spans="1:12" ht="15.75" x14ac:dyDescent="0.25">
      <c r="A138" s="15">
        <v>136</v>
      </c>
      <c r="B138" s="15" t="s">
        <v>317</v>
      </c>
      <c r="C138" s="15" t="s">
        <v>318</v>
      </c>
      <c r="D138" s="15" t="s">
        <v>33</v>
      </c>
      <c r="E138" s="16">
        <v>75000</v>
      </c>
      <c r="F138" s="15">
        <v>93.5</v>
      </c>
      <c r="G138" s="16">
        <v>75000</v>
      </c>
      <c r="H138" s="11">
        <f>'First Calculations'!P137</f>
        <v>13292</v>
      </c>
      <c r="I138" s="12"/>
      <c r="J138" s="13">
        <f t="shared" si="4"/>
        <v>0.17722666666666667</v>
      </c>
      <c r="L138" t="str">
        <f t="shared" si="5"/>
        <v>20.c.ps.142.306  - Westcoast Black Theatre Troupe of Florida, Inc.  $13292</v>
      </c>
    </row>
    <row r="139" spans="1:12" ht="15.75" x14ac:dyDescent="0.25">
      <c r="A139" s="15">
        <v>137</v>
      </c>
      <c r="B139" s="15" t="s">
        <v>319</v>
      </c>
      <c r="C139" s="15" t="s">
        <v>320</v>
      </c>
      <c r="D139" s="15" t="s">
        <v>80</v>
      </c>
      <c r="E139" s="16">
        <v>150000</v>
      </c>
      <c r="F139" s="15">
        <v>93.5</v>
      </c>
      <c r="G139" s="16">
        <v>150000</v>
      </c>
      <c r="H139" s="11">
        <f>'First Calculations'!P138</f>
        <v>26569</v>
      </c>
      <c r="I139" s="12"/>
      <c r="J139" s="13">
        <f t="shared" si="4"/>
        <v>0.17712666666666665</v>
      </c>
      <c r="L139" t="str">
        <f t="shared" si="5"/>
        <v>20.c.ps.142.748  - American Stage Company, Inc.  $26569</v>
      </c>
    </row>
    <row r="140" spans="1:12" ht="25.5" x14ac:dyDescent="0.25">
      <c r="A140" s="15">
        <v>138</v>
      </c>
      <c r="B140" s="15" t="s">
        <v>321</v>
      </c>
      <c r="C140" s="15" t="s">
        <v>322</v>
      </c>
      <c r="D140" s="15" t="s">
        <v>57</v>
      </c>
      <c r="E140" s="16">
        <v>4647</v>
      </c>
      <c r="F140" s="15">
        <v>93.429000000000002</v>
      </c>
      <c r="G140" s="16">
        <v>4647</v>
      </c>
      <c r="H140" s="11">
        <f>'First Calculations'!P139</f>
        <v>1000</v>
      </c>
      <c r="I140" s="12"/>
      <c r="J140" s="13">
        <f t="shared" si="4"/>
        <v>0.21519259737465032</v>
      </c>
      <c r="L140" t="str">
        <f t="shared" si="5"/>
        <v>20.c.ps.141.666  - Spanish Lyric Theatre, Inc.  $1000</v>
      </c>
    </row>
    <row r="141" spans="1:12" ht="15.75" x14ac:dyDescent="0.25">
      <c r="A141" s="15">
        <v>139</v>
      </c>
      <c r="B141" s="15" t="s">
        <v>323</v>
      </c>
      <c r="C141" s="15" t="s">
        <v>324</v>
      </c>
      <c r="D141" s="15" t="s">
        <v>36</v>
      </c>
      <c r="E141" s="16">
        <v>70599</v>
      </c>
      <c r="F141" s="15">
        <v>93.429000000000002</v>
      </c>
      <c r="G141" s="16">
        <v>70599</v>
      </c>
      <c r="H141" s="11">
        <f>'First Calculations'!P140</f>
        <v>12504</v>
      </c>
      <c r="I141" s="12"/>
      <c r="J141" s="13">
        <f t="shared" si="4"/>
        <v>0.17711299026898397</v>
      </c>
      <c r="L141" t="str">
        <f t="shared" si="5"/>
        <v>20.c.ps.102.392  - Florida Singing Sons, Inc.  $12504</v>
      </c>
    </row>
    <row r="142" spans="1:12" ht="15.75" x14ac:dyDescent="0.25">
      <c r="A142" s="15">
        <v>140</v>
      </c>
      <c r="B142" s="15" t="s">
        <v>325</v>
      </c>
      <c r="C142" s="15" t="s">
        <v>326</v>
      </c>
      <c r="D142" s="15" t="s">
        <v>50</v>
      </c>
      <c r="E142" s="15">
        <v>150000</v>
      </c>
      <c r="F142" s="15">
        <v>93.429000000000002</v>
      </c>
      <c r="G142" s="16">
        <v>150000</v>
      </c>
      <c r="H142" s="11">
        <f>'First Calculations'!P141</f>
        <v>26549</v>
      </c>
      <c r="I142" s="12"/>
      <c r="J142" s="13">
        <f t="shared" si="4"/>
        <v>0.17699333333333334</v>
      </c>
      <c r="L142" t="str">
        <f t="shared" si="5"/>
        <v>20.c.ps.180.156  - Florida Theatre Performing Arts Center, Inc.  $26549</v>
      </c>
    </row>
    <row r="143" spans="1:12" ht="15.75" x14ac:dyDescent="0.25">
      <c r="A143" s="15">
        <v>141</v>
      </c>
      <c r="B143" s="15" t="s">
        <v>327</v>
      </c>
      <c r="C143" s="15" t="s">
        <v>328</v>
      </c>
      <c r="D143" s="15" t="s">
        <v>287</v>
      </c>
      <c r="E143" s="16">
        <v>150000</v>
      </c>
      <c r="F143" s="15">
        <v>93.429000000000002</v>
      </c>
      <c r="G143" s="16">
        <v>150000</v>
      </c>
      <c r="H143" s="11">
        <f>'First Calculations'!P142</f>
        <v>26549</v>
      </c>
      <c r="I143" s="12"/>
      <c r="J143" s="13">
        <f t="shared" si="4"/>
        <v>0.17699333333333334</v>
      </c>
      <c r="L143" t="str">
        <f t="shared" si="5"/>
        <v>20.c.ps.114.419  - The Studios of Key West, Inc.  $26549</v>
      </c>
    </row>
    <row r="144" spans="1:12" ht="15.75" x14ac:dyDescent="0.25">
      <c r="A144" s="15">
        <v>142</v>
      </c>
      <c r="B144" s="15" t="s">
        <v>329</v>
      </c>
      <c r="C144" s="15" t="s">
        <v>330</v>
      </c>
      <c r="D144" s="15" t="s">
        <v>36</v>
      </c>
      <c r="E144" s="16">
        <v>150000</v>
      </c>
      <c r="F144" s="15">
        <v>93.4</v>
      </c>
      <c r="G144" s="16">
        <v>150000</v>
      </c>
      <c r="H144" s="11">
        <f>'First Calculations'!P143</f>
        <v>26541</v>
      </c>
      <c r="I144" s="12"/>
      <c r="J144" s="13">
        <f t="shared" si="4"/>
        <v>0.17693999999999999</v>
      </c>
      <c r="L144" t="str">
        <f t="shared" si="5"/>
        <v>20.c.ps.105.340  - Nova Southeastern University  $26541</v>
      </c>
    </row>
    <row r="145" spans="1:12" ht="15.75" x14ac:dyDescent="0.25">
      <c r="A145" s="15">
        <v>143</v>
      </c>
      <c r="B145" s="15" t="s">
        <v>331</v>
      </c>
      <c r="C145" s="15" t="s">
        <v>332</v>
      </c>
      <c r="D145" s="15" t="s">
        <v>87</v>
      </c>
      <c r="E145" s="16">
        <v>108775</v>
      </c>
      <c r="F145" s="15">
        <v>93.332999999999998</v>
      </c>
      <c r="G145" s="16">
        <v>108775</v>
      </c>
      <c r="H145" s="11">
        <f>'First Calculations'!P144</f>
        <v>19237</v>
      </c>
      <c r="I145" s="12"/>
      <c r="J145" s="13">
        <f t="shared" si="4"/>
        <v>0.176851298552057</v>
      </c>
      <c r="L145" t="str">
        <f t="shared" si="5"/>
        <v>20.c.ps.142.135  - Mad Cow Theatre, Inc.  $19237</v>
      </c>
    </row>
    <row r="146" spans="1:12" ht="15.75" x14ac:dyDescent="0.25">
      <c r="A146" s="15">
        <v>144</v>
      </c>
      <c r="B146" s="15" t="s">
        <v>333</v>
      </c>
      <c r="C146" s="15" t="s">
        <v>334</v>
      </c>
      <c r="D146" s="15" t="s">
        <v>87</v>
      </c>
      <c r="E146" s="16">
        <v>55323</v>
      </c>
      <c r="F146" s="15">
        <v>93.332999999999998</v>
      </c>
      <c r="G146" s="16">
        <v>55323</v>
      </c>
      <c r="H146" s="11">
        <f>'First Calculations'!P145</f>
        <v>9791</v>
      </c>
      <c r="I146" s="12"/>
      <c r="J146" s="13">
        <f t="shared" si="4"/>
        <v>0.17697883339659817</v>
      </c>
      <c r="L146" t="str">
        <f t="shared" si="5"/>
        <v>20.c.ps.142.240  - MicheLee Puppets, Inc.  $9791</v>
      </c>
    </row>
    <row r="147" spans="1:12" ht="15.75" x14ac:dyDescent="0.25">
      <c r="A147" s="15">
        <v>145</v>
      </c>
      <c r="B147" s="15" t="s">
        <v>335</v>
      </c>
      <c r="C147" s="15" t="s">
        <v>336</v>
      </c>
      <c r="D147" s="15" t="s">
        <v>28</v>
      </c>
      <c r="E147" s="16">
        <v>150000</v>
      </c>
      <c r="F147" s="15">
        <v>93.332999999999998</v>
      </c>
      <c r="G147" s="16">
        <v>150000</v>
      </c>
      <c r="H147" s="11">
        <f>'First Calculations'!P146</f>
        <v>26522</v>
      </c>
      <c r="I147" s="12"/>
      <c r="J147" s="13">
        <f t="shared" si="4"/>
        <v>0.17681333333333332</v>
      </c>
      <c r="L147" t="str">
        <f t="shared" si="5"/>
        <v>20.c.ps.142.083  - Actors' Playhouse Productions  $26522</v>
      </c>
    </row>
    <row r="148" spans="1:12" ht="15.75" x14ac:dyDescent="0.25">
      <c r="A148" s="15">
        <v>146</v>
      </c>
      <c r="B148" s="15" t="s">
        <v>337</v>
      </c>
      <c r="C148" s="15" t="s">
        <v>338</v>
      </c>
      <c r="D148" s="15" t="s">
        <v>80</v>
      </c>
      <c r="E148" s="16">
        <v>150000</v>
      </c>
      <c r="F148" s="15">
        <v>93.332999999999998</v>
      </c>
      <c r="G148" s="16">
        <v>150000</v>
      </c>
      <c r="H148" s="11">
        <f>'First Calculations'!P147</f>
        <v>26522</v>
      </c>
      <c r="I148" s="12"/>
      <c r="J148" s="13">
        <f t="shared" si="4"/>
        <v>0.17681333333333332</v>
      </c>
      <c r="L148" t="str">
        <f t="shared" si="5"/>
        <v>20.c.ps.170.165  - Museum of Fine Arts of St. Petersburg, Florida, Inc.  $26522</v>
      </c>
    </row>
    <row r="149" spans="1:12" ht="15.75" x14ac:dyDescent="0.25">
      <c r="A149" s="15">
        <v>147</v>
      </c>
      <c r="B149" s="15" t="s">
        <v>339</v>
      </c>
      <c r="C149" s="15" t="s">
        <v>340</v>
      </c>
      <c r="D149" s="15" t="s">
        <v>64</v>
      </c>
      <c r="E149" s="16">
        <v>150000</v>
      </c>
      <c r="F149" s="15">
        <v>93.332999999999998</v>
      </c>
      <c r="G149" s="16">
        <v>150000</v>
      </c>
      <c r="H149" s="11">
        <f>'First Calculations'!P148</f>
        <v>26522</v>
      </c>
      <c r="I149" s="12"/>
      <c r="J149" s="13">
        <f t="shared" si="4"/>
        <v>0.17681333333333332</v>
      </c>
      <c r="L149" t="str">
        <f t="shared" si="5"/>
        <v>20.c.ps.170.631  - Naples Botanical Garden, Inc.  $26522</v>
      </c>
    </row>
    <row r="150" spans="1:12" ht="15.75" x14ac:dyDescent="0.25">
      <c r="A150" s="15">
        <v>148</v>
      </c>
      <c r="B150" s="15" t="s">
        <v>341</v>
      </c>
      <c r="C150" s="15" t="s">
        <v>342</v>
      </c>
      <c r="D150" s="15" t="s">
        <v>28</v>
      </c>
      <c r="E150" s="16">
        <v>150000</v>
      </c>
      <c r="F150" s="15">
        <v>93.286000000000001</v>
      </c>
      <c r="G150" s="16">
        <v>150000</v>
      </c>
      <c r="H150" s="11">
        <f>'First Calculations'!P149</f>
        <v>26509</v>
      </c>
      <c r="I150" s="12"/>
      <c r="J150" s="13">
        <f t="shared" si="4"/>
        <v>0.17672666666666667</v>
      </c>
      <c r="L150" t="str">
        <f t="shared" si="5"/>
        <v>20.c.ps.114.144  - The Dave and Mary Alper Jewish Community Center, Inc.  $26509</v>
      </c>
    </row>
    <row r="151" spans="1:12" ht="15.75" x14ac:dyDescent="0.25">
      <c r="A151" s="15">
        <v>149</v>
      </c>
      <c r="B151" s="15" t="s">
        <v>343</v>
      </c>
      <c r="C151" s="15" t="s">
        <v>344</v>
      </c>
      <c r="D151" s="15" t="s">
        <v>136</v>
      </c>
      <c r="E151" s="16">
        <v>103006</v>
      </c>
      <c r="F151" s="15">
        <v>93.286000000000001</v>
      </c>
      <c r="G151" s="16">
        <v>103006</v>
      </c>
      <c r="H151" s="11">
        <f>'First Calculations'!P150</f>
        <v>18208</v>
      </c>
      <c r="I151" s="12"/>
      <c r="J151" s="13">
        <f t="shared" si="4"/>
        <v>0.17676640195716756</v>
      </c>
      <c r="L151" t="str">
        <f t="shared" si="5"/>
        <v>20.c.ps.141.493  - Theatre Winter Haven, Inc.  $18208</v>
      </c>
    </row>
    <row r="152" spans="1:12" ht="15.75" x14ac:dyDescent="0.25">
      <c r="A152" s="15">
        <v>150</v>
      </c>
      <c r="B152" s="15" t="s">
        <v>345</v>
      </c>
      <c r="C152" s="15" t="s">
        <v>346</v>
      </c>
      <c r="D152" s="15" t="s">
        <v>87</v>
      </c>
      <c r="E152" s="16">
        <v>50000</v>
      </c>
      <c r="F152" s="15">
        <v>93.286000000000001</v>
      </c>
      <c r="G152" s="16">
        <v>50000</v>
      </c>
      <c r="H152" s="11">
        <f>'First Calculations'!P151</f>
        <v>8846</v>
      </c>
      <c r="I152" s="12"/>
      <c r="J152" s="13">
        <f t="shared" si="4"/>
        <v>0.17691999999999999</v>
      </c>
      <c r="L152" t="str">
        <f t="shared" si="5"/>
        <v>20.c.ps.102.504  - Opera Orlando, Inc.  $8846</v>
      </c>
    </row>
    <row r="153" spans="1:12" ht="25.5" x14ac:dyDescent="0.25">
      <c r="A153" s="15">
        <v>151</v>
      </c>
      <c r="B153" s="15" t="s">
        <v>347</v>
      </c>
      <c r="C153" s="15" t="s">
        <v>348</v>
      </c>
      <c r="D153" s="15" t="s">
        <v>57</v>
      </c>
      <c r="E153" s="16">
        <v>150000</v>
      </c>
      <c r="F153" s="15">
        <v>93.286000000000001</v>
      </c>
      <c r="G153" s="16">
        <v>150000</v>
      </c>
      <c r="H153" s="11">
        <f>'First Calculations'!P152</f>
        <v>26509</v>
      </c>
      <c r="I153" s="12"/>
      <c r="J153" s="13">
        <f t="shared" si="4"/>
        <v>0.17672666666666667</v>
      </c>
      <c r="L153" t="str">
        <f t="shared" si="5"/>
        <v>20.c.ps.170.599  - Lowry Park Zoological Society of Tampa, Inc.  $26509</v>
      </c>
    </row>
    <row r="154" spans="1:12" ht="15.75" x14ac:dyDescent="0.25">
      <c r="A154" s="15">
        <v>152</v>
      </c>
      <c r="B154" s="15" t="s">
        <v>349</v>
      </c>
      <c r="C154" s="15" t="s">
        <v>350</v>
      </c>
      <c r="D154" s="15" t="s">
        <v>50</v>
      </c>
      <c r="E154" s="16">
        <v>150000</v>
      </c>
      <c r="F154" s="15">
        <v>93.286000000000001</v>
      </c>
      <c r="G154" s="16">
        <v>150000</v>
      </c>
      <c r="H154" s="11">
        <f>'First Calculations'!P153</f>
        <v>26509</v>
      </c>
      <c r="I154" s="12"/>
      <c r="J154" s="13">
        <f t="shared" si="4"/>
        <v>0.17672666666666667</v>
      </c>
      <c r="L154" t="str">
        <f t="shared" si="5"/>
        <v>20.c.ps.170.078  - Jacksonville Zoological Society, Inc.  $26509</v>
      </c>
    </row>
    <row r="155" spans="1:12" ht="15.75" x14ac:dyDescent="0.25">
      <c r="A155" s="15">
        <v>153</v>
      </c>
      <c r="B155" s="15" t="s">
        <v>351</v>
      </c>
      <c r="C155" s="15" t="s">
        <v>352</v>
      </c>
      <c r="D155" s="15" t="s">
        <v>39</v>
      </c>
      <c r="E155" s="16">
        <v>130000</v>
      </c>
      <c r="F155" s="15">
        <v>93.2</v>
      </c>
      <c r="G155" s="16">
        <v>130000</v>
      </c>
      <c r="H155" s="11">
        <f>'First Calculations'!P154</f>
        <v>22955</v>
      </c>
      <c r="I155" s="12"/>
      <c r="J155" s="13">
        <f t="shared" si="4"/>
        <v>0.17657692307692308</v>
      </c>
      <c r="L155" t="str">
        <f t="shared" si="5"/>
        <v>20.c.ps.105.208  - Lighthouse ArtCenter, Inc.  $22955</v>
      </c>
    </row>
    <row r="156" spans="1:12" ht="15.75" x14ac:dyDescent="0.25">
      <c r="A156" s="15">
        <v>154</v>
      </c>
      <c r="B156" s="15" t="s">
        <v>353</v>
      </c>
      <c r="C156" s="15" t="s">
        <v>354</v>
      </c>
      <c r="D156" s="15" t="s">
        <v>36</v>
      </c>
      <c r="E156" s="16">
        <v>40000</v>
      </c>
      <c r="F156" s="15">
        <v>93.167000000000002</v>
      </c>
      <c r="G156" s="16">
        <v>40000</v>
      </c>
      <c r="H156" s="11">
        <f>'First Calculations'!P155</f>
        <v>7071</v>
      </c>
      <c r="I156" s="12"/>
      <c r="J156" s="13">
        <f t="shared" si="4"/>
        <v>0.17677499999999999</v>
      </c>
      <c r="L156" t="str">
        <f t="shared" si="5"/>
        <v>20.c.ps.170.319  - World AIDS Museum, Incorporated  $7071</v>
      </c>
    </row>
    <row r="157" spans="1:12" ht="15.75" x14ac:dyDescent="0.25">
      <c r="A157" s="15">
        <v>155</v>
      </c>
      <c r="B157" s="15" t="s">
        <v>355</v>
      </c>
      <c r="C157" s="15" t="s">
        <v>356</v>
      </c>
      <c r="D157" s="15" t="s">
        <v>80</v>
      </c>
      <c r="E157" s="16">
        <v>150000</v>
      </c>
      <c r="F157" s="15">
        <v>93.167000000000002</v>
      </c>
      <c r="G157" s="16">
        <v>150000</v>
      </c>
      <c r="H157" s="11">
        <f>'First Calculations'!P156</f>
        <v>26475</v>
      </c>
      <c r="I157" s="12"/>
      <c r="J157" s="13">
        <f t="shared" si="4"/>
        <v>0.17649999999999999</v>
      </c>
      <c r="L157" t="str">
        <f t="shared" si="5"/>
        <v>20.c.ps.170.624  - Clearwater Marine Aquarium  $26475</v>
      </c>
    </row>
    <row r="158" spans="1:12" ht="15.75" x14ac:dyDescent="0.25">
      <c r="A158" s="15">
        <v>156</v>
      </c>
      <c r="B158" s="15" t="s">
        <v>357</v>
      </c>
      <c r="C158" s="15" t="s">
        <v>358</v>
      </c>
      <c r="D158" s="15" t="s">
        <v>359</v>
      </c>
      <c r="E158" s="16">
        <v>105856</v>
      </c>
      <c r="F158" s="15">
        <v>93.167000000000002</v>
      </c>
      <c r="G158" s="16">
        <v>105856</v>
      </c>
      <c r="H158" s="11">
        <f>'First Calculations'!P157</f>
        <v>18688</v>
      </c>
      <c r="I158" s="12"/>
      <c r="J158" s="13">
        <f t="shared" si="4"/>
        <v>0.17654171704957677</v>
      </c>
      <c r="L158" t="str">
        <f t="shared" si="5"/>
        <v>20.c.ps.101.257  - Northwest Florida Ballet, Inc.  $18688</v>
      </c>
    </row>
    <row r="159" spans="1:12" ht="15.75" x14ac:dyDescent="0.25">
      <c r="A159" s="15">
        <v>157</v>
      </c>
      <c r="B159" s="15" t="s">
        <v>360</v>
      </c>
      <c r="C159" s="15" t="s">
        <v>361</v>
      </c>
      <c r="D159" s="15" t="s">
        <v>87</v>
      </c>
      <c r="E159" s="16">
        <v>102500</v>
      </c>
      <c r="F159" s="15">
        <v>93.143000000000001</v>
      </c>
      <c r="G159" s="16">
        <v>102500</v>
      </c>
      <c r="H159" s="11">
        <f>'First Calculations'!P158</f>
        <v>18091</v>
      </c>
      <c r="I159" s="12"/>
      <c r="J159" s="13">
        <f t="shared" si="4"/>
        <v>0.17649756097560976</v>
      </c>
      <c r="L159" t="str">
        <f t="shared" si="5"/>
        <v>20.c.ps.114.644  - Downtown Arts District, Inc.  $18091</v>
      </c>
    </row>
    <row r="160" spans="1:12" ht="15.75" x14ac:dyDescent="0.25">
      <c r="A160" s="15">
        <v>158</v>
      </c>
      <c r="B160" s="15" t="s">
        <v>362</v>
      </c>
      <c r="C160" s="15" t="s">
        <v>363</v>
      </c>
      <c r="D160" s="15" t="s">
        <v>28</v>
      </c>
      <c r="E160" s="16">
        <v>97000</v>
      </c>
      <c r="F160" s="15">
        <v>93.143000000000001</v>
      </c>
      <c r="G160" s="16">
        <v>97000</v>
      </c>
      <c r="H160" s="11">
        <f>'First Calculations'!P159</f>
        <v>17121</v>
      </c>
      <c r="I160" s="12"/>
      <c r="J160" s="13">
        <f t="shared" si="4"/>
        <v>0.17650515463917527</v>
      </c>
      <c r="L160" t="str">
        <f t="shared" si="5"/>
        <v>20.c.ps.180.593  - The Rhythm Foundation, Inc.  $17121</v>
      </c>
    </row>
    <row r="161" spans="1:12" ht="15.75" x14ac:dyDescent="0.25">
      <c r="A161" s="15">
        <v>159</v>
      </c>
      <c r="B161" s="15" t="s">
        <v>364</v>
      </c>
      <c r="C161" s="15" t="s">
        <v>365</v>
      </c>
      <c r="D161" s="15" t="s">
        <v>67</v>
      </c>
      <c r="E161" s="16">
        <v>150000</v>
      </c>
      <c r="F161" s="15">
        <v>93.143000000000001</v>
      </c>
      <c r="G161" s="16">
        <v>150000</v>
      </c>
      <c r="H161" s="11">
        <f>'First Calculations'!P160</f>
        <v>26468</v>
      </c>
      <c r="I161" s="12"/>
      <c r="J161" s="13">
        <f t="shared" si="4"/>
        <v>0.17645333333333332</v>
      </c>
      <c r="L161" t="str">
        <f t="shared" si="5"/>
        <v>20.c.ps.114.496  - City of Gainesville  $26468</v>
      </c>
    </row>
    <row r="162" spans="1:12" ht="15.75" x14ac:dyDescent="0.25">
      <c r="A162" s="15">
        <v>160</v>
      </c>
      <c r="B162" s="15" t="s">
        <v>366</v>
      </c>
      <c r="C162" s="15" t="s">
        <v>367</v>
      </c>
      <c r="D162" s="15" t="s">
        <v>87</v>
      </c>
      <c r="E162" s="16">
        <v>143592</v>
      </c>
      <c r="F162" s="15">
        <v>93</v>
      </c>
      <c r="G162" s="16">
        <v>143592</v>
      </c>
      <c r="H162" s="11">
        <f>'First Calculations'!P161</f>
        <v>25299</v>
      </c>
      <c r="I162" s="12"/>
      <c r="J162" s="13">
        <f t="shared" si="4"/>
        <v>0.17618669563763997</v>
      </c>
      <c r="L162" t="str">
        <f t="shared" si="5"/>
        <v>20.c.ps.170.234  - Rollins College  $25299</v>
      </c>
    </row>
    <row r="163" spans="1:12" ht="15.75" x14ac:dyDescent="0.25">
      <c r="A163" s="15">
        <v>161</v>
      </c>
      <c r="B163" s="15" t="s">
        <v>368</v>
      </c>
      <c r="C163" s="15" t="s">
        <v>369</v>
      </c>
      <c r="D163" s="15" t="s">
        <v>28</v>
      </c>
      <c r="E163" s="16">
        <v>90000</v>
      </c>
      <c r="F163" s="15">
        <v>93</v>
      </c>
      <c r="G163" s="16">
        <v>90000</v>
      </c>
      <c r="H163" s="11">
        <f>'First Calculations'!P162</f>
        <v>15862</v>
      </c>
      <c r="I163" s="12"/>
      <c r="J163" s="13">
        <f t="shared" si="4"/>
        <v>0.17624444444444445</v>
      </c>
      <c r="L163" t="str">
        <f t="shared" si="5"/>
        <v>20.c.ps.105.782  - Locust Projects, Inc.  $15862</v>
      </c>
    </row>
    <row r="164" spans="1:12" ht="15.75" x14ac:dyDescent="0.25">
      <c r="A164" s="15">
        <v>162</v>
      </c>
      <c r="B164" s="15" t="s">
        <v>370</v>
      </c>
      <c r="C164" s="15" t="s">
        <v>371</v>
      </c>
      <c r="D164" s="15" t="s">
        <v>102</v>
      </c>
      <c r="E164" s="16">
        <v>103387</v>
      </c>
      <c r="F164" s="15">
        <v>93</v>
      </c>
      <c r="G164" s="16">
        <v>103387</v>
      </c>
      <c r="H164" s="11">
        <f>'First Calculations'!P163</f>
        <v>18220</v>
      </c>
      <c r="I164" s="12"/>
      <c r="J164" s="13">
        <f t="shared" si="4"/>
        <v>0.17623105419443449</v>
      </c>
      <c r="L164" t="str">
        <f t="shared" si="5"/>
        <v>20.c.ps.102.228  - Pensacola Opera  $18220</v>
      </c>
    </row>
    <row r="165" spans="1:12" ht="15.75" x14ac:dyDescent="0.25">
      <c r="A165" s="15">
        <v>163</v>
      </c>
      <c r="B165" s="15" t="s">
        <v>372</v>
      </c>
      <c r="C165" s="15" t="s">
        <v>373</v>
      </c>
      <c r="D165" s="15" t="s">
        <v>33</v>
      </c>
      <c r="E165" s="16">
        <v>150000</v>
      </c>
      <c r="F165" s="15">
        <v>93</v>
      </c>
      <c r="G165" s="16">
        <v>150000</v>
      </c>
      <c r="H165" s="11">
        <f>'First Calculations'!P164</f>
        <v>26427</v>
      </c>
      <c r="I165" s="12"/>
      <c r="J165" s="13">
        <f t="shared" si="4"/>
        <v>0.17618</v>
      </c>
      <c r="L165" t="str">
        <f t="shared" si="5"/>
        <v>20.c.ps.170.555  - The Marie Selby Botanical Gardens, Inc.  $26427</v>
      </c>
    </row>
    <row r="166" spans="1:12" ht="15.75" x14ac:dyDescent="0.25">
      <c r="A166" s="15">
        <v>164</v>
      </c>
      <c r="B166" s="15" t="s">
        <v>374</v>
      </c>
      <c r="C166" s="15" t="s">
        <v>375</v>
      </c>
      <c r="D166" s="15" t="s">
        <v>87</v>
      </c>
      <c r="E166" s="16">
        <v>148964</v>
      </c>
      <c r="F166" s="15">
        <v>93</v>
      </c>
      <c r="G166" s="16">
        <v>148964</v>
      </c>
      <c r="H166" s="11">
        <f>'First Calculations'!P165</f>
        <v>26245</v>
      </c>
      <c r="I166" s="12"/>
      <c r="J166" s="13">
        <f t="shared" si="4"/>
        <v>0.17618350742461267</v>
      </c>
      <c r="L166" t="str">
        <f t="shared" si="5"/>
        <v>20.c.ps.142.704  - Garden Theatre, Inc.  $26245</v>
      </c>
    </row>
    <row r="167" spans="1:12" ht="15.75" x14ac:dyDescent="0.25">
      <c r="A167" s="15">
        <v>165</v>
      </c>
      <c r="B167" s="15" t="s">
        <v>376</v>
      </c>
      <c r="C167" s="15" t="s">
        <v>377</v>
      </c>
      <c r="D167" s="15" t="s">
        <v>36</v>
      </c>
      <c r="E167" s="16">
        <v>90000</v>
      </c>
      <c r="F167" s="15">
        <v>93</v>
      </c>
      <c r="G167" s="16">
        <v>90000</v>
      </c>
      <c r="H167" s="11">
        <f>'First Calculations'!P166</f>
        <v>15862</v>
      </c>
      <c r="I167" s="12"/>
      <c r="J167" s="13">
        <f t="shared" si="4"/>
        <v>0.17624444444444445</v>
      </c>
      <c r="L167" t="str">
        <f t="shared" si="5"/>
        <v>20.c.ps.170.374  - Stonewall Library &amp; Archives, Inc.  $15862</v>
      </c>
    </row>
    <row r="168" spans="1:12" ht="15.75" x14ac:dyDescent="0.25">
      <c r="A168" s="15">
        <v>166</v>
      </c>
      <c r="B168" s="15" t="s">
        <v>378</v>
      </c>
      <c r="C168" s="15" t="s">
        <v>379</v>
      </c>
      <c r="D168" s="15" t="s">
        <v>28</v>
      </c>
      <c r="E168" s="16">
        <v>75000</v>
      </c>
      <c r="F168" s="15">
        <v>93</v>
      </c>
      <c r="G168" s="16">
        <v>75000</v>
      </c>
      <c r="H168" s="11">
        <f>'First Calculations'!P167</f>
        <v>13221</v>
      </c>
      <c r="I168" s="12"/>
      <c r="J168" s="13">
        <f t="shared" si="4"/>
        <v>0.17627999999999999</v>
      </c>
      <c r="L168" t="str">
        <f t="shared" si="5"/>
        <v>20.c.ps.170.638  - University of Miami  $13221</v>
      </c>
    </row>
    <row r="169" spans="1:12" ht="15.75" x14ac:dyDescent="0.25">
      <c r="A169" s="15">
        <v>167</v>
      </c>
      <c r="B169" s="15" t="s">
        <v>380</v>
      </c>
      <c r="C169" s="15" t="s">
        <v>381</v>
      </c>
      <c r="D169" s="15" t="s">
        <v>28</v>
      </c>
      <c r="E169" s="16">
        <v>150000</v>
      </c>
      <c r="F169" s="15">
        <v>93</v>
      </c>
      <c r="G169" s="16">
        <v>150000</v>
      </c>
      <c r="H169" s="11">
        <f>'First Calculations'!P168</f>
        <v>26427</v>
      </c>
      <c r="I169" s="12"/>
      <c r="J169" s="13">
        <f t="shared" si="4"/>
        <v>0.17618</v>
      </c>
      <c r="L169" t="str">
        <f t="shared" si="5"/>
        <v>20.c.ps.114.166  - Miami Design Preservation League, Inc.  $26427</v>
      </c>
    </row>
    <row r="170" spans="1:12" ht="15.75" x14ac:dyDescent="0.25">
      <c r="A170" s="15">
        <v>168</v>
      </c>
      <c r="B170" s="15" t="s">
        <v>382</v>
      </c>
      <c r="C170" s="15" t="s">
        <v>383</v>
      </c>
      <c r="D170" s="15" t="s">
        <v>39</v>
      </c>
      <c r="E170" s="16">
        <v>118888</v>
      </c>
      <c r="F170" s="15">
        <v>93</v>
      </c>
      <c r="G170" s="16">
        <v>118888</v>
      </c>
      <c r="H170" s="11">
        <f>'First Calculations'!P169</f>
        <v>20949</v>
      </c>
      <c r="I170" s="12"/>
      <c r="J170" s="13">
        <f t="shared" si="4"/>
        <v>0.17620785949801493</v>
      </c>
      <c r="L170" t="str">
        <f t="shared" si="5"/>
        <v>20.c.ps.114.640  - Creative City Collaborative of Delray Beach, Inc.  $20949</v>
      </c>
    </row>
    <row r="171" spans="1:12" ht="15.75" x14ac:dyDescent="0.25">
      <c r="A171" s="15">
        <v>169</v>
      </c>
      <c r="B171" s="15" t="s">
        <v>384</v>
      </c>
      <c r="C171" s="15" t="s">
        <v>385</v>
      </c>
      <c r="D171" s="15" t="s">
        <v>102</v>
      </c>
      <c r="E171" s="16">
        <v>149633</v>
      </c>
      <c r="F171" s="15">
        <v>92.875</v>
      </c>
      <c r="G171" s="16">
        <v>149633</v>
      </c>
      <c r="H171" s="11">
        <f>'First Calculations'!P170</f>
        <v>26327</v>
      </c>
      <c r="I171" s="12"/>
      <c r="J171" s="13">
        <f t="shared" si="4"/>
        <v>0.17594380918647626</v>
      </c>
      <c r="L171" t="str">
        <f t="shared" si="5"/>
        <v>20.c.ps.102.381  - The Greater Pensacola Symphony Orchestra, Incorporated  $26327</v>
      </c>
    </row>
    <row r="172" spans="1:12" ht="15.75" x14ac:dyDescent="0.25">
      <c r="A172" s="15">
        <v>170</v>
      </c>
      <c r="B172" s="15" t="s">
        <v>386</v>
      </c>
      <c r="C172" s="15" t="s">
        <v>387</v>
      </c>
      <c r="D172" s="15" t="s">
        <v>388</v>
      </c>
      <c r="E172" s="16">
        <v>25000</v>
      </c>
      <c r="F172" s="15">
        <v>92.856999999999999</v>
      </c>
      <c r="G172" s="16">
        <v>25000</v>
      </c>
      <c r="H172" s="11">
        <f>'First Calculations'!P171</f>
        <v>4410</v>
      </c>
      <c r="I172" s="12"/>
      <c r="J172" s="13">
        <f t="shared" si="4"/>
        <v>0.1764</v>
      </c>
      <c r="L172" t="str">
        <f t="shared" si="5"/>
        <v>20.c.ps.114.655  - Heathcote Botanical Gardens, Inc.  $4410</v>
      </c>
    </row>
    <row r="173" spans="1:12" ht="15.75" x14ac:dyDescent="0.25">
      <c r="A173" s="15">
        <v>171</v>
      </c>
      <c r="B173" s="15" t="s">
        <v>389</v>
      </c>
      <c r="C173" s="15" t="s">
        <v>390</v>
      </c>
      <c r="D173" s="15" t="s">
        <v>28</v>
      </c>
      <c r="E173" s="16">
        <v>6000</v>
      </c>
      <c r="F173" s="15">
        <v>92.832999999999998</v>
      </c>
      <c r="G173" s="16">
        <v>6000</v>
      </c>
      <c r="H173" s="11">
        <f>'First Calculations'!P172</f>
        <v>1070</v>
      </c>
      <c r="I173" s="12"/>
      <c r="J173" s="13">
        <f t="shared" si="4"/>
        <v>0.17833333333333334</v>
      </c>
      <c r="L173" t="str">
        <f t="shared" si="5"/>
        <v>20.c.ps.110.481  - Hispanic Heritage Literature Organization Corp  $1070</v>
      </c>
    </row>
    <row r="174" spans="1:12" ht="15.75" x14ac:dyDescent="0.25">
      <c r="A174" s="15">
        <v>172</v>
      </c>
      <c r="B174" s="15" t="s">
        <v>391</v>
      </c>
      <c r="C174" s="15" t="s">
        <v>392</v>
      </c>
      <c r="D174" s="15" t="s">
        <v>287</v>
      </c>
      <c r="E174" s="16">
        <v>90000</v>
      </c>
      <c r="F174" s="15">
        <v>92.832999999999998</v>
      </c>
      <c r="G174" s="16">
        <v>90000</v>
      </c>
      <c r="H174" s="11">
        <f>'First Calculations'!P173</f>
        <v>15834</v>
      </c>
      <c r="I174" s="12"/>
      <c r="J174" s="13">
        <f t="shared" si="4"/>
        <v>0.17593333333333333</v>
      </c>
      <c r="L174" t="str">
        <f t="shared" si="5"/>
        <v>20.c.ps.110.544  - Key West Literary Seminar, Inc.  $15834</v>
      </c>
    </row>
    <row r="175" spans="1:12" ht="15.75" x14ac:dyDescent="0.25">
      <c r="A175" s="15">
        <v>173</v>
      </c>
      <c r="B175" s="15" t="s">
        <v>393</v>
      </c>
      <c r="C175" s="15" t="s">
        <v>394</v>
      </c>
      <c r="D175" s="15" t="s">
        <v>28</v>
      </c>
      <c r="E175" s="16">
        <v>150000</v>
      </c>
      <c r="F175" s="15">
        <v>92.832999999999998</v>
      </c>
      <c r="G175" s="16">
        <v>150000</v>
      </c>
      <c r="H175" s="11">
        <f>'First Calculations'!P174</f>
        <v>26380</v>
      </c>
      <c r="I175" s="12"/>
      <c r="J175" s="13">
        <f t="shared" si="4"/>
        <v>0.17586666666666667</v>
      </c>
      <c r="L175" t="str">
        <f t="shared" si="5"/>
        <v>20.c.ps.142.127  - Gablestage, Inc.  $26380</v>
      </c>
    </row>
    <row r="176" spans="1:12" ht="15.75" x14ac:dyDescent="0.25">
      <c r="A176" s="15">
        <v>174</v>
      </c>
      <c r="B176" s="15" t="s">
        <v>395</v>
      </c>
      <c r="C176" s="15" t="s">
        <v>396</v>
      </c>
      <c r="D176" s="15" t="s">
        <v>397</v>
      </c>
      <c r="E176" s="16">
        <v>63851</v>
      </c>
      <c r="F176" s="15">
        <v>92.832999999999998</v>
      </c>
      <c r="G176" s="16">
        <v>63851</v>
      </c>
      <c r="H176" s="11">
        <f>'First Calculations'!P175</f>
        <v>11238</v>
      </c>
      <c r="I176" s="12"/>
      <c r="J176" s="13">
        <f t="shared" si="4"/>
        <v>0.17600350816745236</v>
      </c>
      <c r="L176" t="str">
        <f t="shared" si="5"/>
        <v>20.c.ps.142.756  - Emerald Coast Theatre Company  $11238</v>
      </c>
    </row>
    <row r="177" spans="1:12" ht="25.5" x14ac:dyDescent="0.25">
      <c r="A177" s="15">
        <v>175</v>
      </c>
      <c r="B177" s="15" t="s">
        <v>398</v>
      </c>
      <c r="C177" s="15" t="s">
        <v>399</v>
      </c>
      <c r="D177" s="15" t="s">
        <v>57</v>
      </c>
      <c r="E177" s="16">
        <v>40950</v>
      </c>
      <c r="F177" s="15">
        <v>92.832999999999998</v>
      </c>
      <c r="G177" s="16">
        <v>40950</v>
      </c>
      <c r="H177" s="11">
        <f>'First Calculations'!P176</f>
        <v>7213</v>
      </c>
      <c r="I177" s="12"/>
      <c r="J177" s="13">
        <f t="shared" si="4"/>
        <v>0.17614163614163614</v>
      </c>
      <c r="L177" t="str">
        <f t="shared" si="5"/>
        <v>20.c.ps.142.308  - The Jobsite Theater, Inc.  $7213</v>
      </c>
    </row>
    <row r="178" spans="1:12" ht="15.75" x14ac:dyDescent="0.25">
      <c r="A178" s="15">
        <v>176</v>
      </c>
      <c r="B178" s="15" t="s">
        <v>400</v>
      </c>
      <c r="C178" s="15" t="s">
        <v>401</v>
      </c>
      <c r="D178" s="15" t="s">
        <v>287</v>
      </c>
      <c r="E178" s="16">
        <v>20000</v>
      </c>
      <c r="F178" s="15">
        <v>92.832999999999998</v>
      </c>
      <c r="G178" s="16">
        <v>20000</v>
      </c>
      <c r="H178" s="11">
        <f>'First Calculations'!P177</f>
        <v>3530</v>
      </c>
      <c r="I178" s="12"/>
      <c r="J178" s="13">
        <f t="shared" si="4"/>
        <v>0.17649999999999999</v>
      </c>
      <c r="L178" t="str">
        <f t="shared" si="5"/>
        <v>20.c.ps.200.510  - Bahama Village Music Program, Inc.  $3530</v>
      </c>
    </row>
    <row r="179" spans="1:12" ht="15.75" x14ac:dyDescent="0.25">
      <c r="A179" s="15">
        <v>177</v>
      </c>
      <c r="B179" s="15" t="s">
        <v>402</v>
      </c>
      <c r="C179" s="15" t="s">
        <v>403</v>
      </c>
      <c r="D179" s="15" t="s">
        <v>102</v>
      </c>
      <c r="E179" s="16">
        <v>35600</v>
      </c>
      <c r="F179" s="15">
        <v>92.8</v>
      </c>
      <c r="G179" s="16">
        <v>35600</v>
      </c>
      <c r="H179" s="11">
        <f>'First Calculations'!P178</f>
        <v>6270</v>
      </c>
      <c r="I179" s="12"/>
      <c r="J179" s="13">
        <f t="shared" si="4"/>
        <v>0.17612359550561799</v>
      </c>
      <c r="L179" t="str">
        <f t="shared" si="5"/>
        <v>20.c.ps.102.361  - Jazz Society of Pensacola, Inc.  $6270</v>
      </c>
    </row>
    <row r="180" spans="1:12" ht="15.75" x14ac:dyDescent="0.25">
      <c r="A180" s="15">
        <v>178</v>
      </c>
      <c r="B180" s="15" t="s">
        <v>404</v>
      </c>
      <c r="C180" s="15" t="s">
        <v>405</v>
      </c>
      <c r="D180" s="15" t="s">
        <v>33</v>
      </c>
      <c r="E180" s="16">
        <v>87000</v>
      </c>
      <c r="F180" s="15">
        <v>92.713999999999999</v>
      </c>
      <c r="G180" s="16">
        <v>87000</v>
      </c>
      <c r="H180" s="11">
        <f>'First Calculations'!P179</f>
        <v>15287</v>
      </c>
      <c r="I180" s="12"/>
      <c r="J180" s="13">
        <f t="shared" si="4"/>
        <v>0.17571264367816092</v>
      </c>
      <c r="L180" t="str">
        <f t="shared" si="5"/>
        <v>20.c.ps.170.714  - Save Our Seabirds, Inc.  $15287</v>
      </c>
    </row>
    <row r="181" spans="1:12" ht="25.5" x14ac:dyDescent="0.25">
      <c r="A181" s="15">
        <v>179</v>
      </c>
      <c r="B181" s="15" t="s">
        <v>406</v>
      </c>
      <c r="C181" s="15" t="s">
        <v>407</v>
      </c>
      <c r="D181" s="15" t="s">
        <v>57</v>
      </c>
      <c r="E181" s="16">
        <v>51750</v>
      </c>
      <c r="F181" s="15">
        <v>92.667000000000002</v>
      </c>
      <c r="G181" s="16">
        <v>51750</v>
      </c>
      <c r="H181" s="11">
        <f>'First Calculations'!P180</f>
        <v>9095</v>
      </c>
      <c r="I181" s="12"/>
      <c r="J181" s="13">
        <f t="shared" si="4"/>
        <v>0.17574879227053139</v>
      </c>
      <c r="L181" t="str">
        <f t="shared" si="5"/>
        <v>20.c.ps.142.528  - Stage Works, Inc.  $9095</v>
      </c>
    </row>
    <row r="182" spans="1:12" ht="15.75" x14ac:dyDescent="0.25">
      <c r="A182" s="15">
        <v>180</v>
      </c>
      <c r="B182" s="15" t="s">
        <v>408</v>
      </c>
      <c r="C182" s="15" t="s">
        <v>409</v>
      </c>
      <c r="D182" s="15" t="s">
        <v>304</v>
      </c>
      <c r="E182" s="16">
        <v>25000</v>
      </c>
      <c r="F182" s="15">
        <v>92.667000000000002</v>
      </c>
      <c r="G182" s="16">
        <v>25000</v>
      </c>
      <c r="H182" s="11">
        <f>'First Calculations'!P181</f>
        <v>4401</v>
      </c>
      <c r="I182" s="12"/>
      <c r="J182" s="13">
        <f t="shared" si="4"/>
        <v>0.17604</v>
      </c>
      <c r="L182" t="str">
        <f t="shared" si="5"/>
        <v>20.c.ps.170.636  - City of Sanford  $4401</v>
      </c>
    </row>
    <row r="183" spans="1:12" ht="15.75" x14ac:dyDescent="0.25">
      <c r="A183" s="15">
        <v>181</v>
      </c>
      <c r="B183" s="15" t="s">
        <v>410</v>
      </c>
      <c r="C183" s="15" t="s">
        <v>411</v>
      </c>
      <c r="D183" s="15" t="s">
        <v>28</v>
      </c>
      <c r="E183" s="16">
        <v>150000</v>
      </c>
      <c r="F183" s="15">
        <v>92.625</v>
      </c>
      <c r="G183" s="16">
        <v>150000</v>
      </c>
      <c r="H183" s="11">
        <f>'First Calculations'!P182</f>
        <v>26321</v>
      </c>
      <c r="I183" s="12"/>
      <c r="J183" s="13">
        <f t="shared" si="4"/>
        <v>0.17547333333333334</v>
      </c>
      <c r="L183" t="str">
        <f t="shared" si="5"/>
        <v>20.c.ps.102.626  - Florida Grand Opera, Inc.  $26321</v>
      </c>
    </row>
    <row r="184" spans="1:12" ht="15.75" x14ac:dyDescent="0.25">
      <c r="A184" s="15">
        <v>182</v>
      </c>
      <c r="B184" s="15" t="s">
        <v>412</v>
      </c>
      <c r="C184" s="15" t="s">
        <v>413</v>
      </c>
      <c r="D184" s="15" t="s">
        <v>28</v>
      </c>
      <c r="E184" s="16">
        <v>17000</v>
      </c>
      <c r="F184" s="15">
        <v>92.6</v>
      </c>
      <c r="G184" s="16">
        <v>17000</v>
      </c>
      <c r="H184" s="11">
        <f>'First Calculations'!P183</f>
        <v>2995</v>
      </c>
      <c r="I184" s="12"/>
      <c r="J184" s="13">
        <f t="shared" si="4"/>
        <v>0.1761764705882353</v>
      </c>
      <c r="L184" t="str">
        <f t="shared" si="5"/>
        <v>20.c.ps.102.612  - The Children's Voice Chorus, Inc.  $2995</v>
      </c>
    </row>
    <row r="185" spans="1:12" ht="15.75" x14ac:dyDescent="0.25">
      <c r="A185" s="15">
        <v>183</v>
      </c>
      <c r="B185" s="15" t="s">
        <v>414</v>
      </c>
      <c r="C185" s="15" t="s">
        <v>415</v>
      </c>
      <c r="D185" s="15" t="s">
        <v>33</v>
      </c>
      <c r="E185" s="16">
        <v>150000</v>
      </c>
      <c r="F185" s="15">
        <v>92.570999999999998</v>
      </c>
      <c r="G185" s="16">
        <v>150000</v>
      </c>
      <c r="H185" s="11">
        <f>'First Calculations'!P184</f>
        <v>26305</v>
      </c>
      <c r="I185" s="12"/>
      <c r="J185" s="13">
        <f t="shared" si="4"/>
        <v>0.17536666666666667</v>
      </c>
      <c r="L185" t="str">
        <f t="shared" si="5"/>
        <v>20.c.ps.114.716  - The Circus Arts Conservatory, Inc.  $26305</v>
      </c>
    </row>
    <row r="186" spans="1:12" ht="15.75" x14ac:dyDescent="0.25">
      <c r="A186" s="15">
        <v>184</v>
      </c>
      <c r="B186" s="15" t="s">
        <v>416</v>
      </c>
      <c r="C186" s="15" t="s">
        <v>417</v>
      </c>
      <c r="D186" s="15" t="s">
        <v>28</v>
      </c>
      <c r="E186" s="16">
        <v>25900</v>
      </c>
      <c r="F186" s="15">
        <v>92.570999999999998</v>
      </c>
      <c r="G186" s="16">
        <v>25900</v>
      </c>
      <c r="H186" s="11">
        <f>'First Calculations'!P185</f>
        <v>4554</v>
      </c>
      <c r="I186" s="12"/>
      <c r="J186" s="13">
        <f t="shared" si="4"/>
        <v>0.17583011583011582</v>
      </c>
      <c r="L186" t="str">
        <f t="shared" si="5"/>
        <v>20.c.ps.101.169  - The Dance Now! Ensemble, Inc.  $4554</v>
      </c>
    </row>
    <row r="187" spans="1:12" ht="15.75" x14ac:dyDescent="0.25">
      <c r="A187" s="15">
        <v>185</v>
      </c>
      <c r="B187" s="15" t="s">
        <v>418</v>
      </c>
      <c r="C187" s="15" t="s">
        <v>217</v>
      </c>
      <c r="D187" s="15" t="s">
        <v>28</v>
      </c>
      <c r="E187" s="16">
        <v>55196</v>
      </c>
      <c r="F187" s="15">
        <v>92.570999999999998</v>
      </c>
      <c r="G187" s="16">
        <v>55196</v>
      </c>
      <c r="H187" s="11">
        <f>'First Calculations'!P186</f>
        <v>9689</v>
      </c>
      <c r="I187" s="12"/>
      <c r="J187" s="13">
        <f t="shared" si="4"/>
        <v>0.17553808246974417</v>
      </c>
      <c r="L187" t="str">
        <f t="shared" si="5"/>
        <v>20.c.ps.114.472  - Miami Dade College  $9689</v>
      </c>
    </row>
    <row r="188" spans="1:12" ht="15.75" x14ac:dyDescent="0.25">
      <c r="A188" s="15">
        <v>186</v>
      </c>
      <c r="B188" s="15" t="s">
        <v>419</v>
      </c>
      <c r="C188" s="15" t="s">
        <v>420</v>
      </c>
      <c r="D188" s="15" t="s">
        <v>124</v>
      </c>
      <c r="E188" s="16">
        <v>150000</v>
      </c>
      <c r="F188" s="15">
        <v>92.570999999999998</v>
      </c>
      <c r="G188" s="16">
        <v>150000</v>
      </c>
      <c r="H188" s="11">
        <f>'First Calculations'!P187</f>
        <v>26305</v>
      </c>
      <c r="I188" s="12"/>
      <c r="J188" s="13">
        <f t="shared" si="4"/>
        <v>0.17536666666666667</v>
      </c>
      <c r="L188" t="str">
        <f t="shared" si="5"/>
        <v>20.c.ps.170.321  - Shell Museum and Educational Foundation, Inc.  $26305</v>
      </c>
    </row>
    <row r="189" spans="1:12" ht="15.75" x14ac:dyDescent="0.25">
      <c r="A189" s="15">
        <v>187</v>
      </c>
      <c r="B189" s="15" t="s">
        <v>421</v>
      </c>
      <c r="C189" s="15" t="s">
        <v>422</v>
      </c>
      <c r="D189" s="15" t="s">
        <v>115</v>
      </c>
      <c r="E189" s="16">
        <v>29195</v>
      </c>
      <c r="F189" s="15">
        <v>92.5</v>
      </c>
      <c r="G189" s="16">
        <v>29195</v>
      </c>
      <c r="H189" s="11">
        <f>'First Calculations'!P188</f>
        <v>5128</v>
      </c>
      <c r="I189" s="12"/>
      <c r="J189" s="13">
        <f t="shared" si="4"/>
        <v>0.1756465148141805</v>
      </c>
      <c r="L189" t="str">
        <f t="shared" si="5"/>
        <v>20.c.ps.180.622  - The Artist Series of Tallahassee, Inc.  $5128</v>
      </c>
    </row>
    <row r="190" spans="1:12" ht="15.75" x14ac:dyDescent="0.25">
      <c r="A190" s="15">
        <v>188</v>
      </c>
      <c r="B190" s="15" t="s">
        <v>423</v>
      </c>
      <c r="C190" s="15" t="s">
        <v>424</v>
      </c>
      <c r="D190" s="15" t="s">
        <v>28</v>
      </c>
      <c r="E190" s="16">
        <v>103827</v>
      </c>
      <c r="F190" s="15">
        <v>92.5</v>
      </c>
      <c r="G190" s="16">
        <v>103827</v>
      </c>
      <c r="H190" s="11">
        <f>'First Calculations'!P189</f>
        <v>18199</v>
      </c>
      <c r="I190" s="12"/>
      <c r="J190" s="13">
        <f t="shared" si="4"/>
        <v>0.17528195941325475</v>
      </c>
      <c r="L190" t="str">
        <f t="shared" si="5"/>
        <v>20.c.ps.142.132  - Miami New Drama  $18199</v>
      </c>
    </row>
    <row r="191" spans="1:12" ht="15.75" x14ac:dyDescent="0.25">
      <c r="A191" s="15">
        <v>189</v>
      </c>
      <c r="B191" s="15" t="s">
        <v>425</v>
      </c>
      <c r="C191" s="15" t="s">
        <v>426</v>
      </c>
      <c r="D191" s="15" t="s">
        <v>102</v>
      </c>
      <c r="E191" s="16">
        <v>22685</v>
      </c>
      <c r="F191" s="15">
        <v>92.5</v>
      </c>
      <c r="G191" s="16">
        <v>22685</v>
      </c>
      <c r="H191" s="11">
        <f>'First Calculations'!P190</f>
        <v>3988</v>
      </c>
      <c r="I191" s="12"/>
      <c r="J191" s="13">
        <f t="shared" si="4"/>
        <v>0.17579898611417236</v>
      </c>
      <c r="L191" t="str">
        <f t="shared" si="5"/>
        <v>20.c.ps.102.457  - The Choral Society of Pensacola, Inc.  $3988</v>
      </c>
    </row>
    <row r="192" spans="1:12" ht="25.5" x14ac:dyDescent="0.25">
      <c r="A192" s="15">
        <v>190</v>
      </c>
      <c r="B192" s="15" t="s">
        <v>427</v>
      </c>
      <c r="C192" s="15" t="s">
        <v>428</v>
      </c>
      <c r="D192" s="15" t="s">
        <v>57</v>
      </c>
      <c r="E192" s="16">
        <v>144895</v>
      </c>
      <c r="F192" s="15">
        <v>92.5</v>
      </c>
      <c r="G192" s="16">
        <v>144895</v>
      </c>
      <c r="H192" s="11">
        <f>'First Calculations'!P191</f>
        <v>25391</v>
      </c>
      <c r="I192" s="12"/>
      <c r="J192" s="13">
        <f t="shared" si="4"/>
        <v>0.17523724076055075</v>
      </c>
      <c r="L192" t="str">
        <f t="shared" si="5"/>
        <v>20.c.ps.600.040  - VSA Florida, Inc.  $25391</v>
      </c>
    </row>
    <row r="193" spans="1:12" ht="15.75" x14ac:dyDescent="0.25">
      <c r="A193" s="15">
        <v>191</v>
      </c>
      <c r="B193" s="15" t="s">
        <v>429</v>
      </c>
      <c r="C193" s="15" t="s">
        <v>430</v>
      </c>
      <c r="D193" s="15" t="s">
        <v>36</v>
      </c>
      <c r="E193" s="16">
        <v>44000</v>
      </c>
      <c r="F193" s="15">
        <v>92.5</v>
      </c>
      <c r="G193" s="16">
        <v>44000</v>
      </c>
      <c r="H193" s="11">
        <f>'First Calculations'!P192</f>
        <v>7721</v>
      </c>
      <c r="I193" s="12"/>
      <c r="J193" s="13">
        <f t="shared" si="4"/>
        <v>0.17547727272727273</v>
      </c>
      <c r="L193" t="str">
        <f t="shared" si="5"/>
        <v>20.c.ps.142.526  - Island City Stage, Inc.  $7721</v>
      </c>
    </row>
    <row r="194" spans="1:12" ht="25.5" x14ac:dyDescent="0.25">
      <c r="A194" s="15">
        <v>192</v>
      </c>
      <c r="B194" s="15" t="s">
        <v>431</v>
      </c>
      <c r="C194" s="15" t="s">
        <v>432</v>
      </c>
      <c r="D194" s="15" t="s">
        <v>57</v>
      </c>
      <c r="E194" s="16">
        <v>150000</v>
      </c>
      <c r="F194" s="15">
        <v>92.5</v>
      </c>
      <c r="G194" s="16">
        <v>150000</v>
      </c>
      <c r="H194" s="11">
        <f>'First Calculations'!P193</f>
        <v>26285</v>
      </c>
      <c r="I194" s="12"/>
      <c r="J194" s="13">
        <f t="shared" ref="J194:J257" si="6">H194/E194</f>
        <v>0.17523333333333332</v>
      </c>
      <c r="L194" t="str">
        <f t="shared" si="5"/>
        <v>20.c.ps.170.232  - Children's Museum of Tampa, Inc.  $26285</v>
      </c>
    </row>
    <row r="195" spans="1:12" ht="15.75" x14ac:dyDescent="0.25">
      <c r="A195" s="15">
        <v>193</v>
      </c>
      <c r="B195" s="15" t="s">
        <v>433</v>
      </c>
      <c r="C195" s="15" t="s">
        <v>434</v>
      </c>
      <c r="D195" s="15" t="s">
        <v>73</v>
      </c>
      <c r="E195" s="16">
        <v>55615</v>
      </c>
      <c r="F195" s="15">
        <v>92.429000000000002</v>
      </c>
      <c r="G195" s="16">
        <v>55615</v>
      </c>
      <c r="H195" s="11">
        <f>'First Calculations'!P194</f>
        <v>9748</v>
      </c>
      <c r="I195" s="12"/>
      <c r="J195" s="13">
        <f t="shared" si="6"/>
        <v>0.17527645419401242</v>
      </c>
      <c r="L195" t="str">
        <f t="shared" si="5"/>
        <v>20.c.ps.170.275  - Daytona State College  $9748</v>
      </c>
    </row>
    <row r="196" spans="1:12" ht="15.75" x14ac:dyDescent="0.25">
      <c r="A196" s="15">
        <v>194</v>
      </c>
      <c r="B196" s="15" t="s">
        <v>435</v>
      </c>
      <c r="C196" s="15" t="s">
        <v>436</v>
      </c>
      <c r="D196" s="15" t="s">
        <v>50</v>
      </c>
      <c r="E196" s="16">
        <v>62500</v>
      </c>
      <c r="F196" s="15">
        <v>92.429000000000002</v>
      </c>
      <c r="G196" s="16">
        <v>62500</v>
      </c>
      <c r="H196" s="11">
        <f>'First Calculations'!P195</f>
        <v>10953</v>
      </c>
      <c r="I196" s="12"/>
      <c r="J196" s="13">
        <f t="shared" si="6"/>
        <v>0.17524799999999999</v>
      </c>
      <c r="L196" t="str">
        <f t="shared" ref="L196:L259" si="7">B196&amp;" - "&amp;C196&amp;" $"&amp;H196</f>
        <v>20.c.ps.170.601  - Beaches Area Historical Society, Inc.  $10953</v>
      </c>
    </row>
    <row r="197" spans="1:12" ht="15.75" x14ac:dyDescent="0.25">
      <c r="A197" s="15">
        <v>195</v>
      </c>
      <c r="B197" s="15" t="s">
        <v>437</v>
      </c>
      <c r="C197" s="15" t="s">
        <v>438</v>
      </c>
      <c r="D197" s="15" t="s">
        <v>39</v>
      </c>
      <c r="E197" s="16">
        <v>125000</v>
      </c>
      <c r="F197" s="15">
        <v>92.429000000000002</v>
      </c>
      <c r="G197" s="16">
        <v>125000</v>
      </c>
      <c r="H197" s="11">
        <f>'First Calculations'!P196</f>
        <v>21890</v>
      </c>
      <c r="I197" s="12"/>
      <c r="J197" s="13">
        <f t="shared" si="6"/>
        <v>0.17512</v>
      </c>
      <c r="L197" t="str">
        <f t="shared" si="7"/>
        <v>20.c.ps.114.513  - School of the Arts Foundation, Inc.  $21890</v>
      </c>
    </row>
    <row r="198" spans="1:12" ht="15.75" x14ac:dyDescent="0.25">
      <c r="A198" s="15">
        <v>196</v>
      </c>
      <c r="B198" s="15" t="s">
        <v>439</v>
      </c>
      <c r="C198" s="15" t="s">
        <v>440</v>
      </c>
      <c r="D198" s="15" t="s">
        <v>39</v>
      </c>
      <c r="E198" s="16">
        <v>150000</v>
      </c>
      <c r="F198" s="15">
        <v>92.429000000000002</v>
      </c>
      <c r="G198" s="16">
        <v>150000</v>
      </c>
      <c r="H198" s="11">
        <f>'First Calculations'!P197</f>
        <v>26265</v>
      </c>
      <c r="I198" s="12"/>
      <c r="J198" s="13">
        <f t="shared" si="6"/>
        <v>0.17510000000000001</v>
      </c>
      <c r="L198" t="str">
        <f t="shared" si="7"/>
        <v>20.c.ps.170.168  - The Zoological Society of the Palm Beaches, Inc  $26265</v>
      </c>
    </row>
    <row r="199" spans="1:12" ht="15.75" x14ac:dyDescent="0.25">
      <c r="A199" s="15">
        <v>197</v>
      </c>
      <c r="B199" s="15" t="s">
        <v>441</v>
      </c>
      <c r="C199" s="15" t="s">
        <v>442</v>
      </c>
      <c r="D199" s="15" t="s">
        <v>50</v>
      </c>
      <c r="E199" s="16">
        <v>44070</v>
      </c>
      <c r="F199" s="15">
        <v>92.429000000000002</v>
      </c>
      <c r="G199" s="16">
        <v>44070</v>
      </c>
      <c r="H199" s="11">
        <f>'First Calculations'!P198</f>
        <v>7727</v>
      </c>
      <c r="I199" s="12"/>
      <c r="J199" s="13">
        <f t="shared" si="6"/>
        <v>0.17533469480372135</v>
      </c>
      <c r="L199" t="str">
        <f t="shared" si="7"/>
        <v>20.c.ps.102.104  - Beaches Fine Arts Series, Inc.  $7727</v>
      </c>
    </row>
    <row r="200" spans="1:12" ht="15.75" x14ac:dyDescent="0.25">
      <c r="A200" s="15">
        <v>198</v>
      </c>
      <c r="B200" s="15" t="s">
        <v>443</v>
      </c>
      <c r="C200" s="15" t="s">
        <v>444</v>
      </c>
      <c r="D200" s="15" t="s">
        <v>36</v>
      </c>
      <c r="E200" s="16">
        <v>84391</v>
      </c>
      <c r="F200" s="15">
        <v>92.4</v>
      </c>
      <c r="G200" s="16">
        <v>84391</v>
      </c>
      <c r="H200" s="11">
        <f>'First Calculations'!P199</f>
        <v>14779</v>
      </c>
      <c r="I200" s="12"/>
      <c r="J200" s="13">
        <f t="shared" si="6"/>
        <v>0.17512530957092581</v>
      </c>
      <c r="L200" t="str">
        <f t="shared" si="7"/>
        <v>20.c.ps.105.652  - Coral Springs Museum of Art, Inc.  $14779</v>
      </c>
    </row>
    <row r="201" spans="1:12" ht="15.75" x14ac:dyDescent="0.25">
      <c r="A201" s="15">
        <v>199</v>
      </c>
      <c r="B201" s="15" t="s">
        <v>445</v>
      </c>
      <c r="C201" s="15" t="s">
        <v>446</v>
      </c>
      <c r="D201" s="15" t="s">
        <v>115</v>
      </c>
      <c r="E201" s="16">
        <v>81000</v>
      </c>
      <c r="F201" s="15">
        <v>92.332999999999998</v>
      </c>
      <c r="G201" s="16">
        <v>81000</v>
      </c>
      <c r="H201" s="11">
        <f>'First Calculations'!P200</f>
        <v>14175</v>
      </c>
      <c r="I201" s="12"/>
      <c r="J201" s="13">
        <f t="shared" si="6"/>
        <v>0.17499999999999999</v>
      </c>
      <c r="L201" t="str">
        <f t="shared" si="7"/>
        <v>20.c.ps.170.028  - Florida State University  $14175</v>
      </c>
    </row>
    <row r="202" spans="1:12" ht="15.75" x14ac:dyDescent="0.25">
      <c r="A202" s="15">
        <v>200</v>
      </c>
      <c r="B202" s="15" t="s">
        <v>447</v>
      </c>
      <c r="C202" s="15" t="s">
        <v>448</v>
      </c>
      <c r="D202" s="15" t="s">
        <v>124</v>
      </c>
      <c r="E202" s="16">
        <v>93456</v>
      </c>
      <c r="F202" s="15">
        <v>92.332999999999998</v>
      </c>
      <c r="G202" s="16">
        <v>93456</v>
      </c>
      <c r="H202" s="11">
        <f>'First Calculations'!P201</f>
        <v>16353</v>
      </c>
      <c r="I202" s="12"/>
      <c r="J202" s="13">
        <f t="shared" si="6"/>
        <v>0.17498073959938368</v>
      </c>
      <c r="L202" t="str">
        <f t="shared" si="7"/>
        <v>20.c.ps.500.109  - Lee County Alliance of the Arts, Inc.  $16353</v>
      </c>
    </row>
    <row r="203" spans="1:12" ht="15.75" x14ac:dyDescent="0.25">
      <c r="A203" s="15">
        <v>201</v>
      </c>
      <c r="B203" s="15" t="s">
        <v>449</v>
      </c>
      <c r="C203" s="15" t="s">
        <v>450</v>
      </c>
      <c r="D203" s="15" t="s">
        <v>39</v>
      </c>
      <c r="E203" s="16">
        <v>150000</v>
      </c>
      <c r="F203" s="15">
        <v>92.332999999999998</v>
      </c>
      <c r="G203" s="16">
        <v>150000</v>
      </c>
      <c r="H203" s="11">
        <f>'First Calculations'!P202</f>
        <v>26238</v>
      </c>
      <c r="I203" s="12"/>
      <c r="J203" s="13">
        <f t="shared" si="6"/>
        <v>0.17491999999999999</v>
      </c>
      <c r="L203" t="str">
        <f t="shared" si="7"/>
        <v>20.c.ps.170.271  - The Morikami, Inc.  $26238</v>
      </c>
    </row>
    <row r="204" spans="1:12" ht="15.75" x14ac:dyDescent="0.25">
      <c r="A204" s="15">
        <v>202</v>
      </c>
      <c r="B204" s="15" t="s">
        <v>451</v>
      </c>
      <c r="C204" s="15" t="s">
        <v>452</v>
      </c>
      <c r="D204" s="15" t="s">
        <v>287</v>
      </c>
      <c r="E204" s="16">
        <v>150000</v>
      </c>
      <c r="F204" s="15">
        <v>92.332999999999998</v>
      </c>
      <c r="G204" s="16">
        <v>150000</v>
      </c>
      <c r="H204" s="11">
        <f>'First Calculations'!P203</f>
        <v>26238</v>
      </c>
      <c r="I204" s="12"/>
      <c r="J204" s="13">
        <f t="shared" si="6"/>
        <v>0.17491999999999999</v>
      </c>
      <c r="L204" t="str">
        <f t="shared" si="7"/>
        <v>20.c.ps.170.428  - Mel Fisher Maritime Heritage Society, Inc.  $26238</v>
      </c>
    </row>
    <row r="205" spans="1:12" ht="15.75" x14ac:dyDescent="0.25">
      <c r="A205" s="15">
        <v>203</v>
      </c>
      <c r="B205" s="15" t="s">
        <v>453</v>
      </c>
      <c r="C205" s="15" t="s">
        <v>454</v>
      </c>
      <c r="D205" s="15" t="s">
        <v>28</v>
      </c>
      <c r="E205" s="16">
        <v>150000</v>
      </c>
      <c r="F205" s="15">
        <v>92.286000000000001</v>
      </c>
      <c r="G205" s="16">
        <v>150000</v>
      </c>
      <c r="H205" s="11">
        <f>'First Calculations'!P204</f>
        <v>26225</v>
      </c>
      <c r="I205" s="12"/>
      <c r="J205" s="13">
        <f t="shared" si="6"/>
        <v>0.17483333333333334</v>
      </c>
      <c r="L205" t="str">
        <f t="shared" si="7"/>
        <v>20.c.ps.180.736  - Miami-Dade County Auditorium  $26225</v>
      </c>
    </row>
    <row r="206" spans="1:12" ht="15.75" x14ac:dyDescent="0.25">
      <c r="A206" s="15">
        <v>204</v>
      </c>
      <c r="B206" s="15" t="s">
        <v>455</v>
      </c>
      <c r="C206" s="15" t="s">
        <v>456</v>
      </c>
      <c r="D206" s="15" t="s">
        <v>28</v>
      </c>
      <c r="E206" s="16">
        <v>150000</v>
      </c>
      <c r="F206" s="15">
        <v>92.25</v>
      </c>
      <c r="G206" s="16">
        <v>150000</v>
      </c>
      <c r="H206" s="11">
        <f>'First Calculations'!P205</f>
        <v>26214</v>
      </c>
      <c r="I206" s="12"/>
      <c r="J206" s="13">
        <f t="shared" si="6"/>
        <v>0.17476</v>
      </c>
      <c r="L206" t="str">
        <f t="shared" si="7"/>
        <v>20.c.ps.109.194  - Center for the Advancement of Jewish Education, Inc.  $26214</v>
      </c>
    </row>
    <row r="207" spans="1:12" ht="15.75" x14ac:dyDescent="0.25">
      <c r="A207" s="15">
        <v>205</v>
      </c>
      <c r="B207" s="15" t="s">
        <v>457</v>
      </c>
      <c r="C207" s="15" t="s">
        <v>458</v>
      </c>
      <c r="D207" s="15" t="s">
        <v>39</v>
      </c>
      <c r="E207" s="16">
        <v>150000</v>
      </c>
      <c r="F207" s="15">
        <v>92.2</v>
      </c>
      <c r="G207" s="16">
        <v>150000</v>
      </c>
      <c r="H207" s="11">
        <f>'First Calculations'!P206</f>
        <v>26200</v>
      </c>
      <c r="I207" s="12"/>
      <c r="J207" s="13">
        <f t="shared" si="6"/>
        <v>0.17466666666666666</v>
      </c>
      <c r="L207" t="str">
        <f t="shared" si="7"/>
        <v>20.c.ps.105.642  - The Armory Art Center, Inc.  $26200</v>
      </c>
    </row>
    <row r="208" spans="1:12" ht="15.75" x14ac:dyDescent="0.25">
      <c r="A208" s="15">
        <v>206</v>
      </c>
      <c r="B208" s="15" t="s">
        <v>459</v>
      </c>
      <c r="C208" s="15" t="s">
        <v>460</v>
      </c>
      <c r="D208" s="15" t="s">
        <v>28</v>
      </c>
      <c r="E208" s="16">
        <v>40000</v>
      </c>
      <c r="F208" s="15">
        <v>92.167000000000002</v>
      </c>
      <c r="G208" s="16">
        <v>40000</v>
      </c>
      <c r="H208" s="11">
        <f>'First Calculations'!P207</f>
        <v>6995</v>
      </c>
      <c r="I208" s="12"/>
      <c r="J208" s="13">
        <f t="shared" si="6"/>
        <v>0.174875</v>
      </c>
      <c r="L208" t="str">
        <f t="shared" si="7"/>
        <v>20.c.ps.114.200  - Arts &amp; Business Council of Miami, Inc.  $6995</v>
      </c>
    </row>
    <row r="209" spans="1:12" ht="15.75" x14ac:dyDescent="0.25">
      <c r="A209" s="15">
        <v>207</v>
      </c>
      <c r="B209" s="15" t="s">
        <v>461</v>
      </c>
      <c r="C209" s="15" t="s">
        <v>462</v>
      </c>
      <c r="D209" s="15" t="s">
        <v>80</v>
      </c>
      <c r="E209" s="16">
        <v>25000</v>
      </c>
      <c r="F209" s="15">
        <v>92.167000000000002</v>
      </c>
      <c r="G209" s="16">
        <v>25000</v>
      </c>
      <c r="H209" s="11">
        <f>'First Calculations'!P208</f>
        <v>4378</v>
      </c>
      <c r="I209" s="12"/>
      <c r="J209" s="13">
        <f t="shared" si="6"/>
        <v>0.17512</v>
      </c>
      <c r="L209" t="str">
        <f t="shared" si="7"/>
        <v>20.c.ps.200.532  - In Touch with Communities Around the World DBA Arts Conservatory for Teens  $4378</v>
      </c>
    </row>
    <row r="210" spans="1:12" ht="15.75" x14ac:dyDescent="0.25">
      <c r="A210" s="15">
        <v>208</v>
      </c>
      <c r="B210" s="15" t="s">
        <v>463</v>
      </c>
      <c r="C210" s="15" t="s">
        <v>464</v>
      </c>
      <c r="D210" s="15" t="s">
        <v>287</v>
      </c>
      <c r="E210" s="16">
        <v>67000</v>
      </c>
      <c r="F210" s="15">
        <v>92.167000000000002</v>
      </c>
      <c r="G210" s="16">
        <v>67000</v>
      </c>
      <c r="H210" s="11">
        <f>'First Calculations'!P209</f>
        <v>11707</v>
      </c>
      <c r="I210" s="12"/>
      <c r="J210" s="13">
        <f t="shared" si="6"/>
        <v>0.17473134328358209</v>
      </c>
      <c r="L210" t="str">
        <f t="shared" si="7"/>
        <v>20.c.ps.170.558  - Key West Botanical Garden Society, Inc.  $11707</v>
      </c>
    </row>
    <row r="211" spans="1:12" ht="15.75" x14ac:dyDescent="0.25">
      <c r="A211" s="15">
        <v>209</v>
      </c>
      <c r="B211" s="15" t="s">
        <v>465</v>
      </c>
      <c r="C211" s="15" t="s">
        <v>466</v>
      </c>
      <c r="D211" s="15" t="s">
        <v>124</v>
      </c>
      <c r="E211" s="16">
        <v>50000</v>
      </c>
      <c r="F211" s="15">
        <v>92.167000000000002</v>
      </c>
      <c r="G211" s="16">
        <v>50000</v>
      </c>
      <c r="H211" s="11">
        <f>'First Calculations'!P210</f>
        <v>8740</v>
      </c>
      <c r="I211" s="12"/>
      <c r="J211" s="13">
        <f t="shared" si="6"/>
        <v>0.17480000000000001</v>
      </c>
      <c r="L211" t="str">
        <f t="shared" si="7"/>
        <v>20.c.ps.114.312  - Ding Darling Wildlife Society, Inc.  $8740</v>
      </c>
    </row>
    <row r="212" spans="1:12" ht="15.75" x14ac:dyDescent="0.25">
      <c r="A212" s="15">
        <v>210</v>
      </c>
      <c r="B212" s="15" t="s">
        <v>467</v>
      </c>
      <c r="C212" s="15" t="s">
        <v>468</v>
      </c>
      <c r="D212" s="15" t="s">
        <v>469</v>
      </c>
      <c r="E212" s="16">
        <v>90000</v>
      </c>
      <c r="F212" s="15">
        <v>92.167000000000002</v>
      </c>
      <c r="G212" s="16">
        <v>90000</v>
      </c>
      <c r="H212" s="11">
        <f>'First Calculations'!P211</f>
        <v>15720</v>
      </c>
      <c r="I212" s="12"/>
      <c r="J212" s="13">
        <f t="shared" si="6"/>
        <v>0.17466666666666666</v>
      </c>
      <c r="L212" t="str">
        <f t="shared" si="7"/>
        <v>20.c.ps.180.123  - South Florida State College  $15720</v>
      </c>
    </row>
    <row r="213" spans="1:12" ht="15.75" x14ac:dyDescent="0.25">
      <c r="A213" s="15">
        <v>211</v>
      </c>
      <c r="B213" s="15" t="s">
        <v>470</v>
      </c>
      <c r="C213" s="15" t="s">
        <v>471</v>
      </c>
      <c r="D213" s="15" t="s">
        <v>124</v>
      </c>
      <c r="E213" s="16">
        <v>94000</v>
      </c>
      <c r="F213" s="15">
        <v>92.143000000000001</v>
      </c>
      <c r="G213" s="16">
        <v>94000</v>
      </c>
      <c r="H213" s="11">
        <f>'First Calculations'!P212</f>
        <v>16414</v>
      </c>
      <c r="I213" s="12"/>
      <c r="J213" s="13">
        <f t="shared" si="6"/>
        <v>0.17461702127659576</v>
      </c>
      <c r="L213" t="str">
        <f t="shared" si="7"/>
        <v>20.c.ps.114.643  - Florida Arts, Inc.  $16414</v>
      </c>
    </row>
    <row r="214" spans="1:12" ht="15.75" x14ac:dyDescent="0.25">
      <c r="A214" s="15">
        <v>212</v>
      </c>
      <c r="B214" s="15" t="s">
        <v>472</v>
      </c>
      <c r="C214" s="15" t="s">
        <v>473</v>
      </c>
      <c r="D214" s="15" t="s">
        <v>36</v>
      </c>
      <c r="E214" s="16">
        <v>12800</v>
      </c>
      <c r="F214" s="15">
        <v>92.143000000000001</v>
      </c>
      <c r="G214" s="16">
        <v>12800</v>
      </c>
      <c r="H214" s="11">
        <f>'First Calculations'!P213</f>
        <v>2248</v>
      </c>
      <c r="I214" s="12"/>
      <c r="J214" s="13">
        <f t="shared" si="6"/>
        <v>0.175625</v>
      </c>
      <c r="L214" t="str">
        <f t="shared" si="7"/>
        <v>20.c.ps.114.520  - Broward College  $2248</v>
      </c>
    </row>
    <row r="215" spans="1:12" ht="15.75" x14ac:dyDescent="0.25">
      <c r="A215" s="15">
        <v>213</v>
      </c>
      <c r="B215" s="15" t="s">
        <v>474</v>
      </c>
      <c r="C215" s="15" t="s">
        <v>475</v>
      </c>
      <c r="D215" s="15" t="s">
        <v>28</v>
      </c>
      <c r="E215" s="16">
        <v>19398</v>
      </c>
      <c r="F215" s="15">
        <v>92.143000000000001</v>
      </c>
      <c r="G215" s="16">
        <v>19398</v>
      </c>
      <c r="H215" s="11">
        <f>'First Calculations'!P214</f>
        <v>3399</v>
      </c>
      <c r="I215" s="12"/>
      <c r="J215" s="13">
        <f t="shared" si="6"/>
        <v>0.17522424992267244</v>
      </c>
      <c r="L215" t="str">
        <f t="shared" si="7"/>
        <v>20.c.ps.141.547  - Seminole Cultural Arts Theatre, Inc.  $3399</v>
      </c>
    </row>
    <row r="216" spans="1:12" ht="15.75" x14ac:dyDescent="0.25">
      <c r="A216" s="15">
        <v>214</v>
      </c>
      <c r="B216" s="15" t="s">
        <v>476</v>
      </c>
      <c r="C216" s="15" t="s">
        <v>477</v>
      </c>
      <c r="D216" s="15" t="s">
        <v>95</v>
      </c>
      <c r="E216" s="16">
        <v>52600</v>
      </c>
      <c r="F216" s="15">
        <v>92.143000000000001</v>
      </c>
      <c r="G216" s="16">
        <v>52600</v>
      </c>
      <c r="H216" s="11">
        <f>'First Calculations'!P215</f>
        <v>9192</v>
      </c>
      <c r="I216" s="12"/>
      <c r="J216" s="13">
        <f t="shared" si="6"/>
        <v>0.17475285171102661</v>
      </c>
      <c r="L216" t="str">
        <f t="shared" si="7"/>
        <v>20.c.ps.170.212  - Amelia Island Museum of History, Inc.  $9192</v>
      </c>
    </row>
    <row r="217" spans="1:12" ht="15.75" x14ac:dyDescent="0.25">
      <c r="A217" s="15">
        <v>215</v>
      </c>
      <c r="B217" s="15" t="s">
        <v>478</v>
      </c>
      <c r="C217" s="15" t="s">
        <v>479</v>
      </c>
      <c r="D217" s="15" t="s">
        <v>36</v>
      </c>
      <c r="E217" s="16">
        <v>150000</v>
      </c>
      <c r="F217" s="15">
        <v>92.125</v>
      </c>
      <c r="G217" s="16">
        <v>150000</v>
      </c>
      <c r="H217" s="11">
        <f>'First Calculations'!P216</f>
        <v>26179</v>
      </c>
      <c r="I217" s="12"/>
      <c r="J217" s="13">
        <f t="shared" si="6"/>
        <v>0.17452666666666666</v>
      </c>
      <c r="L217" t="str">
        <f t="shared" si="7"/>
        <v>20.c.ps.102.238  - South Florida Symphony Orchestra  $26179</v>
      </c>
    </row>
    <row r="218" spans="1:12" ht="15.75" x14ac:dyDescent="0.25">
      <c r="A218" s="15">
        <v>216</v>
      </c>
      <c r="B218" s="15" t="s">
        <v>480</v>
      </c>
      <c r="C218" s="15" t="s">
        <v>481</v>
      </c>
      <c r="D218" s="15" t="s">
        <v>50</v>
      </c>
      <c r="E218" s="16">
        <v>25000</v>
      </c>
      <c r="F218" s="15">
        <v>92</v>
      </c>
      <c r="G218" s="16">
        <v>25000</v>
      </c>
      <c r="H218" s="11">
        <f>'First Calculations'!P217</f>
        <v>4370</v>
      </c>
      <c r="I218" s="12"/>
      <c r="J218" s="13">
        <f t="shared" si="6"/>
        <v>0.17480000000000001</v>
      </c>
      <c r="L218" t="str">
        <f t="shared" si="7"/>
        <v>20.c.ps.114.605  - Downtown Vision Alliance, Inc.  $4370</v>
      </c>
    </row>
    <row r="219" spans="1:12" ht="15.75" x14ac:dyDescent="0.25">
      <c r="A219" s="15">
        <v>217</v>
      </c>
      <c r="B219" s="15" t="s">
        <v>482</v>
      </c>
      <c r="C219" s="15" t="s">
        <v>483</v>
      </c>
      <c r="D219" s="15" t="s">
        <v>133</v>
      </c>
      <c r="E219" s="16">
        <v>150000</v>
      </c>
      <c r="F219" s="15">
        <v>92</v>
      </c>
      <c r="G219" s="16">
        <v>150000</v>
      </c>
      <c r="H219" s="11">
        <f>'First Calculations'!P218</f>
        <v>26143</v>
      </c>
      <c r="I219" s="12"/>
      <c r="J219" s="13">
        <f t="shared" si="6"/>
        <v>0.17428666666666667</v>
      </c>
      <c r="L219" t="str">
        <f t="shared" si="7"/>
        <v>20.c.ps.170.549  - South Florida Museum and Bishop Planetarium, Inc.  $26143</v>
      </c>
    </row>
    <row r="220" spans="1:12" ht="15.75" x14ac:dyDescent="0.25">
      <c r="A220" s="15">
        <v>218</v>
      </c>
      <c r="B220" s="15" t="s">
        <v>484</v>
      </c>
      <c r="C220" s="15" t="s">
        <v>485</v>
      </c>
      <c r="D220" s="15" t="s">
        <v>87</v>
      </c>
      <c r="E220" s="16">
        <v>150000</v>
      </c>
      <c r="F220" s="15">
        <v>92</v>
      </c>
      <c r="G220" s="16">
        <v>150000</v>
      </c>
      <c r="H220" s="11">
        <f>'First Calculations'!P219</f>
        <v>26143</v>
      </c>
      <c r="I220" s="12"/>
      <c r="J220" s="13">
        <f t="shared" si="6"/>
        <v>0.17428666666666667</v>
      </c>
      <c r="L220" t="str">
        <f t="shared" si="7"/>
        <v>20.c.ps.170.106  - Orlando Museum of Art, Inc.  $26143</v>
      </c>
    </row>
    <row r="221" spans="1:12" ht="15.75" x14ac:dyDescent="0.25">
      <c r="A221" s="15">
        <v>219</v>
      </c>
      <c r="B221" s="15" t="s">
        <v>486</v>
      </c>
      <c r="C221" s="15" t="s">
        <v>487</v>
      </c>
      <c r="D221" s="15" t="s">
        <v>67</v>
      </c>
      <c r="E221" s="16">
        <v>150000</v>
      </c>
      <c r="F221" s="15">
        <v>92</v>
      </c>
      <c r="G221" s="16">
        <v>150000</v>
      </c>
      <c r="H221" s="11">
        <f>'First Calculations'!P220</f>
        <v>26143</v>
      </c>
      <c r="I221" s="12"/>
      <c r="J221" s="13">
        <f t="shared" si="6"/>
        <v>0.17428666666666667</v>
      </c>
      <c r="L221" t="str">
        <f t="shared" si="7"/>
        <v>20.c.ps.142.740  - The Hippodrome State Theatre, Inc.  $26143</v>
      </c>
    </row>
    <row r="222" spans="1:12" ht="15.75" x14ac:dyDescent="0.25">
      <c r="A222" s="15">
        <v>220</v>
      </c>
      <c r="B222" s="15" t="s">
        <v>488</v>
      </c>
      <c r="C222" s="15" t="s">
        <v>489</v>
      </c>
      <c r="D222" s="15" t="s">
        <v>136</v>
      </c>
      <c r="E222" s="16">
        <v>102816</v>
      </c>
      <c r="F222" s="15">
        <v>92</v>
      </c>
      <c r="G222" s="16">
        <v>102816</v>
      </c>
      <c r="H222" s="11">
        <f>'First Calculations'!P221</f>
        <v>17924</v>
      </c>
      <c r="I222" s="12"/>
      <c r="J222" s="13">
        <f t="shared" si="6"/>
        <v>0.17433084344849051</v>
      </c>
      <c r="L222" t="str">
        <f t="shared" si="7"/>
        <v>20.c.ps.180.608  - Polk Theatre, Inc.  $17924</v>
      </c>
    </row>
    <row r="223" spans="1:12" ht="15.75" x14ac:dyDescent="0.25">
      <c r="A223" s="15">
        <v>221</v>
      </c>
      <c r="B223" s="15" t="s">
        <v>490</v>
      </c>
      <c r="C223" s="15" t="s">
        <v>491</v>
      </c>
      <c r="D223" s="15" t="s">
        <v>388</v>
      </c>
      <c r="E223" s="16">
        <v>90000</v>
      </c>
      <c r="F223" s="15">
        <v>92</v>
      </c>
      <c r="G223" s="16">
        <v>90000</v>
      </c>
      <c r="H223" s="11">
        <f>'First Calculations'!P222</f>
        <v>15692</v>
      </c>
      <c r="I223" s="12"/>
      <c r="J223" s="13">
        <f t="shared" si="6"/>
        <v>0.17435555555555557</v>
      </c>
      <c r="L223" t="str">
        <f t="shared" si="7"/>
        <v>20.c.ps.102.454  - Atlantic Classical Orchestra, Inc.  $15692</v>
      </c>
    </row>
    <row r="224" spans="1:12" ht="15.75" x14ac:dyDescent="0.25">
      <c r="A224" s="15">
        <v>222</v>
      </c>
      <c r="B224" s="15" t="s">
        <v>492</v>
      </c>
      <c r="C224" s="15" t="s">
        <v>493</v>
      </c>
      <c r="D224" s="15" t="s">
        <v>115</v>
      </c>
      <c r="E224" s="16">
        <v>125000</v>
      </c>
      <c r="F224" s="15">
        <v>92</v>
      </c>
      <c r="G224" s="16">
        <v>125000</v>
      </c>
      <c r="H224" s="11">
        <f>'First Calculations'!P223</f>
        <v>21789</v>
      </c>
      <c r="I224" s="12"/>
      <c r="J224" s="13">
        <f t="shared" si="6"/>
        <v>0.17431199999999999</v>
      </c>
      <c r="L224" t="str">
        <f t="shared" si="7"/>
        <v>20.c.ps.114.502  - Tallahassee Community College  $21789</v>
      </c>
    </row>
    <row r="225" spans="1:12" ht="15.75" x14ac:dyDescent="0.25">
      <c r="A225" s="15">
        <v>223</v>
      </c>
      <c r="B225" s="15" t="s">
        <v>494</v>
      </c>
      <c r="C225" s="15" t="s">
        <v>495</v>
      </c>
      <c r="D225" s="15" t="s">
        <v>115</v>
      </c>
      <c r="E225" s="16">
        <v>87500</v>
      </c>
      <c r="F225" s="15">
        <v>92</v>
      </c>
      <c r="G225" s="16">
        <v>87500</v>
      </c>
      <c r="H225" s="11">
        <f>'First Calculations'!P224</f>
        <v>15256</v>
      </c>
      <c r="I225" s="12"/>
      <c r="J225" s="13">
        <f t="shared" si="6"/>
        <v>0.17435428571428571</v>
      </c>
      <c r="L225" t="str">
        <f t="shared" si="7"/>
        <v>20.c.ps.114.436  - Goodwood Museum and Gardens, Inc.  $15256</v>
      </c>
    </row>
    <row r="226" spans="1:12" ht="15.75" x14ac:dyDescent="0.25">
      <c r="A226" s="15">
        <v>224</v>
      </c>
      <c r="B226" s="15" t="s">
        <v>496</v>
      </c>
      <c r="C226" s="15" t="s">
        <v>497</v>
      </c>
      <c r="D226" s="15" t="s">
        <v>28</v>
      </c>
      <c r="E226" s="16">
        <v>25000</v>
      </c>
      <c r="F226" s="15">
        <v>92</v>
      </c>
      <c r="G226" s="16">
        <v>25000</v>
      </c>
      <c r="H226" s="11">
        <f>'First Calculations'!P225</f>
        <v>4370</v>
      </c>
      <c r="I226" s="12"/>
      <c r="J226" s="13">
        <f t="shared" si="6"/>
        <v>0.17480000000000001</v>
      </c>
      <c r="L226" t="str">
        <f t="shared" si="7"/>
        <v>20.c.ps.114.262  - AmplifyMe, Inc  $4370</v>
      </c>
    </row>
    <row r="227" spans="1:12" ht="15.75" x14ac:dyDescent="0.25">
      <c r="A227" s="15">
        <v>225</v>
      </c>
      <c r="B227" s="15" t="s">
        <v>498</v>
      </c>
      <c r="C227" s="15" t="s">
        <v>499</v>
      </c>
      <c r="D227" s="15" t="s">
        <v>28</v>
      </c>
      <c r="E227" s="16">
        <v>5000</v>
      </c>
      <c r="F227" s="15">
        <v>92</v>
      </c>
      <c r="G227" s="16">
        <v>5000</v>
      </c>
      <c r="H227" s="11">
        <f>'First Calculations'!P226</f>
        <v>1000</v>
      </c>
      <c r="I227" s="12"/>
      <c r="J227" s="13">
        <f t="shared" si="6"/>
        <v>0.2</v>
      </c>
      <c r="L227" t="str">
        <f t="shared" si="7"/>
        <v>20.c.ps.142.036  - El Ingenio, Inc.  $1000</v>
      </c>
    </row>
    <row r="228" spans="1:12" ht="15.75" x14ac:dyDescent="0.25">
      <c r="A228" s="15">
        <v>226</v>
      </c>
      <c r="B228" s="15" t="s">
        <v>500</v>
      </c>
      <c r="C228" s="15" t="s">
        <v>501</v>
      </c>
      <c r="D228" s="15" t="s">
        <v>115</v>
      </c>
      <c r="E228" s="16">
        <v>90000</v>
      </c>
      <c r="F228" s="15">
        <v>92</v>
      </c>
      <c r="G228" s="16">
        <v>90000</v>
      </c>
      <c r="H228" s="11">
        <f>'First Calculations'!P227</f>
        <v>15692</v>
      </c>
      <c r="I228" s="12"/>
      <c r="J228" s="13">
        <f t="shared" si="6"/>
        <v>0.17435555555555557</v>
      </c>
      <c r="L228" t="str">
        <f t="shared" si="7"/>
        <v>20.c.ps.141.215  - Young Actors Theatre of Tallahassee, Inc.  $15692</v>
      </c>
    </row>
    <row r="229" spans="1:12" ht="15.75" x14ac:dyDescent="0.25">
      <c r="A229" s="15">
        <v>227</v>
      </c>
      <c r="B229" s="15" t="s">
        <v>502</v>
      </c>
      <c r="C229" s="15" t="s">
        <v>503</v>
      </c>
      <c r="D229" s="15" t="s">
        <v>28</v>
      </c>
      <c r="E229" s="16">
        <v>25000</v>
      </c>
      <c r="F229" s="15">
        <v>92</v>
      </c>
      <c r="G229" s="16">
        <v>25000</v>
      </c>
      <c r="H229" s="11">
        <f>'First Calculations'!P228</f>
        <v>4370</v>
      </c>
      <c r="I229" s="12"/>
      <c r="J229" s="13">
        <f t="shared" si="6"/>
        <v>0.17480000000000001</v>
      </c>
      <c r="L229" t="str">
        <f t="shared" si="7"/>
        <v>20.c.ps.114.682  - Marjory Stoneman Douglas Biscayne Nature Center, Inc.  $4370</v>
      </c>
    </row>
    <row r="230" spans="1:12" ht="15.75" x14ac:dyDescent="0.25">
      <c r="A230" s="15">
        <v>228</v>
      </c>
      <c r="B230" s="15" t="s">
        <v>504</v>
      </c>
      <c r="C230" s="15" t="s">
        <v>505</v>
      </c>
      <c r="D230" s="15" t="s">
        <v>33</v>
      </c>
      <c r="E230" s="16">
        <v>90000</v>
      </c>
      <c r="F230" s="15">
        <v>92</v>
      </c>
      <c r="G230" s="16">
        <v>90000</v>
      </c>
      <c r="H230" s="11">
        <f>'First Calculations'!P229</f>
        <v>15692</v>
      </c>
      <c r="I230" s="12"/>
      <c r="J230" s="13">
        <f t="shared" si="6"/>
        <v>0.17435555555555557</v>
      </c>
      <c r="L230" t="str">
        <f t="shared" si="7"/>
        <v>20.c.ps.105.042  - Coexistence, Inc.  $15692</v>
      </c>
    </row>
    <row r="231" spans="1:12" ht="15.75" x14ac:dyDescent="0.25">
      <c r="A231" s="15">
        <v>229</v>
      </c>
      <c r="B231" s="15" t="s">
        <v>506</v>
      </c>
      <c r="C231" s="15" t="s">
        <v>507</v>
      </c>
      <c r="D231" s="15" t="s">
        <v>80</v>
      </c>
      <c r="E231" s="16">
        <v>150000</v>
      </c>
      <c r="F231" s="15">
        <v>91.856999999999999</v>
      </c>
      <c r="G231" s="16">
        <v>150000</v>
      </c>
      <c r="H231" s="11">
        <f>'First Calculations'!P230</f>
        <v>26103</v>
      </c>
      <c r="I231" s="12"/>
      <c r="J231" s="13">
        <f t="shared" si="6"/>
        <v>0.17402000000000001</v>
      </c>
      <c r="L231" t="str">
        <f t="shared" si="7"/>
        <v>20.c.ps.180.460  - Clearwater Jazz Holiday Foundation, Inc.  $26103</v>
      </c>
    </row>
    <row r="232" spans="1:12" ht="15.75" x14ac:dyDescent="0.25">
      <c r="A232" s="15">
        <v>230</v>
      </c>
      <c r="B232" s="15" t="s">
        <v>508</v>
      </c>
      <c r="C232" s="15" t="s">
        <v>509</v>
      </c>
      <c r="D232" s="15" t="s">
        <v>510</v>
      </c>
      <c r="E232" s="16">
        <v>18420</v>
      </c>
      <c r="F232" s="15">
        <v>91.832999999999998</v>
      </c>
      <c r="G232" s="16">
        <v>18420</v>
      </c>
      <c r="H232" s="11">
        <f>'First Calculations'!P231</f>
        <v>3218</v>
      </c>
      <c r="I232" s="12"/>
      <c r="J232" s="13">
        <f t="shared" si="6"/>
        <v>0.1747014115092291</v>
      </c>
      <c r="L232" t="str">
        <f t="shared" si="7"/>
        <v>20.c.ps.170.387  - Flagler Beach Historical Museum, Inc.  $3218</v>
      </c>
    </row>
    <row r="233" spans="1:12" ht="15.75" x14ac:dyDescent="0.25">
      <c r="A233" s="15">
        <v>231</v>
      </c>
      <c r="B233" s="15" t="s">
        <v>511</v>
      </c>
      <c r="C233" s="15" t="s">
        <v>512</v>
      </c>
      <c r="D233" s="15" t="s">
        <v>36</v>
      </c>
      <c r="E233" s="16">
        <v>150000</v>
      </c>
      <c r="F233" s="15">
        <v>91.832999999999998</v>
      </c>
      <c r="G233" s="16">
        <v>150000</v>
      </c>
      <c r="H233" s="11">
        <f>'First Calculations'!P232</f>
        <v>26096</v>
      </c>
      <c r="I233" s="12"/>
      <c r="J233" s="13">
        <f t="shared" si="6"/>
        <v>0.17397333333333334</v>
      </c>
      <c r="L233" t="str">
        <f t="shared" si="7"/>
        <v>20.c.ps.500.546  - Broward County  $26096</v>
      </c>
    </row>
    <row r="234" spans="1:12" ht="15.75" x14ac:dyDescent="0.25">
      <c r="A234" s="15">
        <v>232</v>
      </c>
      <c r="B234" s="15" t="s">
        <v>513</v>
      </c>
      <c r="C234" s="15" t="s">
        <v>514</v>
      </c>
      <c r="D234" s="15" t="s">
        <v>33</v>
      </c>
      <c r="E234" s="16">
        <v>60900</v>
      </c>
      <c r="F234" s="15">
        <v>91.8</v>
      </c>
      <c r="G234" s="16">
        <v>60900</v>
      </c>
      <c r="H234" s="11">
        <f>'First Calculations'!P233</f>
        <v>10600</v>
      </c>
      <c r="I234" s="12"/>
      <c r="J234" s="13">
        <f t="shared" si="6"/>
        <v>0.17405582922824303</v>
      </c>
      <c r="L234" t="str">
        <f t="shared" si="7"/>
        <v>20.c.ps.105.709  - Art Center Sarasota Inc.  $10600</v>
      </c>
    </row>
    <row r="235" spans="1:12" ht="15.75" x14ac:dyDescent="0.25">
      <c r="A235" s="15">
        <v>233</v>
      </c>
      <c r="B235" s="15" t="s">
        <v>515</v>
      </c>
      <c r="C235" s="15" t="s">
        <v>516</v>
      </c>
      <c r="D235" s="15" t="s">
        <v>33</v>
      </c>
      <c r="E235" s="16">
        <v>150000</v>
      </c>
      <c r="F235" s="15">
        <v>91.75</v>
      </c>
      <c r="G235" s="16">
        <v>150000</v>
      </c>
      <c r="H235" s="11">
        <f>'First Calculations'!P234</f>
        <v>26072</v>
      </c>
      <c r="I235" s="12"/>
      <c r="J235" s="13">
        <f t="shared" si="6"/>
        <v>0.17381333333333332</v>
      </c>
      <c r="L235" t="str">
        <f t="shared" si="7"/>
        <v>20.c.ps.102.548  - Sarasota Opera Association, Inc.  $26072</v>
      </c>
    </row>
    <row r="236" spans="1:12" ht="15.75" x14ac:dyDescent="0.25">
      <c r="A236" s="15">
        <v>234</v>
      </c>
      <c r="B236" s="15" t="s">
        <v>517</v>
      </c>
      <c r="C236" s="15" t="s">
        <v>518</v>
      </c>
      <c r="D236" s="15" t="s">
        <v>28</v>
      </c>
      <c r="E236" s="16">
        <v>150000</v>
      </c>
      <c r="F236" s="15">
        <v>91.713999999999999</v>
      </c>
      <c r="G236" s="16">
        <v>150000</v>
      </c>
      <c r="H236" s="11">
        <f>'First Calculations'!P235</f>
        <v>26062</v>
      </c>
      <c r="I236" s="12"/>
      <c r="J236" s="13">
        <f t="shared" si="6"/>
        <v>0.17374666666666666</v>
      </c>
      <c r="L236" t="str">
        <f t="shared" si="7"/>
        <v>20.c.ps.170.323  - Historical Association of Southern Florida, Inc.  $26062</v>
      </c>
    </row>
    <row r="237" spans="1:12" ht="15.75" x14ac:dyDescent="0.25">
      <c r="A237" s="15">
        <v>235</v>
      </c>
      <c r="B237" s="15" t="s">
        <v>519</v>
      </c>
      <c r="C237" s="15" t="s">
        <v>520</v>
      </c>
      <c r="D237" s="15" t="s">
        <v>28</v>
      </c>
      <c r="E237" s="16">
        <v>25000</v>
      </c>
      <c r="F237" s="15">
        <v>91.713999999999999</v>
      </c>
      <c r="G237" s="16">
        <v>25000</v>
      </c>
      <c r="H237" s="11">
        <f>'First Calculations'!P236</f>
        <v>4356</v>
      </c>
      <c r="I237" s="12"/>
      <c r="J237" s="13">
        <f t="shared" si="6"/>
        <v>0.17424000000000001</v>
      </c>
      <c r="L237" t="str">
        <f t="shared" si="7"/>
        <v>20.c.ps.102.489  - Nu Deco Ensemble, Inc.  $4356</v>
      </c>
    </row>
    <row r="238" spans="1:12" ht="15.75" x14ac:dyDescent="0.25">
      <c r="A238" s="15">
        <v>236</v>
      </c>
      <c r="B238" s="15" t="s">
        <v>521</v>
      </c>
      <c r="C238" s="15" t="s">
        <v>522</v>
      </c>
      <c r="D238" s="15" t="s">
        <v>50</v>
      </c>
      <c r="E238" s="16">
        <v>150000</v>
      </c>
      <c r="F238" s="15">
        <v>91.667000000000002</v>
      </c>
      <c r="G238" s="16">
        <v>150000</v>
      </c>
      <c r="H238" s="11">
        <f>'First Calculations'!P237</f>
        <v>26049</v>
      </c>
      <c r="I238" s="12"/>
      <c r="J238" s="13">
        <f t="shared" si="6"/>
        <v>0.17366000000000001</v>
      </c>
      <c r="L238" t="str">
        <f t="shared" si="7"/>
        <v>20.c.ps.170.735  - Museum of Contemporary Art Jacksonville, Inc.  $26049</v>
      </c>
    </row>
    <row r="239" spans="1:12" ht="15.75" x14ac:dyDescent="0.25">
      <c r="A239" s="15">
        <v>237</v>
      </c>
      <c r="B239" s="15" t="s">
        <v>523</v>
      </c>
      <c r="C239" s="15" t="s">
        <v>524</v>
      </c>
      <c r="D239" s="15" t="s">
        <v>80</v>
      </c>
      <c r="E239" s="16">
        <v>150000</v>
      </c>
      <c r="F239" s="15">
        <v>91.6</v>
      </c>
      <c r="G239" s="16">
        <v>150000</v>
      </c>
      <c r="H239" s="11">
        <f>'First Calculations'!P238</f>
        <v>26030</v>
      </c>
      <c r="I239" s="12"/>
      <c r="J239" s="13">
        <f t="shared" si="6"/>
        <v>0.17353333333333334</v>
      </c>
      <c r="L239" t="str">
        <f t="shared" si="7"/>
        <v>20.c.ps.105.705  - The Dunedin Fine Art Center, Inc.  $26030</v>
      </c>
    </row>
    <row r="240" spans="1:12" ht="15.75" x14ac:dyDescent="0.25">
      <c r="A240" s="15">
        <v>238</v>
      </c>
      <c r="B240" s="15" t="s">
        <v>525</v>
      </c>
      <c r="C240" s="15" t="s">
        <v>526</v>
      </c>
      <c r="D240" s="15" t="s">
        <v>80</v>
      </c>
      <c r="E240" s="16">
        <v>35510</v>
      </c>
      <c r="F240" s="15">
        <v>91.570999999999998</v>
      </c>
      <c r="G240" s="16">
        <v>35510</v>
      </c>
      <c r="H240" s="11">
        <f>'First Calculations'!P239</f>
        <v>6172</v>
      </c>
      <c r="I240" s="12"/>
      <c r="J240" s="13">
        <f t="shared" si="6"/>
        <v>0.17381019431146155</v>
      </c>
      <c r="L240" t="str">
        <f t="shared" si="7"/>
        <v>20.c.ps.114.093  - The Studio @ 620, Inc.  $6172</v>
      </c>
    </row>
    <row r="241" spans="1:12" ht="15.75" x14ac:dyDescent="0.25">
      <c r="A241" s="15">
        <v>239</v>
      </c>
      <c r="B241" s="15" t="s">
        <v>527</v>
      </c>
      <c r="C241" s="15" t="s">
        <v>528</v>
      </c>
      <c r="D241" s="15" t="s">
        <v>136</v>
      </c>
      <c r="E241" s="16">
        <v>150000</v>
      </c>
      <c r="F241" s="15">
        <v>91.570999999999998</v>
      </c>
      <c r="G241" s="16">
        <v>150000</v>
      </c>
      <c r="H241" s="11">
        <f>'First Calculations'!P240</f>
        <v>26021</v>
      </c>
      <c r="I241" s="12"/>
      <c r="J241" s="13">
        <f t="shared" si="6"/>
        <v>0.17347333333333334</v>
      </c>
      <c r="L241" t="str">
        <f t="shared" si="7"/>
        <v>20.c.ps.170.706  - Polk Museum of Art, Inc.  $26021</v>
      </c>
    </row>
    <row r="242" spans="1:12" ht="15.75" x14ac:dyDescent="0.25">
      <c r="A242" s="15">
        <v>240</v>
      </c>
      <c r="B242" s="15" t="s">
        <v>529</v>
      </c>
      <c r="C242" s="15" t="s">
        <v>530</v>
      </c>
      <c r="D242" s="15" t="s">
        <v>90</v>
      </c>
      <c r="E242" s="16">
        <v>25000</v>
      </c>
      <c r="F242" s="15">
        <v>91.5</v>
      </c>
      <c r="G242" s="16">
        <v>25000</v>
      </c>
      <c r="H242" s="11">
        <f>'First Calculations'!P241</f>
        <v>4346</v>
      </c>
      <c r="I242" s="12"/>
      <c r="J242" s="13">
        <f t="shared" si="6"/>
        <v>0.17383999999999999</v>
      </c>
      <c r="L242" t="str">
        <f t="shared" si="7"/>
        <v>20.c.ps.170.750  - U.S. Space Walk of Fame Museum, Inc.  $4346</v>
      </c>
    </row>
    <row r="243" spans="1:12" ht="15.75" x14ac:dyDescent="0.25">
      <c r="A243" s="15">
        <v>241</v>
      </c>
      <c r="B243" s="15" t="s">
        <v>531</v>
      </c>
      <c r="C243" s="15" t="s">
        <v>532</v>
      </c>
      <c r="D243" s="15" t="s">
        <v>115</v>
      </c>
      <c r="E243" s="16">
        <v>150000</v>
      </c>
      <c r="F243" s="15">
        <v>91.5</v>
      </c>
      <c r="G243" s="16">
        <v>150000</v>
      </c>
      <c r="H243" s="11">
        <f>'First Calculations'!P242</f>
        <v>26001</v>
      </c>
      <c r="I243" s="12"/>
      <c r="J243" s="13">
        <f t="shared" si="6"/>
        <v>0.17333999999999999</v>
      </c>
      <c r="L243" t="str">
        <f t="shared" si="7"/>
        <v>20.c.ps.600.276  - The Florida Music Education Association, Inc.  $26001</v>
      </c>
    </row>
    <row r="244" spans="1:12" ht="15.75" x14ac:dyDescent="0.25">
      <c r="A244" s="15">
        <v>242</v>
      </c>
      <c r="B244" s="15" t="s">
        <v>533</v>
      </c>
      <c r="C244" s="15" t="s">
        <v>534</v>
      </c>
      <c r="D244" s="15" t="s">
        <v>36</v>
      </c>
      <c r="E244" s="16">
        <v>109349</v>
      </c>
      <c r="F244" s="15">
        <v>91.5</v>
      </c>
      <c r="G244" s="16">
        <v>109349</v>
      </c>
      <c r="H244" s="11">
        <f>'First Calculations'!P243</f>
        <v>18959</v>
      </c>
      <c r="I244" s="12"/>
      <c r="J244" s="13">
        <f t="shared" si="6"/>
        <v>0.17338064362728511</v>
      </c>
      <c r="L244" t="str">
        <f t="shared" si="7"/>
        <v>20.c.ps.109.225  - The Broward County Film Society, Inc.  $18959</v>
      </c>
    </row>
    <row r="245" spans="1:12" ht="15.75" x14ac:dyDescent="0.25">
      <c r="A245" s="15">
        <v>243</v>
      </c>
      <c r="B245" s="15" t="s">
        <v>535</v>
      </c>
      <c r="C245" s="15" t="s">
        <v>217</v>
      </c>
      <c r="D245" s="15" t="s">
        <v>28</v>
      </c>
      <c r="E245" s="16">
        <v>90000</v>
      </c>
      <c r="F245" s="15">
        <v>91.429000000000002</v>
      </c>
      <c r="G245" s="16">
        <v>90000</v>
      </c>
      <c r="H245" s="11">
        <f>'First Calculations'!P244</f>
        <v>15595</v>
      </c>
      <c r="I245" s="12"/>
      <c r="J245" s="13">
        <f t="shared" si="6"/>
        <v>0.17327777777777778</v>
      </c>
      <c r="L245" t="str">
        <f t="shared" si="7"/>
        <v>20.c.ps.170.341  - Miami Dade College  $15595</v>
      </c>
    </row>
    <row r="246" spans="1:12" ht="15.75" x14ac:dyDescent="0.25">
      <c r="A246" s="15">
        <v>244</v>
      </c>
      <c r="B246" s="15" t="s">
        <v>536</v>
      </c>
      <c r="C246" s="15" t="s">
        <v>537</v>
      </c>
      <c r="D246" s="15" t="s">
        <v>73</v>
      </c>
      <c r="E246" s="16">
        <v>73000</v>
      </c>
      <c r="F246" s="15">
        <v>91.429000000000002</v>
      </c>
      <c r="G246" s="16">
        <v>73000</v>
      </c>
      <c r="H246" s="11">
        <f>'First Calculations'!P245</f>
        <v>12652</v>
      </c>
      <c r="I246" s="12"/>
      <c r="J246" s="13">
        <f t="shared" si="6"/>
        <v>0.17331506849315068</v>
      </c>
      <c r="L246" t="str">
        <f t="shared" si="7"/>
        <v>20.c.ps.141.030  - Sands Theater Center, Inc.  $12652</v>
      </c>
    </row>
    <row r="247" spans="1:12" ht="15.75" x14ac:dyDescent="0.25">
      <c r="A247" s="15">
        <v>245</v>
      </c>
      <c r="B247" s="15" t="s">
        <v>538</v>
      </c>
      <c r="C247" s="15" t="s">
        <v>539</v>
      </c>
      <c r="D247" s="15" t="s">
        <v>28</v>
      </c>
      <c r="E247" s="16">
        <v>22250</v>
      </c>
      <c r="F247" s="15">
        <v>91.429000000000002</v>
      </c>
      <c r="G247" s="16">
        <v>22250</v>
      </c>
      <c r="H247" s="11">
        <f>'First Calculations'!P246</f>
        <v>3867</v>
      </c>
      <c r="I247" s="12"/>
      <c r="J247" s="13">
        <f t="shared" si="6"/>
        <v>0.17379775280898876</v>
      </c>
      <c r="L247" t="str">
        <f t="shared" si="7"/>
        <v>20.c.ps.114.567  - Miami Center for Architecture &amp; Design, Inc.  $3867</v>
      </c>
    </row>
    <row r="248" spans="1:12" ht="15.75" x14ac:dyDescent="0.25">
      <c r="A248" s="15">
        <v>246</v>
      </c>
      <c r="B248" s="15" t="s">
        <v>540</v>
      </c>
      <c r="C248" s="15" t="s">
        <v>541</v>
      </c>
      <c r="D248" s="15" t="s">
        <v>28</v>
      </c>
      <c r="E248" s="16">
        <v>150000</v>
      </c>
      <c r="F248" s="15">
        <v>91.429000000000002</v>
      </c>
      <c r="G248" s="16">
        <v>150000</v>
      </c>
      <c r="H248" s="11">
        <f>'First Calculations'!P247</f>
        <v>25981</v>
      </c>
      <c r="I248" s="12"/>
      <c r="J248" s="13">
        <f t="shared" si="6"/>
        <v>0.17320666666666668</v>
      </c>
      <c r="L248" t="str">
        <f t="shared" si="7"/>
        <v>20.c.ps.180.468  - Olympia Center, Inc.  $25981</v>
      </c>
    </row>
    <row r="249" spans="1:12" ht="15.75" x14ac:dyDescent="0.25">
      <c r="A249" s="15">
        <v>247</v>
      </c>
      <c r="B249" s="15" t="s">
        <v>542</v>
      </c>
      <c r="C249" s="15" t="s">
        <v>543</v>
      </c>
      <c r="D249" s="15" t="s">
        <v>87</v>
      </c>
      <c r="E249" s="16">
        <v>90000</v>
      </c>
      <c r="F249" s="15">
        <v>91.429000000000002</v>
      </c>
      <c r="G249" s="16">
        <v>90000</v>
      </c>
      <c r="H249" s="11">
        <f>'First Calculations'!P248</f>
        <v>15595</v>
      </c>
      <c r="I249" s="12"/>
      <c r="J249" s="13">
        <f t="shared" si="6"/>
        <v>0.17327777777777778</v>
      </c>
      <c r="L249" t="str">
        <f t="shared" si="7"/>
        <v>20.c.ps.114.295  - Association to Preserve the Eatonville Community  $15595</v>
      </c>
    </row>
    <row r="250" spans="1:12" ht="15.75" x14ac:dyDescent="0.25">
      <c r="A250" s="15">
        <v>248</v>
      </c>
      <c r="B250" s="15" t="s">
        <v>544</v>
      </c>
      <c r="C250" s="15" t="s">
        <v>545</v>
      </c>
      <c r="D250" s="15" t="s">
        <v>73</v>
      </c>
      <c r="E250" s="16">
        <v>46058</v>
      </c>
      <c r="F250" s="15">
        <v>91.429000000000002</v>
      </c>
      <c r="G250" s="16">
        <v>46058</v>
      </c>
      <c r="H250" s="11">
        <f>'First Calculations'!P249</f>
        <v>7988</v>
      </c>
      <c r="I250" s="12"/>
      <c r="J250" s="13">
        <f t="shared" si="6"/>
        <v>0.17343349689521906</v>
      </c>
      <c r="L250" t="str">
        <f t="shared" si="7"/>
        <v>20.c.ps.114.315  - The Hub on Canal, Inc.  $7988</v>
      </c>
    </row>
    <row r="251" spans="1:12" ht="15.75" x14ac:dyDescent="0.25">
      <c r="A251" s="15">
        <v>249</v>
      </c>
      <c r="B251" s="15" t="s">
        <v>546</v>
      </c>
      <c r="C251" s="15" t="s">
        <v>547</v>
      </c>
      <c r="D251" s="15" t="s">
        <v>87</v>
      </c>
      <c r="E251" s="16">
        <v>56338</v>
      </c>
      <c r="F251" s="15">
        <v>91.429000000000002</v>
      </c>
      <c r="G251" s="16">
        <v>56338</v>
      </c>
      <c r="H251" s="11">
        <f>'First Calculations'!P250</f>
        <v>9768</v>
      </c>
      <c r="I251" s="12"/>
      <c r="J251" s="13">
        <f t="shared" si="6"/>
        <v>0.17338208669104335</v>
      </c>
      <c r="L251" t="str">
        <f t="shared" si="7"/>
        <v>20.c.ps.170.708  - Winter Garden Heritage Foundation, Inc.  $9768</v>
      </c>
    </row>
    <row r="252" spans="1:12" ht="15.75" x14ac:dyDescent="0.25">
      <c r="A252" s="15">
        <v>250</v>
      </c>
      <c r="B252" s="15" t="s">
        <v>548</v>
      </c>
      <c r="C252" s="15" t="s">
        <v>549</v>
      </c>
      <c r="D252" s="15" t="s">
        <v>80</v>
      </c>
      <c r="E252" s="16">
        <v>50000</v>
      </c>
      <c r="F252" s="15">
        <v>91.429000000000002</v>
      </c>
      <c r="G252" s="16">
        <v>50000</v>
      </c>
      <c r="H252" s="11">
        <f>'First Calculations'!P251</f>
        <v>8670</v>
      </c>
      <c r="I252" s="12"/>
      <c r="J252" s="13">
        <f t="shared" si="6"/>
        <v>0.1734</v>
      </c>
      <c r="L252" t="str">
        <f t="shared" si="7"/>
        <v>20.c.ps.114.050  - City of Tarpon Springs  $8670</v>
      </c>
    </row>
    <row r="253" spans="1:12" ht="15.75" x14ac:dyDescent="0.25">
      <c r="A253" s="15">
        <v>251</v>
      </c>
      <c r="B253" s="15" t="s">
        <v>550</v>
      </c>
      <c r="C253" s="15" t="s">
        <v>551</v>
      </c>
      <c r="D253" s="15" t="s">
        <v>73</v>
      </c>
      <c r="E253" s="16">
        <v>1175</v>
      </c>
      <c r="F253" s="15">
        <v>91.332999999999998</v>
      </c>
      <c r="G253" s="16">
        <v>1175</v>
      </c>
      <c r="H253" s="11">
        <f>'First Calculations'!P252</f>
        <v>1000</v>
      </c>
      <c r="I253" s="12"/>
      <c r="J253" s="13">
        <f t="shared" si="6"/>
        <v>0.85106382978723405</v>
      </c>
      <c r="L253" t="str">
        <f t="shared" si="7"/>
        <v>20.c.ps.170.366  - African American Museum of the Arts, Inc.  $1000</v>
      </c>
    </row>
    <row r="254" spans="1:12" ht="25.5" x14ac:dyDescent="0.25">
      <c r="A254" s="15">
        <v>252</v>
      </c>
      <c r="B254" s="15" t="s">
        <v>552</v>
      </c>
      <c r="C254" s="15" t="s">
        <v>553</v>
      </c>
      <c r="D254" s="15" t="s">
        <v>57</v>
      </c>
      <c r="E254" s="16">
        <v>146937</v>
      </c>
      <c r="F254" s="15">
        <v>91.332999999999998</v>
      </c>
      <c r="G254" s="16">
        <v>146937</v>
      </c>
      <c r="H254" s="11">
        <f>'First Calculations'!P253</f>
        <v>25424</v>
      </c>
      <c r="I254" s="12"/>
      <c r="J254" s="13">
        <f t="shared" si="6"/>
        <v>0.17302653518174455</v>
      </c>
      <c r="L254" t="str">
        <f t="shared" si="7"/>
        <v>20.c.ps.170.764  - The University of South Florida  $25424</v>
      </c>
    </row>
    <row r="255" spans="1:12" ht="15.75" x14ac:dyDescent="0.25">
      <c r="A255" s="15">
        <v>253</v>
      </c>
      <c r="B255" s="15" t="s">
        <v>554</v>
      </c>
      <c r="C255" s="15" t="s">
        <v>555</v>
      </c>
      <c r="D255" s="15" t="s">
        <v>36</v>
      </c>
      <c r="E255" s="16">
        <v>124774</v>
      </c>
      <c r="F255" s="15">
        <v>91.332999999999998</v>
      </c>
      <c r="G255" s="16">
        <v>124774</v>
      </c>
      <c r="H255" s="11">
        <f>'First Calculations'!P254</f>
        <v>21592</v>
      </c>
      <c r="I255" s="12"/>
      <c r="J255" s="13">
        <f t="shared" si="6"/>
        <v>0.17304887236122909</v>
      </c>
      <c r="L255" t="str">
        <f t="shared" si="7"/>
        <v>20.c.ps.142.224  - Slow Burn Theatre Company, Inc.  $21592</v>
      </c>
    </row>
    <row r="256" spans="1:12" ht="15.75" x14ac:dyDescent="0.25">
      <c r="A256" s="15">
        <v>254</v>
      </c>
      <c r="B256" s="15" t="s">
        <v>556</v>
      </c>
      <c r="C256" s="15" t="s">
        <v>557</v>
      </c>
      <c r="D256" s="15" t="s">
        <v>28</v>
      </c>
      <c r="E256" s="16">
        <v>150000</v>
      </c>
      <c r="F256" s="15">
        <v>91.332999999999998</v>
      </c>
      <c r="G256" s="16">
        <v>150000</v>
      </c>
      <c r="H256" s="11">
        <f>'First Calculations'!P255</f>
        <v>25954</v>
      </c>
      <c r="I256" s="12"/>
      <c r="J256" s="13">
        <f t="shared" si="6"/>
        <v>0.17302666666666666</v>
      </c>
      <c r="L256" t="str">
        <f t="shared" si="7"/>
        <v>20.c.ps.101.175  - Thomas Armour Youth Ballet, Inc.  $25954</v>
      </c>
    </row>
    <row r="257" spans="1:12" ht="15.75" x14ac:dyDescent="0.25">
      <c r="A257" s="15">
        <v>255</v>
      </c>
      <c r="B257" s="15" t="s">
        <v>558</v>
      </c>
      <c r="C257" s="15" t="s">
        <v>559</v>
      </c>
      <c r="D257" s="15" t="s">
        <v>287</v>
      </c>
      <c r="E257" s="16">
        <v>38200</v>
      </c>
      <c r="F257" s="15">
        <v>91.286000000000001</v>
      </c>
      <c r="G257" s="16">
        <v>38200</v>
      </c>
      <c r="H257" s="11">
        <f>'First Calculations'!P256</f>
        <v>6617</v>
      </c>
      <c r="I257" s="12"/>
      <c r="J257" s="13">
        <f t="shared" si="6"/>
        <v>0.17321989528795811</v>
      </c>
      <c r="L257" t="str">
        <f t="shared" si="7"/>
        <v>20.c.ps.141.768  - Marathon Community Theatre, Inc.  $6617</v>
      </c>
    </row>
    <row r="258" spans="1:12" ht="15.75" x14ac:dyDescent="0.25">
      <c r="A258" s="15">
        <v>256</v>
      </c>
      <c r="B258" s="15" t="s">
        <v>560</v>
      </c>
      <c r="C258" s="15" t="s">
        <v>561</v>
      </c>
      <c r="D258" s="15" t="s">
        <v>28</v>
      </c>
      <c r="E258" s="16">
        <v>25000</v>
      </c>
      <c r="F258" s="15">
        <v>91.25</v>
      </c>
      <c r="G258" s="16">
        <v>25000</v>
      </c>
      <c r="H258" s="11">
        <f>'First Calculations'!P257</f>
        <v>4334</v>
      </c>
      <c r="I258" s="12"/>
      <c r="J258" s="13">
        <f t="shared" ref="J258:J321" si="8">H258/E258</f>
        <v>0.17335999999999999</v>
      </c>
      <c r="L258" t="str">
        <f t="shared" si="7"/>
        <v>20.c.ps.109.762  - Borscht Corp  $4334</v>
      </c>
    </row>
    <row r="259" spans="1:12" ht="15.75" x14ac:dyDescent="0.25">
      <c r="A259" s="15">
        <v>257</v>
      </c>
      <c r="B259" s="15" t="s">
        <v>562</v>
      </c>
      <c r="C259" s="15" t="s">
        <v>563</v>
      </c>
      <c r="D259" s="15" t="s">
        <v>359</v>
      </c>
      <c r="E259" s="16">
        <v>126478</v>
      </c>
      <c r="F259" s="15">
        <v>91.25</v>
      </c>
      <c r="G259" s="16">
        <v>126478</v>
      </c>
      <c r="H259" s="11">
        <f>'First Calculations'!P258</f>
        <v>21866</v>
      </c>
      <c r="I259" s="12"/>
      <c r="J259" s="13">
        <f t="shared" si="8"/>
        <v>0.17288382169231012</v>
      </c>
      <c r="L259" t="str">
        <f t="shared" si="7"/>
        <v>20.c.ps.102.646  - Sinfonia Gulf Coast, Inc.  $21866</v>
      </c>
    </row>
    <row r="260" spans="1:12" ht="15.75" x14ac:dyDescent="0.25">
      <c r="A260" s="15">
        <v>258</v>
      </c>
      <c r="B260" s="15" t="s">
        <v>564</v>
      </c>
      <c r="C260" s="15" t="s">
        <v>565</v>
      </c>
      <c r="D260" s="15" t="s">
        <v>397</v>
      </c>
      <c r="E260" s="16">
        <v>150000</v>
      </c>
      <c r="F260" s="15">
        <v>91.167000000000002</v>
      </c>
      <c r="G260" s="16">
        <v>150000</v>
      </c>
      <c r="H260" s="11">
        <f>'First Calculations'!P259</f>
        <v>25907</v>
      </c>
      <c r="I260" s="12"/>
      <c r="J260" s="13">
        <f t="shared" si="8"/>
        <v>0.17271333333333333</v>
      </c>
      <c r="L260" t="str">
        <f t="shared" ref="L260:L323" si="9">B260&amp;" - "&amp;C260&amp;" $"&amp;H260</f>
        <v>20.c.ps.500.757  - Cultural Arts Alliance of Walton County, Inc.  $25907</v>
      </c>
    </row>
    <row r="261" spans="1:12" ht="15.75" x14ac:dyDescent="0.25">
      <c r="A261" s="15">
        <v>259</v>
      </c>
      <c r="B261" s="15" t="s">
        <v>566</v>
      </c>
      <c r="C261" s="15" t="s">
        <v>567</v>
      </c>
      <c r="D261" s="15" t="s">
        <v>36</v>
      </c>
      <c r="E261" s="16">
        <v>150000</v>
      </c>
      <c r="F261" s="15">
        <v>91.167000000000002</v>
      </c>
      <c r="G261" s="16">
        <v>150000</v>
      </c>
      <c r="H261" s="11">
        <f>'First Calculations'!P260</f>
        <v>25907</v>
      </c>
      <c r="I261" s="12"/>
      <c r="J261" s="13">
        <f t="shared" si="8"/>
        <v>0.17271333333333333</v>
      </c>
      <c r="L261" t="str">
        <f t="shared" si="9"/>
        <v>20.c.ps.170.038  - Bonnet House, Inc.  $25907</v>
      </c>
    </row>
    <row r="262" spans="1:12" ht="15.75" x14ac:dyDescent="0.25">
      <c r="A262" s="15">
        <v>260</v>
      </c>
      <c r="B262" s="15" t="s">
        <v>568</v>
      </c>
      <c r="C262" s="15" t="s">
        <v>569</v>
      </c>
      <c r="D262" s="15" t="s">
        <v>36</v>
      </c>
      <c r="E262" s="16">
        <v>50408</v>
      </c>
      <c r="F262" s="15">
        <v>91.143000000000001</v>
      </c>
      <c r="G262" s="16">
        <v>50408</v>
      </c>
      <c r="H262" s="11">
        <f>'First Calculations'!P261</f>
        <v>8714</v>
      </c>
      <c r="I262" s="12"/>
      <c r="J262" s="13">
        <f t="shared" si="8"/>
        <v>0.17286938581177591</v>
      </c>
      <c r="L262" t="str">
        <f t="shared" si="9"/>
        <v>20.c.ps.102.423  - The Girlchoir of South Florida, Inc.  $8714</v>
      </c>
    </row>
    <row r="263" spans="1:12" ht="15.75" x14ac:dyDescent="0.25">
      <c r="A263" s="15">
        <v>261</v>
      </c>
      <c r="B263" s="15" t="s">
        <v>570</v>
      </c>
      <c r="C263" s="15" t="s">
        <v>571</v>
      </c>
      <c r="D263" s="15" t="s">
        <v>572</v>
      </c>
      <c r="E263" s="16">
        <v>23600</v>
      </c>
      <c r="F263" s="15">
        <v>91.143000000000001</v>
      </c>
      <c r="G263" s="16">
        <v>23600</v>
      </c>
      <c r="H263" s="11">
        <f>'First Calculations'!P262</f>
        <v>4088</v>
      </c>
      <c r="I263" s="12"/>
      <c r="J263" s="13">
        <f t="shared" si="8"/>
        <v>0.17322033898305084</v>
      </c>
      <c r="L263" t="str">
        <f t="shared" si="9"/>
        <v>20.c.ps.114.635  - Young Performing Artists Corporation  $4088</v>
      </c>
    </row>
    <row r="264" spans="1:12" ht="15.75" x14ac:dyDescent="0.25">
      <c r="A264" s="15">
        <v>262</v>
      </c>
      <c r="B264" s="15" t="s">
        <v>573</v>
      </c>
      <c r="C264" s="15" t="s">
        <v>574</v>
      </c>
      <c r="D264" s="15" t="s">
        <v>73</v>
      </c>
      <c r="E264" s="16">
        <v>150000</v>
      </c>
      <c r="F264" s="15">
        <v>91.143000000000001</v>
      </c>
      <c r="G264" s="16">
        <v>150000</v>
      </c>
      <c r="H264" s="11">
        <f>'First Calculations'!P263</f>
        <v>25900</v>
      </c>
      <c r="I264" s="12"/>
      <c r="J264" s="13">
        <f t="shared" si="8"/>
        <v>0.17266666666666666</v>
      </c>
      <c r="L264" t="str">
        <f t="shared" si="9"/>
        <v>20.c.ps.170.370  - Museum of Arts and Sciences, Inc.  $25900</v>
      </c>
    </row>
    <row r="265" spans="1:12" ht="15.75" x14ac:dyDescent="0.25">
      <c r="A265" s="15">
        <v>263</v>
      </c>
      <c r="B265" s="15" t="s">
        <v>575</v>
      </c>
      <c r="C265" s="15" t="s">
        <v>576</v>
      </c>
      <c r="D265" s="15" t="s">
        <v>64</v>
      </c>
      <c r="E265" s="16">
        <v>81112</v>
      </c>
      <c r="F265" s="15">
        <v>91.143000000000001</v>
      </c>
      <c r="G265" s="16">
        <v>81112</v>
      </c>
      <c r="H265" s="11">
        <f>'First Calculations'!P264</f>
        <v>14012</v>
      </c>
      <c r="I265" s="12"/>
      <c r="J265" s="13">
        <f t="shared" si="8"/>
        <v>0.17274879179406252</v>
      </c>
      <c r="L265" t="str">
        <f t="shared" si="9"/>
        <v>20.c.ps.102.372  - Gulfshore Opera, Inc.  $14012</v>
      </c>
    </row>
    <row r="266" spans="1:12" ht="15.75" x14ac:dyDescent="0.25">
      <c r="A266" s="15">
        <v>264</v>
      </c>
      <c r="B266" s="15" t="s">
        <v>577</v>
      </c>
      <c r="C266" s="15" t="s">
        <v>578</v>
      </c>
      <c r="D266" s="15" t="s">
        <v>39</v>
      </c>
      <c r="E266" s="16">
        <v>130000</v>
      </c>
      <c r="F266" s="15">
        <v>91.143000000000001</v>
      </c>
      <c r="G266" s="16">
        <v>130000</v>
      </c>
      <c r="H266" s="11">
        <f>'First Calculations'!P265</f>
        <v>22449</v>
      </c>
      <c r="I266" s="12"/>
      <c r="J266" s="13">
        <f t="shared" si="8"/>
        <v>0.17268461538461538</v>
      </c>
      <c r="L266" t="str">
        <f t="shared" si="9"/>
        <v>20.c.ps.170.045  - Loxahatchee River Historical Society, Inc.  $22449</v>
      </c>
    </row>
    <row r="267" spans="1:12" ht="15.75" x14ac:dyDescent="0.25">
      <c r="A267" s="15">
        <v>265</v>
      </c>
      <c r="B267" s="15" t="s">
        <v>579</v>
      </c>
      <c r="C267" s="15" t="s">
        <v>580</v>
      </c>
      <c r="D267" s="15" t="s">
        <v>36</v>
      </c>
      <c r="E267" s="16">
        <v>150000</v>
      </c>
      <c r="F267" s="15">
        <v>91.125</v>
      </c>
      <c r="G267" s="16">
        <v>150000</v>
      </c>
      <c r="H267" s="11">
        <f>'First Calculations'!P266</f>
        <v>25895</v>
      </c>
      <c r="I267" s="12"/>
      <c r="J267" s="13">
        <f t="shared" si="8"/>
        <v>0.17263333333333333</v>
      </c>
      <c r="L267" t="str">
        <f t="shared" si="9"/>
        <v>20.c.ps.102.654  - Symphony of the Americas, Inc.  $25895</v>
      </c>
    </row>
    <row r="268" spans="1:12" ht="15.75" x14ac:dyDescent="0.25">
      <c r="A268" s="15">
        <v>266</v>
      </c>
      <c r="B268" s="15" t="s">
        <v>581</v>
      </c>
      <c r="C268" s="15" t="s">
        <v>582</v>
      </c>
      <c r="D268" s="15" t="s">
        <v>39</v>
      </c>
      <c r="E268" s="16">
        <v>150000</v>
      </c>
      <c r="F268" s="15">
        <v>91</v>
      </c>
      <c r="G268" s="16">
        <v>150000</v>
      </c>
      <c r="H268" s="11">
        <f>'First Calculations'!P267</f>
        <v>25859</v>
      </c>
      <c r="I268" s="12"/>
      <c r="J268" s="13">
        <f t="shared" si="8"/>
        <v>0.17239333333333334</v>
      </c>
      <c r="L268" t="str">
        <f t="shared" si="9"/>
        <v>20.c.ps.114.465  - Adolph &amp; Rose Levis Jewish Community Center, Inc.  $25859</v>
      </c>
    </row>
    <row r="269" spans="1:12" ht="15.75" x14ac:dyDescent="0.25">
      <c r="A269" s="15">
        <v>267</v>
      </c>
      <c r="B269" s="15" t="s">
        <v>583</v>
      </c>
      <c r="C269" s="15" t="s">
        <v>584</v>
      </c>
      <c r="D269" s="15" t="s">
        <v>28</v>
      </c>
      <c r="E269" s="16">
        <v>90000</v>
      </c>
      <c r="F269" s="15">
        <v>91</v>
      </c>
      <c r="G269" s="16">
        <v>90000</v>
      </c>
      <c r="H269" s="11">
        <f>'First Calculations'!P268</f>
        <v>15522</v>
      </c>
      <c r="I269" s="12"/>
      <c r="J269" s="13">
        <f t="shared" si="8"/>
        <v>0.17246666666666666</v>
      </c>
      <c r="L269" t="str">
        <f t="shared" si="9"/>
        <v>20.c.ps.114.364  - Centro Cultural Español de Cooperación Iberoamericana, Inc.  $15522</v>
      </c>
    </row>
    <row r="270" spans="1:12" ht="15.75" x14ac:dyDescent="0.25">
      <c r="A270" s="15">
        <v>268</v>
      </c>
      <c r="B270" s="15" t="s">
        <v>585</v>
      </c>
      <c r="C270" s="15" t="s">
        <v>586</v>
      </c>
      <c r="D270" s="15" t="s">
        <v>28</v>
      </c>
      <c r="E270" s="16">
        <v>95900</v>
      </c>
      <c r="F270" s="15">
        <v>91</v>
      </c>
      <c r="G270" s="16">
        <v>95900</v>
      </c>
      <c r="H270" s="11">
        <f>'First Calculations'!P269</f>
        <v>16538</v>
      </c>
      <c r="I270" s="12"/>
      <c r="J270" s="13">
        <f t="shared" si="8"/>
        <v>0.1724504692387904</v>
      </c>
      <c r="L270" t="str">
        <f t="shared" si="9"/>
        <v>20.c.ps.109.359  - Living Arts Trust, Inc.  $16538</v>
      </c>
    </row>
    <row r="271" spans="1:12" ht="15.75" x14ac:dyDescent="0.25">
      <c r="A271" s="15">
        <v>269</v>
      </c>
      <c r="B271" s="15" t="s">
        <v>587</v>
      </c>
      <c r="C271" s="15" t="s">
        <v>588</v>
      </c>
      <c r="D271" s="15" t="s">
        <v>33</v>
      </c>
      <c r="E271" s="16">
        <v>89844</v>
      </c>
      <c r="F271" s="15">
        <v>91</v>
      </c>
      <c r="G271" s="16">
        <v>89844</v>
      </c>
      <c r="H271" s="11">
        <f>'First Calculations'!P270</f>
        <v>15495</v>
      </c>
      <c r="I271" s="12"/>
      <c r="J271" s="13">
        <f t="shared" si="8"/>
        <v>0.17246560705222386</v>
      </c>
      <c r="L271" t="str">
        <f t="shared" si="9"/>
        <v>20.c.ps.109.715  - Sarasota Film Festival, Inc.  $15495</v>
      </c>
    </row>
    <row r="272" spans="1:12" ht="15.75" x14ac:dyDescent="0.25">
      <c r="A272" s="15">
        <v>270</v>
      </c>
      <c r="B272" s="15" t="s">
        <v>589</v>
      </c>
      <c r="C272" s="15" t="s">
        <v>590</v>
      </c>
      <c r="D272" s="15" t="s">
        <v>136</v>
      </c>
      <c r="E272" s="16">
        <v>40000</v>
      </c>
      <c r="F272" s="15">
        <v>91</v>
      </c>
      <c r="G272" s="16">
        <v>40000</v>
      </c>
      <c r="H272" s="11">
        <f>'First Calculations'!P271</f>
        <v>6907</v>
      </c>
      <c r="I272" s="12"/>
      <c r="J272" s="13">
        <f t="shared" si="8"/>
        <v>0.172675</v>
      </c>
      <c r="L272" t="str">
        <f t="shared" si="9"/>
        <v>20.c.ps.141.375  - Lakeland Community Theatre, Inc.  $6907</v>
      </c>
    </row>
    <row r="273" spans="1:12" ht="15.75" x14ac:dyDescent="0.25">
      <c r="A273" s="15">
        <v>271</v>
      </c>
      <c r="B273" s="15" t="s">
        <v>591</v>
      </c>
      <c r="C273" s="15" t="s">
        <v>592</v>
      </c>
      <c r="D273" s="15" t="s">
        <v>593</v>
      </c>
      <c r="E273" s="16">
        <v>50000</v>
      </c>
      <c r="F273" s="15">
        <v>91</v>
      </c>
      <c r="G273" s="16">
        <v>50000</v>
      </c>
      <c r="H273" s="11">
        <f>'First Calculations'!P272</f>
        <v>8630</v>
      </c>
      <c r="I273" s="12"/>
      <c r="J273" s="13">
        <f t="shared" si="8"/>
        <v>0.1726</v>
      </c>
      <c r="L273" t="str">
        <f t="shared" si="9"/>
        <v>20.c.ps.180.588  - Romanza-St. Augustine, Inc.  $8630</v>
      </c>
    </row>
    <row r="274" spans="1:12" ht="15.75" x14ac:dyDescent="0.25">
      <c r="A274" s="15">
        <v>272</v>
      </c>
      <c r="B274" s="15" t="s">
        <v>594</v>
      </c>
      <c r="C274" s="15" t="s">
        <v>595</v>
      </c>
      <c r="D274" s="15" t="s">
        <v>124</v>
      </c>
      <c r="E274" s="16">
        <v>150000</v>
      </c>
      <c r="F274" s="15">
        <v>91</v>
      </c>
      <c r="G274" s="16">
        <v>150000</v>
      </c>
      <c r="H274" s="11">
        <f>'First Calculations'!P273</f>
        <v>25859</v>
      </c>
      <c r="I274" s="12"/>
      <c r="J274" s="13">
        <f t="shared" si="8"/>
        <v>0.17239333333333334</v>
      </c>
      <c r="L274" t="str">
        <f t="shared" si="9"/>
        <v>20.c.ps.102.663  - Southwest Florida Symphony Orchestra and Chorus Association, Inc.  $25859</v>
      </c>
    </row>
    <row r="275" spans="1:12" ht="15.75" x14ac:dyDescent="0.25">
      <c r="A275" s="15">
        <v>273</v>
      </c>
      <c r="B275" s="15" t="s">
        <v>596</v>
      </c>
      <c r="C275" s="15" t="s">
        <v>597</v>
      </c>
      <c r="D275" s="15" t="s">
        <v>80</v>
      </c>
      <c r="E275" s="16">
        <v>90000</v>
      </c>
      <c r="F275" s="15">
        <v>91</v>
      </c>
      <c r="G275" s="16">
        <v>90000</v>
      </c>
      <c r="H275" s="11">
        <f>'First Calculations'!P274</f>
        <v>15522</v>
      </c>
      <c r="I275" s="12"/>
      <c r="J275" s="13">
        <f t="shared" si="8"/>
        <v>0.17246666666666666</v>
      </c>
      <c r="L275" t="str">
        <f t="shared" si="9"/>
        <v>20.c.ps.114.267  - Creative Clay, Inc.  $15522</v>
      </c>
    </row>
    <row r="276" spans="1:12" ht="15.75" x14ac:dyDescent="0.25">
      <c r="A276" s="15">
        <v>274</v>
      </c>
      <c r="B276" s="15" t="s">
        <v>598</v>
      </c>
      <c r="C276" s="15" t="s">
        <v>599</v>
      </c>
      <c r="D276" s="15" t="s">
        <v>80</v>
      </c>
      <c r="E276" s="16">
        <v>135000</v>
      </c>
      <c r="F276" s="15">
        <v>90.875</v>
      </c>
      <c r="G276" s="16">
        <v>135000</v>
      </c>
      <c r="H276" s="11">
        <f>'First Calculations'!P275</f>
        <v>23243</v>
      </c>
      <c r="I276" s="12"/>
      <c r="J276" s="13">
        <f t="shared" si="8"/>
        <v>0.17217037037037036</v>
      </c>
      <c r="L276" t="str">
        <f t="shared" si="9"/>
        <v>20.c.ps.102.543  - St. Petersburg Opera Company  $23243</v>
      </c>
    </row>
    <row r="277" spans="1:12" ht="15.75" x14ac:dyDescent="0.25">
      <c r="A277" s="15">
        <v>275</v>
      </c>
      <c r="B277" s="15" t="s">
        <v>600</v>
      </c>
      <c r="C277" s="15" t="s">
        <v>601</v>
      </c>
      <c r="D277" s="15" t="s">
        <v>90</v>
      </c>
      <c r="E277" s="16">
        <v>150000</v>
      </c>
      <c r="F277" s="15">
        <v>90.856999999999999</v>
      </c>
      <c r="G277" s="16">
        <v>150000</v>
      </c>
      <c r="H277" s="11">
        <f>'First Calculations'!P276</f>
        <v>25819</v>
      </c>
      <c r="I277" s="12"/>
      <c r="J277" s="13">
        <f t="shared" si="8"/>
        <v>0.17212666666666668</v>
      </c>
      <c r="L277" t="str">
        <f t="shared" si="9"/>
        <v>20.c.ps.180.589  - Maxwell C. King Center for the Performing Arts, Inc.  $25819</v>
      </c>
    </row>
    <row r="278" spans="1:12" ht="15.75" x14ac:dyDescent="0.25">
      <c r="A278" s="15">
        <v>276</v>
      </c>
      <c r="B278" s="15" t="s">
        <v>602</v>
      </c>
      <c r="C278" s="15" t="s">
        <v>603</v>
      </c>
      <c r="D278" s="15" t="s">
        <v>593</v>
      </c>
      <c r="E278" s="16">
        <v>150000</v>
      </c>
      <c r="F278" s="15">
        <v>90.856999999999999</v>
      </c>
      <c r="G278" s="16">
        <v>150000</v>
      </c>
      <c r="H278" s="11">
        <f>'First Calculations'!P277</f>
        <v>25819</v>
      </c>
      <c r="I278" s="12"/>
      <c r="J278" s="13">
        <f t="shared" si="8"/>
        <v>0.17212666666666668</v>
      </c>
      <c r="L278" t="str">
        <f t="shared" si="9"/>
        <v>20.c.ps.170.080  - The Saint Augustine Lighthouse and Museum  $25819</v>
      </c>
    </row>
    <row r="279" spans="1:12" ht="15.75" x14ac:dyDescent="0.25">
      <c r="A279" s="15">
        <v>277</v>
      </c>
      <c r="B279" s="15" t="s">
        <v>604</v>
      </c>
      <c r="C279" s="15" t="s">
        <v>605</v>
      </c>
      <c r="D279" s="15" t="s">
        <v>39</v>
      </c>
      <c r="E279" s="16">
        <v>150000</v>
      </c>
      <c r="F279" s="15">
        <v>90.856999999999999</v>
      </c>
      <c r="G279" s="16">
        <v>150000</v>
      </c>
      <c r="H279" s="11">
        <f>'First Calculations'!P278</f>
        <v>25819</v>
      </c>
      <c r="I279" s="12"/>
      <c r="J279" s="13">
        <f t="shared" si="8"/>
        <v>0.17212666666666668</v>
      </c>
      <c r="L279" t="str">
        <f t="shared" si="9"/>
        <v>20.c.ps.170.434  - South Florida Science Center and Aquarium, Inc.  $25819</v>
      </c>
    </row>
    <row r="280" spans="1:12" ht="15.75" x14ac:dyDescent="0.25">
      <c r="A280" s="15">
        <v>278</v>
      </c>
      <c r="B280" s="15" t="s">
        <v>606</v>
      </c>
      <c r="C280" s="15" t="s">
        <v>607</v>
      </c>
      <c r="D280" s="15" t="s">
        <v>136</v>
      </c>
      <c r="E280" s="16">
        <v>150000</v>
      </c>
      <c r="F280" s="15">
        <v>90.832999999999998</v>
      </c>
      <c r="G280" s="16">
        <v>150000</v>
      </c>
      <c r="H280" s="11">
        <f>'First Calculations'!P279</f>
        <v>25812</v>
      </c>
      <c r="I280" s="12"/>
      <c r="J280" s="13">
        <f t="shared" si="8"/>
        <v>0.17208000000000001</v>
      </c>
      <c r="L280" t="str">
        <f t="shared" si="9"/>
        <v>20.c.ps.170.111  - Bok Tower Gardens, Inc.  $25812</v>
      </c>
    </row>
    <row r="281" spans="1:12" ht="15.75" x14ac:dyDescent="0.25">
      <c r="A281" s="15">
        <v>279</v>
      </c>
      <c r="B281" s="15" t="s">
        <v>608</v>
      </c>
      <c r="C281" s="15" t="s">
        <v>609</v>
      </c>
      <c r="D281" s="15" t="s">
        <v>28</v>
      </c>
      <c r="E281" s="16">
        <v>43000</v>
      </c>
      <c r="F281" s="15">
        <v>90.75</v>
      </c>
      <c r="G281" s="16">
        <v>43000</v>
      </c>
      <c r="H281" s="11">
        <f>'First Calculations'!P280</f>
        <v>7403</v>
      </c>
      <c r="I281" s="12"/>
      <c r="J281" s="13">
        <f t="shared" si="8"/>
        <v>0.17216279069767443</v>
      </c>
      <c r="L281" t="str">
        <f t="shared" si="9"/>
        <v>20.c.ps.109.293  - Miami Beach Film Society, Inc.  $7403</v>
      </c>
    </row>
    <row r="282" spans="1:12" ht="15.75" x14ac:dyDescent="0.25">
      <c r="A282" s="15">
        <v>280</v>
      </c>
      <c r="B282" s="15" t="s">
        <v>610</v>
      </c>
      <c r="C282" s="15" t="s">
        <v>611</v>
      </c>
      <c r="D282" s="15" t="s">
        <v>39</v>
      </c>
      <c r="E282" s="16">
        <v>150000</v>
      </c>
      <c r="F282" s="15">
        <v>90.713999999999999</v>
      </c>
      <c r="G282" s="16">
        <v>150000</v>
      </c>
      <c r="H282" s="11">
        <f>'First Calculations'!P281</f>
        <v>25778</v>
      </c>
      <c r="I282" s="12"/>
      <c r="J282" s="13">
        <f t="shared" si="8"/>
        <v>0.17185333333333333</v>
      </c>
      <c r="L282" t="str">
        <f t="shared" si="9"/>
        <v>20.c.ps.180.226  - Sunfest of Palm Beach County, Inc.  $25778</v>
      </c>
    </row>
    <row r="283" spans="1:12" ht="15.75" x14ac:dyDescent="0.25">
      <c r="A283" s="15">
        <v>281</v>
      </c>
      <c r="B283" s="15" t="s">
        <v>612</v>
      </c>
      <c r="C283" s="15" t="s">
        <v>613</v>
      </c>
      <c r="D283" s="15" t="s">
        <v>36</v>
      </c>
      <c r="E283" s="16">
        <v>85000</v>
      </c>
      <c r="F283" s="15">
        <v>90.713999999999999</v>
      </c>
      <c r="G283" s="16">
        <v>85000</v>
      </c>
      <c r="H283" s="11">
        <f>'First Calculations'!P282</f>
        <v>14614</v>
      </c>
      <c r="I283" s="12"/>
      <c r="J283" s="13">
        <f t="shared" si="8"/>
        <v>0.17192941176470589</v>
      </c>
      <c r="L283" t="str">
        <f t="shared" si="9"/>
        <v>20.c.ps.170.430  - Fort Lauderdale Historical Society, Inc.  $14614</v>
      </c>
    </row>
    <row r="284" spans="1:12" ht="25.5" x14ac:dyDescent="0.25">
      <c r="A284" s="15">
        <v>282</v>
      </c>
      <c r="B284" s="15" t="s">
        <v>614</v>
      </c>
      <c r="C284" s="15" t="s">
        <v>615</v>
      </c>
      <c r="D284" s="15" t="s">
        <v>57</v>
      </c>
      <c r="E284" s="16">
        <v>39300</v>
      </c>
      <c r="F284" s="15">
        <v>90.667000000000002</v>
      </c>
      <c r="G284" s="16">
        <v>39300</v>
      </c>
      <c r="H284" s="11">
        <f>'First Calculations'!P283</f>
        <v>6761</v>
      </c>
      <c r="I284" s="12"/>
      <c r="J284" s="13">
        <f t="shared" si="8"/>
        <v>0.17203562340966921</v>
      </c>
      <c r="L284" t="str">
        <f t="shared" si="9"/>
        <v>20.c.ps.109.214  - Friends of the Festival, Inc.  $6761</v>
      </c>
    </row>
    <row r="285" spans="1:12" ht="25.5" x14ac:dyDescent="0.25">
      <c r="A285" s="15">
        <v>283</v>
      </c>
      <c r="B285" s="15" t="s">
        <v>616</v>
      </c>
      <c r="C285" s="15" t="s">
        <v>617</v>
      </c>
      <c r="D285" s="15" t="s">
        <v>57</v>
      </c>
      <c r="E285" s="16">
        <v>150000</v>
      </c>
      <c r="F285" s="15">
        <v>90.667000000000002</v>
      </c>
      <c r="G285" s="16">
        <v>150000</v>
      </c>
      <c r="H285" s="11">
        <f>'First Calculations'!P284</f>
        <v>25765</v>
      </c>
      <c r="I285" s="12"/>
      <c r="J285" s="13">
        <f t="shared" si="8"/>
        <v>0.17176666666666668</v>
      </c>
      <c r="L285" t="str">
        <f t="shared" si="9"/>
        <v>20.c.ps.170.696  - Tampa Museum of Art, Inc.  $25765</v>
      </c>
    </row>
    <row r="286" spans="1:12" ht="15.75" x14ac:dyDescent="0.25">
      <c r="A286" s="15">
        <v>284</v>
      </c>
      <c r="B286" s="15" t="s">
        <v>618</v>
      </c>
      <c r="C286" s="15" t="s">
        <v>619</v>
      </c>
      <c r="D286" s="15" t="s">
        <v>50</v>
      </c>
      <c r="E286" s="16">
        <v>150000</v>
      </c>
      <c r="F286" s="15">
        <v>90.667000000000002</v>
      </c>
      <c r="G286" s="16">
        <v>150000</v>
      </c>
      <c r="H286" s="11">
        <f>'First Calculations'!P285</f>
        <v>25765</v>
      </c>
      <c r="I286" s="12"/>
      <c r="J286" s="13">
        <f t="shared" si="8"/>
        <v>0.17176666666666668</v>
      </c>
      <c r="L286" t="str">
        <f t="shared" si="9"/>
        <v>20.c.ps.500.573  - Cultural Council of Greater Jacksonville, Inc.  $25765</v>
      </c>
    </row>
    <row r="287" spans="1:12" ht="15.75" x14ac:dyDescent="0.25">
      <c r="A287" s="15">
        <v>285</v>
      </c>
      <c r="B287" s="15" t="s">
        <v>620</v>
      </c>
      <c r="C287" s="15" t="s">
        <v>621</v>
      </c>
      <c r="D287" s="15" t="s">
        <v>87</v>
      </c>
      <c r="E287" s="16">
        <v>46000</v>
      </c>
      <c r="F287" s="15">
        <v>90.667000000000002</v>
      </c>
      <c r="G287" s="16">
        <v>46000</v>
      </c>
      <c r="H287" s="11">
        <f>'First Calculations'!P286</f>
        <v>7912</v>
      </c>
      <c r="I287" s="12"/>
      <c r="J287" s="13">
        <f t="shared" si="8"/>
        <v>0.17199999999999999</v>
      </c>
      <c r="L287" t="str">
        <f t="shared" si="9"/>
        <v>20.c.ps.180.786  - Creative City Project, Inc.  $7912</v>
      </c>
    </row>
    <row r="288" spans="1:12" ht="25.5" x14ac:dyDescent="0.25">
      <c r="A288" s="15">
        <v>286</v>
      </c>
      <c r="B288" s="15" t="s">
        <v>622</v>
      </c>
      <c r="C288" s="15" t="s">
        <v>623</v>
      </c>
      <c r="D288" s="15" t="s">
        <v>57</v>
      </c>
      <c r="E288" s="16">
        <v>139300</v>
      </c>
      <c r="F288" s="15">
        <v>90.570999999999998</v>
      </c>
      <c r="G288" s="16">
        <v>139300</v>
      </c>
      <c r="H288" s="11">
        <f>'First Calculations'!P287</f>
        <v>23903</v>
      </c>
      <c r="I288" s="12"/>
      <c r="J288" s="13">
        <f t="shared" si="8"/>
        <v>0.17159368269921033</v>
      </c>
      <c r="L288" t="str">
        <f t="shared" si="9"/>
        <v>20.c.ps.180.745  - Gasparilla Music Foundation, Inc  $23903</v>
      </c>
    </row>
    <row r="289" spans="1:12" ht="15.75" x14ac:dyDescent="0.25">
      <c r="A289" s="15">
        <v>287</v>
      </c>
      <c r="B289" s="15" t="s">
        <v>624</v>
      </c>
      <c r="C289" s="15" t="s">
        <v>625</v>
      </c>
      <c r="D289" s="15" t="s">
        <v>36</v>
      </c>
      <c r="E289" s="16">
        <v>67359</v>
      </c>
      <c r="F289" s="15">
        <v>90.570999999999998</v>
      </c>
      <c r="G289" s="16">
        <v>67359</v>
      </c>
      <c r="H289" s="11">
        <f>'First Calculations'!P288</f>
        <v>11566</v>
      </c>
      <c r="I289" s="12"/>
      <c r="J289" s="13">
        <f t="shared" si="8"/>
        <v>0.17170682462625633</v>
      </c>
      <c r="L289" t="str">
        <f t="shared" si="9"/>
        <v>20.c.ps.170.098  - Davie School Foundation, Inc.  $11566</v>
      </c>
    </row>
    <row r="290" spans="1:12" ht="15.75" x14ac:dyDescent="0.25">
      <c r="A290" s="15">
        <v>288</v>
      </c>
      <c r="B290" s="15" t="s">
        <v>626</v>
      </c>
      <c r="C290" s="15" t="s">
        <v>627</v>
      </c>
      <c r="D290" s="15" t="s">
        <v>124</v>
      </c>
      <c r="E290" s="16">
        <v>25000</v>
      </c>
      <c r="F290" s="15">
        <v>90.570999999999998</v>
      </c>
      <c r="G290" s="16">
        <v>25000</v>
      </c>
      <c r="H290" s="11">
        <f>'First Calculations'!P289</f>
        <v>4302</v>
      </c>
      <c r="I290" s="12"/>
      <c r="J290" s="13">
        <f t="shared" si="8"/>
        <v>0.17208000000000001</v>
      </c>
      <c r="L290" t="str">
        <f t="shared" si="9"/>
        <v>20.c.ps.114.656  - Barrier Island Group for the Arts, Inc.  $4302</v>
      </c>
    </row>
    <row r="291" spans="1:12" ht="15.75" x14ac:dyDescent="0.25">
      <c r="A291" s="15">
        <v>289</v>
      </c>
      <c r="B291" s="15" t="s">
        <v>628</v>
      </c>
      <c r="C291" s="15" t="s">
        <v>629</v>
      </c>
      <c r="D291" s="15" t="s">
        <v>593</v>
      </c>
      <c r="E291" s="16">
        <v>76000</v>
      </c>
      <c r="F291" s="15">
        <v>90.570999999999998</v>
      </c>
      <c r="G291" s="16">
        <v>76000</v>
      </c>
      <c r="H291" s="11">
        <f>'First Calculations'!P290</f>
        <v>13048</v>
      </c>
      <c r="I291" s="12"/>
      <c r="J291" s="13">
        <f t="shared" si="8"/>
        <v>0.1716842105263158</v>
      </c>
      <c r="L291" t="str">
        <f t="shared" si="9"/>
        <v>20.c.ps.141.180  - Limelight Theatre, Inc.  $13048</v>
      </c>
    </row>
    <row r="292" spans="1:12" ht="15.75" x14ac:dyDescent="0.25">
      <c r="A292" s="15">
        <v>290</v>
      </c>
      <c r="B292" s="15" t="s">
        <v>630</v>
      </c>
      <c r="C292" s="15" t="s">
        <v>631</v>
      </c>
      <c r="D292" s="15" t="s">
        <v>593</v>
      </c>
      <c r="E292" s="16">
        <v>90000</v>
      </c>
      <c r="F292" s="15">
        <v>90.570999999999998</v>
      </c>
      <c r="G292" s="16">
        <v>90000</v>
      </c>
      <c r="H292" s="11">
        <f>'First Calculations'!P291</f>
        <v>15448</v>
      </c>
      <c r="I292" s="12"/>
      <c r="J292" s="13">
        <f t="shared" si="8"/>
        <v>0.17164444444444443</v>
      </c>
      <c r="L292" t="str">
        <f t="shared" si="9"/>
        <v>20.c.ps.114.259  - The Cultural Center at Ponte Vedra Beach, Inc.  $15448</v>
      </c>
    </row>
    <row r="293" spans="1:12" ht="15.75" x14ac:dyDescent="0.25">
      <c r="A293" s="15">
        <v>291</v>
      </c>
      <c r="B293" s="15" t="s">
        <v>632</v>
      </c>
      <c r="C293" s="15" t="s">
        <v>633</v>
      </c>
      <c r="D293" s="15" t="s">
        <v>172</v>
      </c>
      <c r="E293" s="16">
        <v>150000</v>
      </c>
      <c r="F293" s="15">
        <v>90.5</v>
      </c>
      <c r="G293" s="16">
        <v>150000</v>
      </c>
      <c r="H293" s="11">
        <f>'First Calculations'!P292</f>
        <v>25717</v>
      </c>
      <c r="I293" s="12"/>
      <c r="J293" s="13">
        <f t="shared" si="8"/>
        <v>0.17144666666666666</v>
      </c>
      <c r="L293" t="str">
        <f t="shared" si="9"/>
        <v>20.c.ps.170.329  - Vero Beach Museum of Art, Inc.  $25717</v>
      </c>
    </row>
    <row r="294" spans="1:12" ht="15.75" x14ac:dyDescent="0.25">
      <c r="A294" s="15">
        <v>292</v>
      </c>
      <c r="B294" s="15" t="s">
        <v>634</v>
      </c>
      <c r="C294" s="15" t="s">
        <v>635</v>
      </c>
      <c r="D294" s="15" t="s">
        <v>33</v>
      </c>
      <c r="E294" s="16">
        <v>25000</v>
      </c>
      <c r="F294" s="15">
        <v>90.5</v>
      </c>
      <c r="G294" s="16">
        <v>25000</v>
      </c>
      <c r="H294" s="11">
        <f>'First Calculations'!P293</f>
        <v>4299</v>
      </c>
      <c r="I294" s="12"/>
      <c r="J294" s="13">
        <f t="shared" si="8"/>
        <v>0.17196</v>
      </c>
      <c r="L294" t="str">
        <f t="shared" si="9"/>
        <v>20.c.ps.180.201  - WSLR  $4299</v>
      </c>
    </row>
    <row r="295" spans="1:12" ht="15.75" x14ac:dyDescent="0.25">
      <c r="A295" s="15">
        <v>293</v>
      </c>
      <c r="B295" s="15" t="s">
        <v>636</v>
      </c>
      <c r="C295" s="15" t="s">
        <v>637</v>
      </c>
      <c r="D295" s="15" t="s">
        <v>39</v>
      </c>
      <c r="E295" s="16">
        <v>150000</v>
      </c>
      <c r="F295" s="15">
        <v>90.5</v>
      </c>
      <c r="G295" s="16">
        <v>150000</v>
      </c>
      <c r="H295" s="11">
        <f>'First Calculations'!P294</f>
        <v>25717</v>
      </c>
      <c r="I295" s="12"/>
      <c r="J295" s="13">
        <f t="shared" si="8"/>
        <v>0.17144666666666666</v>
      </c>
      <c r="L295" t="str">
        <f t="shared" si="9"/>
        <v>20.c.ps.500.294  - Cultural Council of Palm Beach County, Inc.  $25717</v>
      </c>
    </row>
    <row r="296" spans="1:12" ht="15.75" x14ac:dyDescent="0.25">
      <c r="A296" s="15">
        <v>294</v>
      </c>
      <c r="B296" s="15" t="s">
        <v>638</v>
      </c>
      <c r="C296" s="15" t="s">
        <v>217</v>
      </c>
      <c r="D296" s="15" t="s">
        <v>28</v>
      </c>
      <c r="E296" s="16">
        <v>90000</v>
      </c>
      <c r="F296" s="15">
        <v>90.5</v>
      </c>
      <c r="G296" s="16">
        <v>90000</v>
      </c>
      <c r="H296" s="11">
        <f>'First Calculations'!P295</f>
        <v>15436</v>
      </c>
      <c r="I296" s="12"/>
      <c r="J296" s="13">
        <f t="shared" si="8"/>
        <v>0.17151111111111111</v>
      </c>
      <c r="L296" t="str">
        <f t="shared" si="9"/>
        <v>20.c.ps.180.328  - Miami Dade College  $15436</v>
      </c>
    </row>
    <row r="297" spans="1:12" ht="15.75" x14ac:dyDescent="0.25">
      <c r="A297" s="15">
        <v>295</v>
      </c>
      <c r="B297" s="15" t="s">
        <v>639</v>
      </c>
      <c r="C297" s="15" t="s">
        <v>640</v>
      </c>
      <c r="D297" s="15" t="s">
        <v>28</v>
      </c>
      <c r="E297" s="16">
        <v>150000</v>
      </c>
      <c r="F297" s="15">
        <v>90.429000000000002</v>
      </c>
      <c r="G297" s="16">
        <v>150000</v>
      </c>
      <c r="H297" s="11">
        <f>'First Calculations'!P296</f>
        <v>25697</v>
      </c>
      <c r="I297" s="12"/>
      <c r="J297" s="13">
        <f t="shared" si="8"/>
        <v>0.17131333333333335</v>
      </c>
      <c r="L297" t="str">
        <f t="shared" si="9"/>
        <v>20.c.ps.170.561  - The Florida International University Board of Trustees  $25697</v>
      </c>
    </row>
    <row r="298" spans="1:12" ht="15.75" x14ac:dyDescent="0.25">
      <c r="A298" s="15">
        <v>296</v>
      </c>
      <c r="B298" s="15" t="s">
        <v>641</v>
      </c>
      <c r="C298" s="15" t="s">
        <v>642</v>
      </c>
      <c r="D298" s="15" t="s">
        <v>36</v>
      </c>
      <c r="E298" s="16">
        <v>150000</v>
      </c>
      <c r="F298" s="15">
        <v>90.429000000000002</v>
      </c>
      <c r="G298" s="16">
        <v>150000</v>
      </c>
      <c r="H298" s="11">
        <f>'First Calculations'!P297</f>
        <v>25697</v>
      </c>
      <c r="I298" s="12"/>
      <c r="J298" s="13">
        <f t="shared" si="8"/>
        <v>0.17131333333333335</v>
      </c>
      <c r="L298" t="str">
        <f t="shared" si="9"/>
        <v>20.c.ps.170.283  - Flamingo Gardens, Inc.  $25697</v>
      </c>
    </row>
    <row r="299" spans="1:12" ht="15.75" x14ac:dyDescent="0.25">
      <c r="A299" s="15">
        <v>297</v>
      </c>
      <c r="B299" s="15" t="s">
        <v>643</v>
      </c>
      <c r="C299" s="15" t="s">
        <v>644</v>
      </c>
      <c r="D299" s="15" t="s">
        <v>593</v>
      </c>
      <c r="E299" s="16">
        <v>40000</v>
      </c>
      <c r="F299" s="15">
        <v>90.4</v>
      </c>
      <c r="G299" s="16">
        <v>40000</v>
      </c>
      <c r="H299" s="11">
        <f>'First Calculations'!P298</f>
        <v>6861</v>
      </c>
      <c r="I299" s="12"/>
      <c r="J299" s="13">
        <f t="shared" si="8"/>
        <v>0.17152500000000001</v>
      </c>
      <c r="L299" t="str">
        <f t="shared" si="9"/>
        <v>20.c.ps.105.363  - The St. Augustine Art Association  $6861</v>
      </c>
    </row>
    <row r="300" spans="1:12" ht="15.75" x14ac:dyDescent="0.25">
      <c r="A300" s="15">
        <v>298</v>
      </c>
      <c r="B300" s="15" t="s">
        <v>645</v>
      </c>
      <c r="C300" s="15" t="s">
        <v>646</v>
      </c>
      <c r="D300" s="15" t="s">
        <v>28</v>
      </c>
      <c r="E300" s="16">
        <v>15000</v>
      </c>
      <c r="F300" s="15">
        <v>90.332999999999998</v>
      </c>
      <c r="G300" s="16">
        <v>15000</v>
      </c>
      <c r="H300" s="11">
        <f>'First Calculations'!P299</f>
        <v>2580</v>
      </c>
      <c r="I300" s="12"/>
      <c r="J300" s="13">
        <f t="shared" si="8"/>
        <v>0.17199999999999999</v>
      </c>
      <c r="L300" t="str">
        <f t="shared" si="9"/>
        <v>20.c.ps.142.130  - Arca Images, Inc.  $2580</v>
      </c>
    </row>
    <row r="301" spans="1:12" ht="15.75" x14ac:dyDescent="0.25">
      <c r="A301" s="15">
        <v>299</v>
      </c>
      <c r="B301" s="15" t="s">
        <v>647</v>
      </c>
      <c r="C301" s="15" t="s">
        <v>648</v>
      </c>
      <c r="D301" s="15" t="s">
        <v>67</v>
      </c>
      <c r="E301" s="16">
        <v>48288</v>
      </c>
      <c r="F301" s="15">
        <v>90.286000000000001</v>
      </c>
      <c r="G301" s="16">
        <v>48288</v>
      </c>
      <c r="H301" s="11">
        <f>'First Calculations'!P300</f>
        <v>8269</v>
      </c>
      <c r="I301" s="12"/>
      <c r="J301" s="13">
        <f t="shared" si="8"/>
        <v>0.17124337309476476</v>
      </c>
      <c r="L301" t="str">
        <f t="shared" si="9"/>
        <v>20.c.ps.114.751  - Santa Fe College  $8269</v>
      </c>
    </row>
    <row r="302" spans="1:12" ht="15.75" x14ac:dyDescent="0.25">
      <c r="A302" s="15">
        <v>300</v>
      </c>
      <c r="B302" s="15" t="s">
        <v>649</v>
      </c>
      <c r="C302" s="15" t="s">
        <v>650</v>
      </c>
      <c r="D302" s="15" t="s">
        <v>87</v>
      </c>
      <c r="E302" s="16">
        <v>150000</v>
      </c>
      <c r="F302" s="15">
        <v>90.25</v>
      </c>
      <c r="G302" s="16">
        <v>150000</v>
      </c>
      <c r="H302" s="11">
        <f>'First Calculations'!P301</f>
        <v>25646</v>
      </c>
      <c r="I302" s="12"/>
      <c r="J302" s="13">
        <f t="shared" si="8"/>
        <v>0.17097333333333334</v>
      </c>
      <c r="L302" t="str">
        <f t="shared" si="9"/>
        <v>20.c.ps.109.350  - The University of Central Florida Board of Trustees  $25646</v>
      </c>
    </row>
    <row r="303" spans="1:12" ht="15.75" x14ac:dyDescent="0.25">
      <c r="A303" s="15">
        <v>301</v>
      </c>
      <c r="B303" s="15" t="s">
        <v>651</v>
      </c>
      <c r="C303" s="15" t="s">
        <v>652</v>
      </c>
      <c r="D303" s="15" t="s">
        <v>90</v>
      </c>
      <c r="E303" s="16">
        <v>40000</v>
      </c>
      <c r="F303" s="15">
        <v>90.2</v>
      </c>
      <c r="G303" s="16">
        <v>40000</v>
      </c>
      <c r="H303" s="11">
        <f>'First Calculations'!P302</f>
        <v>6846</v>
      </c>
      <c r="I303" s="12"/>
      <c r="J303" s="13">
        <f t="shared" si="8"/>
        <v>0.17115</v>
      </c>
      <c r="L303" t="str">
        <f t="shared" si="9"/>
        <v>20.c.ps.102.160  - Melbourne Municipal Band Association, Inc.  $6846</v>
      </c>
    </row>
    <row r="304" spans="1:12" ht="15.75" x14ac:dyDescent="0.25">
      <c r="A304" s="15">
        <v>302</v>
      </c>
      <c r="B304" s="15" t="s">
        <v>653</v>
      </c>
      <c r="C304" s="15" t="s">
        <v>654</v>
      </c>
      <c r="D304" s="15" t="s">
        <v>287</v>
      </c>
      <c r="E304" s="16">
        <v>39223</v>
      </c>
      <c r="F304" s="15">
        <v>90.167000000000002</v>
      </c>
      <c r="G304" s="16">
        <v>39223</v>
      </c>
      <c r="H304" s="11">
        <f>'First Calculations'!P303</f>
        <v>6711</v>
      </c>
      <c r="I304" s="12"/>
      <c r="J304" s="13">
        <f t="shared" si="8"/>
        <v>0.17109859011294393</v>
      </c>
      <c r="L304" t="str">
        <f t="shared" si="9"/>
        <v>20.c.ps.500.070  - Monroe Council of the Arts Corporation  $6711</v>
      </c>
    </row>
    <row r="305" spans="1:12" ht="15.75" x14ac:dyDescent="0.25">
      <c r="A305" s="15">
        <v>303</v>
      </c>
      <c r="B305" s="15" t="s">
        <v>655</v>
      </c>
      <c r="C305" s="15" t="s">
        <v>656</v>
      </c>
      <c r="D305" s="15" t="s">
        <v>28</v>
      </c>
      <c r="E305" s="16">
        <v>73000</v>
      </c>
      <c r="F305" s="15">
        <v>90.167000000000002</v>
      </c>
      <c r="G305" s="16">
        <v>73000</v>
      </c>
      <c r="H305" s="11">
        <f>'First Calculations'!P304</f>
        <v>12477</v>
      </c>
      <c r="I305" s="12"/>
      <c r="J305" s="13">
        <f t="shared" si="8"/>
        <v>0.17091780821917807</v>
      </c>
      <c r="L305" t="str">
        <f t="shared" si="9"/>
        <v>20.c.ps.180.139  - Fundarte, Inc.  $12477</v>
      </c>
    </row>
    <row r="306" spans="1:12" ht="15.75" x14ac:dyDescent="0.25">
      <c r="A306" s="15">
        <v>304</v>
      </c>
      <c r="B306" s="15" t="s">
        <v>657</v>
      </c>
      <c r="C306" s="15" t="s">
        <v>658</v>
      </c>
      <c r="D306" s="15" t="s">
        <v>115</v>
      </c>
      <c r="E306" s="16">
        <v>150000</v>
      </c>
      <c r="F306" s="15">
        <v>90.167000000000002</v>
      </c>
      <c r="G306" s="16">
        <v>150000</v>
      </c>
      <c r="H306" s="11">
        <f>'First Calculations'!P305</f>
        <v>25623</v>
      </c>
      <c r="I306" s="12"/>
      <c r="J306" s="13">
        <f t="shared" si="8"/>
        <v>0.17082</v>
      </c>
      <c r="L306" t="str">
        <f t="shared" si="9"/>
        <v>20.c.ps.500.149  - Tallahassee-Leon County Cultural Resources Commission  $25623</v>
      </c>
    </row>
    <row r="307" spans="1:12" ht="15.75" x14ac:dyDescent="0.25">
      <c r="A307" s="15">
        <v>305</v>
      </c>
      <c r="B307" s="15" t="s">
        <v>659</v>
      </c>
      <c r="C307" s="15" t="s">
        <v>217</v>
      </c>
      <c r="D307" s="15" t="s">
        <v>28</v>
      </c>
      <c r="E307" s="16">
        <v>36029</v>
      </c>
      <c r="F307" s="15">
        <v>90.167000000000002</v>
      </c>
      <c r="G307" s="16">
        <v>36029</v>
      </c>
      <c r="H307" s="11">
        <f>'First Calculations'!P306</f>
        <v>6166</v>
      </c>
      <c r="I307" s="12"/>
      <c r="J307" s="13">
        <f t="shared" si="8"/>
        <v>0.17113991506841711</v>
      </c>
      <c r="L307" t="str">
        <f t="shared" si="9"/>
        <v>20.c.ps.142.618  - Miami Dade College  $6166</v>
      </c>
    </row>
    <row r="308" spans="1:12" ht="15.75" x14ac:dyDescent="0.25">
      <c r="A308" s="15">
        <v>306</v>
      </c>
      <c r="B308" s="15" t="s">
        <v>660</v>
      </c>
      <c r="C308" s="15" t="s">
        <v>661</v>
      </c>
      <c r="D308" s="15" t="s">
        <v>359</v>
      </c>
      <c r="E308" s="16">
        <v>24579</v>
      </c>
      <c r="F308" s="15">
        <v>90.143000000000001</v>
      </c>
      <c r="G308" s="16">
        <v>24579</v>
      </c>
      <c r="H308" s="11">
        <f>'First Calculations'!P307</f>
        <v>4210</v>
      </c>
      <c r="I308" s="12"/>
      <c r="J308" s="13">
        <f t="shared" si="8"/>
        <v>0.17128442979779487</v>
      </c>
      <c r="L308" t="str">
        <f t="shared" si="9"/>
        <v>20.c.ps.170.290  - Emerald Coast Science Center  $4210</v>
      </c>
    </row>
    <row r="309" spans="1:12" ht="15.75" x14ac:dyDescent="0.25">
      <c r="A309" s="15">
        <v>307</v>
      </c>
      <c r="B309" s="15" t="s">
        <v>662</v>
      </c>
      <c r="C309" s="15" t="s">
        <v>663</v>
      </c>
      <c r="D309" s="15" t="s">
        <v>304</v>
      </c>
      <c r="E309" s="16">
        <v>25000</v>
      </c>
      <c r="F309" s="15">
        <v>90.143000000000001</v>
      </c>
      <c r="G309" s="16">
        <v>25000</v>
      </c>
      <c r="H309" s="11">
        <f>'First Calculations'!P308</f>
        <v>4282</v>
      </c>
      <c r="I309" s="12"/>
      <c r="J309" s="13">
        <f t="shared" si="8"/>
        <v>0.17127999999999999</v>
      </c>
      <c r="L309" t="str">
        <f t="shared" si="9"/>
        <v>20.c.ps.141.617  - Ritz Community Theater Projects, Inc.  $4282</v>
      </c>
    </row>
    <row r="310" spans="1:12" ht="15.75" x14ac:dyDescent="0.25">
      <c r="A310" s="15">
        <v>308</v>
      </c>
      <c r="B310" s="15" t="s">
        <v>664</v>
      </c>
      <c r="C310" s="15" t="s">
        <v>665</v>
      </c>
      <c r="D310" s="15" t="s">
        <v>39</v>
      </c>
      <c r="E310" s="16">
        <v>50121</v>
      </c>
      <c r="F310" s="15">
        <v>90.143000000000001</v>
      </c>
      <c r="G310" s="16">
        <v>50121</v>
      </c>
      <c r="H310" s="11">
        <f>'First Calculations'!P309</f>
        <v>8569</v>
      </c>
      <c r="I310" s="12"/>
      <c r="J310" s="13">
        <f t="shared" si="8"/>
        <v>0.17096626164681472</v>
      </c>
      <c r="L310" t="str">
        <f t="shared" si="9"/>
        <v>20.c.ps.170.385  - Expanding and Preserving Our Cultural Heritage, Inc.  $8569</v>
      </c>
    </row>
    <row r="311" spans="1:12" ht="15.75" x14ac:dyDescent="0.25">
      <c r="A311" s="15">
        <v>309</v>
      </c>
      <c r="B311" s="15" t="s">
        <v>666</v>
      </c>
      <c r="C311" s="15" t="s">
        <v>667</v>
      </c>
      <c r="D311" s="15" t="s">
        <v>28</v>
      </c>
      <c r="E311" s="16">
        <v>40000</v>
      </c>
      <c r="F311" s="15">
        <v>90.143000000000001</v>
      </c>
      <c r="G311" s="16">
        <v>40000</v>
      </c>
      <c r="H311" s="11">
        <f>'First Calculations'!P310</f>
        <v>6842</v>
      </c>
      <c r="I311" s="12"/>
      <c r="J311" s="13">
        <f t="shared" si="8"/>
        <v>0.17105000000000001</v>
      </c>
      <c r="L311" t="str">
        <f t="shared" si="9"/>
        <v>20.c.ps.101.152  - Karen Peterson and Dancers, Inc.  $6842</v>
      </c>
    </row>
    <row r="312" spans="1:12" ht="25.5" x14ac:dyDescent="0.25">
      <c r="A312" s="15">
        <v>310</v>
      </c>
      <c r="B312" s="15" t="s">
        <v>668</v>
      </c>
      <c r="C312" s="15" t="s">
        <v>669</v>
      </c>
      <c r="D312" s="15" t="s">
        <v>57</v>
      </c>
      <c r="E312" s="16">
        <v>40000</v>
      </c>
      <c r="F312" s="15">
        <v>90.143000000000001</v>
      </c>
      <c r="G312" s="16">
        <v>40000</v>
      </c>
      <c r="H312" s="11">
        <f>'First Calculations'!P311</f>
        <v>6842</v>
      </c>
      <c r="I312" s="12"/>
      <c r="J312" s="13">
        <f t="shared" si="8"/>
        <v>0.17105000000000001</v>
      </c>
      <c r="L312" t="str">
        <f t="shared" si="9"/>
        <v>20.c.ps.114.382  - Firehouse Cultural Center, Inc.  $6842</v>
      </c>
    </row>
    <row r="313" spans="1:12" ht="15.75" x14ac:dyDescent="0.25">
      <c r="A313" s="15">
        <v>311</v>
      </c>
      <c r="B313" s="15" t="s">
        <v>670</v>
      </c>
      <c r="C313" s="15" t="s">
        <v>671</v>
      </c>
      <c r="D313" s="15" t="s">
        <v>36</v>
      </c>
      <c r="E313" s="16">
        <v>29205</v>
      </c>
      <c r="F313" s="15">
        <v>90</v>
      </c>
      <c r="G313" s="16">
        <v>29205</v>
      </c>
      <c r="H313" s="11">
        <f>'First Calculations'!P312</f>
        <v>4992</v>
      </c>
      <c r="I313" s="12"/>
      <c r="J313" s="13">
        <f t="shared" si="8"/>
        <v>0.170929635336415</v>
      </c>
      <c r="L313" t="str">
        <f t="shared" si="9"/>
        <v>20.c.ps.102.126  - Master Chorale of South Florida, Inc.  $4992</v>
      </c>
    </row>
    <row r="314" spans="1:12" ht="15.75" x14ac:dyDescent="0.25">
      <c r="A314" s="15">
        <v>312</v>
      </c>
      <c r="B314" s="15" t="s">
        <v>672</v>
      </c>
      <c r="C314" s="15" t="s">
        <v>673</v>
      </c>
      <c r="D314" s="15" t="s">
        <v>36</v>
      </c>
      <c r="E314" s="16">
        <v>150000</v>
      </c>
      <c r="F314" s="15">
        <v>90</v>
      </c>
      <c r="G314" s="16">
        <v>150000</v>
      </c>
      <c r="H314" s="11">
        <f>'First Calculations'!P313</f>
        <v>25575</v>
      </c>
      <c r="I314" s="12"/>
      <c r="J314" s="13">
        <f t="shared" si="8"/>
        <v>0.17050000000000001</v>
      </c>
      <c r="L314" t="str">
        <f t="shared" si="9"/>
        <v>20.c.ps.114.369  - City of Coral Springs  $25575</v>
      </c>
    </row>
    <row r="315" spans="1:12" ht="15.75" x14ac:dyDescent="0.25">
      <c r="A315" s="15">
        <v>313</v>
      </c>
      <c r="B315" s="15" t="s">
        <v>674</v>
      </c>
      <c r="C315" s="15" t="s">
        <v>675</v>
      </c>
      <c r="D315" s="15" t="s">
        <v>39</v>
      </c>
      <c r="E315" s="16">
        <v>90000</v>
      </c>
      <c r="F315" s="15">
        <v>90</v>
      </c>
      <c r="G315" s="16">
        <v>90000</v>
      </c>
      <c r="H315" s="11">
        <f>'First Calculations'!P314</f>
        <v>15351</v>
      </c>
      <c r="I315" s="12"/>
      <c r="J315" s="13">
        <f t="shared" si="8"/>
        <v>0.17056666666666667</v>
      </c>
      <c r="L315" t="str">
        <f t="shared" si="9"/>
        <v>20.c.ps.141.413  - The Lake Worth Playhouse, Inc.  $15351</v>
      </c>
    </row>
    <row r="316" spans="1:12" ht="15.75" x14ac:dyDescent="0.25">
      <c r="A316" s="15">
        <v>314</v>
      </c>
      <c r="B316" s="15" t="s">
        <v>676</v>
      </c>
      <c r="C316" s="15" t="s">
        <v>677</v>
      </c>
      <c r="D316" s="15" t="s">
        <v>90</v>
      </c>
      <c r="E316" s="16">
        <v>90000</v>
      </c>
      <c r="F316" s="15">
        <v>90</v>
      </c>
      <c r="G316" s="16">
        <v>90000</v>
      </c>
      <c r="H316" s="11">
        <f>'First Calculations'!P315</f>
        <v>15351</v>
      </c>
      <c r="I316" s="12"/>
      <c r="J316" s="13">
        <f t="shared" si="8"/>
        <v>0.17056666666666667</v>
      </c>
      <c r="L316" t="str">
        <f t="shared" si="9"/>
        <v>20.c.ps.114.407  - The Florida Historical Society  $15351</v>
      </c>
    </row>
    <row r="317" spans="1:12" ht="15.75" x14ac:dyDescent="0.25">
      <c r="A317" s="15">
        <v>315</v>
      </c>
      <c r="B317" s="15" t="s">
        <v>678</v>
      </c>
      <c r="C317" s="15" t="s">
        <v>679</v>
      </c>
      <c r="D317" s="15" t="s">
        <v>90</v>
      </c>
      <c r="E317" s="16">
        <v>90000</v>
      </c>
      <c r="F317" s="15">
        <v>90</v>
      </c>
      <c r="G317" s="16">
        <v>90000</v>
      </c>
      <c r="H317" s="11">
        <f>'First Calculations'!P316</f>
        <v>15351</v>
      </c>
      <c r="I317" s="12"/>
      <c r="J317" s="13">
        <f t="shared" si="8"/>
        <v>0.17056666666666667</v>
      </c>
      <c r="L317" t="str">
        <f t="shared" si="9"/>
        <v>20.c.ps.500.693  - Brevard Cultural Alliance, Inc.  $15351</v>
      </c>
    </row>
    <row r="318" spans="1:12" ht="15.75" x14ac:dyDescent="0.25">
      <c r="A318" s="15">
        <v>316</v>
      </c>
      <c r="B318" s="15" t="s">
        <v>680</v>
      </c>
      <c r="C318" s="15" t="s">
        <v>681</v>
      </c>
      <c r="D318" s="15" t="s">
        <v>28</v>
      </c>
      <c r="E318" s="16">
        <v>150000</v>
      </c>
      <c r="F318" s="15">
        <v>90</v>
      </c>
      <c r="G318" s="16">
        <v>150000</v>
      </c>
      <c r="H318" s="11">
        <f>'First Calculations'!P317</f>
        <v>25575</v>
      </c>
      <c r="I318" s="12"/>
      <c r="J318" s="13">
        <f t="shared" si="8"/>
        <v>0.17050000000000001</v>
      </c>
      <c r="L318" t="str">
        <f t="shared" si="9"/>
        <v>20.c.ps.170.685  - Museum of Contemporary Art, Inc.  $25575</v>
      </c>
    </row>
    <row r="319" spans="1:12" ht="15.75" x14ac:dyDescent="0.25">
      <c r="A319" s="15">
        <v>317</v>
      </c>
      <c r="B319" s="15" t="s">
        <v>682</v>
      </c>
      <c r="C319" s="15" t="s">
        <v>683</v>
      </c>
      <c r="D319" s="15" t="s">
        <v>28</v>
      </c>
      <c r="E319" s="16">
        <v>40000</v>
      </c>
      <c r="F319" s="15">
        <v>90</v>
      </c>
      <c r="G319" s="16">
        <v>40000</v>
      </c>
      <c r="H319" s="11">
        <f>'First Calculations'!P318</f>
        <v>6831</v>
      </c>
      <c r="I319" s="12"/>
      <c r="J319" s="13">
        <f t="shared" si="8"/>
        <v>0.17077500000000001</v>
      </c>
      <c r="L319" t="str">
        <f t="shared" si="9"/>
        <v>20.c.ps.114.397  - Bas Fisher Invitational, Inc.  $6831</v>
      </c>
    </row>
    <row r="320" spans="1:12" ht="15.75" x14ac:dyDescent="0.25">
      <c r="A320" s="15">
        <v>318</v>
      </c>
      <c r="B320" s="15" t="s">
        <v>684</v>
      </c>
      <c r="C320" s="15" t="s">
        <v>685</v>
      </c>
      <c r="D320" s="15" t="s">
        <v>287</v>
      </c>
      <c r="E320" s="16">
        <v>25000</v>
      </c>
      <c r="F320" s="15">
        <v>89.856999999999999</v>
      </c>
      <c r="G320" s="16">
        <v>25000</v>
      </c>
      <c r="H320" s="11">
        <f>'First Calculations'!P319</f>
        <v>4268</v>
      </c>
      <c r="I320" s="12"/>
      <c r="J320" s="13">
        <f t="shared" si="8"/>
        <v>0.17072000000000001</v>
      </c>
      <c r="L320" t="str">
        <f t="shared" si="9"/>
        <v>20.c.ps.170.365  - Florida Keys History and Discovery Foundation, Inc.  $4268</v>
      </c>
    </row>
    <row r="321" spans="1:12" ht="25.5" x14ac:dyDescent="0.25">
      <c r="A321" s="15">
        <v>319</v>
      </c>
      <c r="B321" s="15" t="s">
        <v>686</v>
      </c>
      <c r="C321" s="15" t="s">
        <v>687</v>
      </c>
      <c r="D321" s="15" t="s">
        <v>57</v>
      </c>
      <c r="E321" s="16">
        <v>18000</v>
      </c>
      <c r="F321" s="15">
        <v>89.856999999999999</v>
      </c>
      <c r="G321" s="16">
        <v>18000</v>
      </c>
      <c r="H321" s="11">
        <f>'First Calculations'!P320</f>
        <v>3077</v>
      </c>
      <c r="I321" s="12"/>
      <c r="J321" s="13">
        <f t="shared" si="8"/>
        <v>0.17094444444444445</v>
      </c>
      <c r="L321" t="str">
        <f t="shared" si="9"/>
        <v>20.c.ps.141.722  - New Tampa Players  $3077</v>
      </c>
    </row>
    <row r="322" spans="1:12" ht="15.75" x14ac:dyDescent="0.25">
      <c r="A322" s="15">
        <v>320</v>
      </c>
      <c r="B322" s="15" t="s">
        <v>688</v>
      </c>
      <c r="C322" s="15" t="s">
        <v>689</v>
      </c>
      <c r="D322" s="15" t="s">
        <v>28</v>
      </c>
      <c r="E322" s="16">
        <v>15361</v>
      </c>
      <c r="F322" s="15">
        <v>89.8</v>
      </c>
      <c r="G322" s="16">
        <v>15361</v>
      </c>
      <c r="H322" s="11">
        <f>'First Calculations'!P321</f>
        <v>2627</v>
      </c>
      <c r="I322" s="12"/>
      <c r="J322" s="13">
        <f t="shared" ref="J322:J385" si="10">H322/E322</f>
        <v>0.17101751188073694</v>
      </c>
      <c r="L322" t="str">
        <f t="shared" si="9"/>
        <v>20.c.ps.102.041  - Alhambra Music, Inc.  $2627</v>
      </c>
    </row>
    <row r="323" spans="1:12" ht="15.75" x14ac:dyDescent="0.25">
      <c r="A323" s="15">
        <v>321</v>
      </c>
      <c r="B323" s="15" t="s">
        <v>690</v>
      </c>
      <c r="C323" s="15" t="s">
        <v>691</v>
      </c>
      <c r="D323" s="15" t="s">
        <v>90</v>
      </c>
      <c r="E323" s="16">
        <v>90000</v>
      </c>
      <c r="F323" s="15">
        <v>89.713999999999999</v>
      </c>
      <c r="G323" s="16">
        <v>90000</v>
      </c>
      <c r="H323" s="11">
        <f>'First Calculations'!P322</f>
        <v>15302</v>
      </c>
      <c r="I323" s="12"/>
      <c r="J323" s="13">
        <f t="shared" si="10"/>
        <v>0.17002222222222221</v>
      </c>
      <c r="L323" t="str">
        <f t="shared" si="9"/>
        <v>20.c.ps.141.247  - Brevard Regional Arts Group, Inc.  $15302</v>
      </c>
    </row>
    <row r="324" spans="1:12" ht="15.75" x14ac:dyDescent="0.25">
      <c r="A324" s="15">
        <v>322</v>
      </c>
      <c r="B324" s="15" t="s">
        <v>692</v>
      </c>
      <c r="C324" s="15" t="s">
        <v>693</v>
      </c>
      <c r="D324" s="15" t="s">
        <v>388</v>
      </c>
      <c r="E324" s="16">
        <v>25000</v>
      </c>
      <c r="F324" s="15">
        <v>89.713999999999999</v>
      </c>
      <c r="G324" s="16">
        <v>25000</v>
      </c>
      <c r="H324" s="11">
        <f>'First Calculations'!P323</f>
        <v>4261</v>
      </c>
      <c r="I324" s="12"/>
      <c r="J324" s="13">
        <f t="shared" si="10"/>
        <v>0.17044000000000001</v>
      </c>
      <c r="L324" t="str">
        <f t="shared" ref="L324:L387" si="11">B324&amp;" - "&amp;C324&amp;" $"&amp;H324</f>
        <v>20.c.ps.170.483  - Fort Pierce Utilities Authority  $4261</v>
      </c>
    </row>
    <row r="325" spans="1:12" ht="15.75" x14ac:dyDescent="0.25">
      <c r="A325" s="15">
        <v>323</v>
      </c>
      <c r="B325" s="15" t="s">
        <v>694</v>
      </c>
      <c r="C325" s="15" t="s">
        <v>695</v>
      </c>
      <c r="D325" s="15" t="s">
        <v>36</v>
      </c>
      <c r="E325" s="16">
        <v>150000</v>
      </c>
      <c r="F325" s="15">
        <v>89.713999999999999</v>
      </c>
      <c r="G325" s="16">
        <v>150000</v>
      </c>
      <c r="H325" s="11">
        <f>'First Calculations'!P324</f>
        <v>25494</v>
      </c>
      <c r="I325" s="12"/>
      <c r="J325" s="13">
        <f t="shared" si="10"/>
        <v>0.16996</v>
      </c>
      <c r="L325" t="str">
        <f t="shared" si="11"/>
        <v>20.c.ps.180.784  - City of Pompano Beach Parks, Recreation and Cultural Affairs  $25494</v>
      </c>
    </row>
    <row r="326" spans="1:12" ht="15.75" x14ac:dyDescent="0.25">
      <c r="A326" s="15">
        <v>324</v>
      </c>
      <c r="B326" s="15" t="s">
        <v>696</v>
      </c>
      <c r="C326" s="15" t="s">
        <v>697</v>
      </c>
      <c r="D326" s="15" t="s">
        <v>80</v>
      </c>
      <c r="E326" s="16">
        <v>25000</v>
      </c>
      <c r="F326" s="15">
        <v>89.713999999999999</v>
      </c>
      <c r="G326" s="16">
        <v>25000</v>
      </c>
      <c r="H326" s="11">
        <f>'First Calculations'!P325</f>
        <v>4261</v>
      </c>
      <c r="I326" s="12"/>
      <c r="J326" s="13">
        <f t="shared" si="10"/>
        <v>0.17044000000000001</v>
      </c>
      <c r="L326" t="str">
        <f t="shared" si="11"/>
        <v>20.c.ps.141.665  - Eight O'Clock Theatre, Inc  $4261</v>
      </c>
    </row>
    <row r="327" spans="1:12" ht="25.5" x14ac:dyDescent="0.25">
      <c r="A327" s="15">
        <v>325</v>
      </c>
      <c r="B327" s="15" t="s">
        <v>698</v>
      </c>
      <c r="C327" s="15" t="s">
        <v>699</v>
      </c>
      <c r="D327" s="15" t="s">
        <v>57</v>
      </c>
      <c r="E327" s="16">
        <v>150000</v>
      </c>
      <c r="F327" s="15">
        <v>89.667000000000002</v>
      </c>
      <c r="G327" s="16">
        <v>150000</v>
      </c>
      <c r="H327" s="11">
        <f>'First Calculations'!P326</f>
        <v>25481</v>
      </c>
      <c r="I327" s="12"/>
      <c r="J327" s="13">
        <f t="shared" si="10"/>
        <v>0.16987333333333332</v>
      </c>
      <c r="L327" t="str">
        <f t="shared" si="11"/>
        <v>20.c.ps.170.324  - The Florida Aquarium, Inc.  $25481</v>
      </c>
    </row>
    <row r="328" spans="1:12" ht="15.75" x14ac:dyDescent="0.25">
      <c r="A328" s="15">
        <v>326</v>
      </c>
      <c r="B328" s="15" t="s">
        <v>700</v>
      </c>
      <c r="C328" s="15" t="s">
        <v>701</v>
      </c>
      <c r="D328" s="15" t="s">
        <v>39</v>
      </c>
      <c r="E328" s="16">
        <v>73534</v>
      </c>
      <c r="F328" s="15">
        <v>89.667000000000002</v>
      </c>
      <c r="G328" s="16">
        <v>73534</v>
      </c>
      <c r="H328" s="11">
        <f>'First Calculations'!P327</f>
        <v>12499</v>
      </c>
      <c r="I328" s="12"/>
      <c r="J328" s="13">
        <f t="shared" si="10"/>
        <v>0.16997579351048495</v>
      </c>
      <c r="L328" t="str">
        <f t="shared" si="11"/>
        <v>20.c.ps.200.272  - Center for Creative Education, Inc.  $12499</v>
      </c>
    </row>
    <row r="329" spans="1:12" ht="15.75" x14ac:dyDescent="0.25">
      <c r="A329" s="15">
        <v>327</v>
      </c>
      <c r="B329" s="15" t="s">
        <v>702</v>
      </c>
      <c r="C329" s="15" t="s">
        <v>703</v>
      </c>
      <c r="D329" s="15" t="s">
        <v>704</v>
      </c>
      <c r="E329" s="16">
        <v>58500</v>
      </c>
      <c r="F329" s="15">
        <v>89.667000000000002</v>
      </c>
      <c r="G329" s="16">
        <v>58500</v>
      </c>
      <c r="H329" s="11">
        <f>'First Calculations'!P328</f>
        <v>9947</v>
      </c>
      <c r="I329" s="12"/>
      <c r="J329" s="13">
        <f t="shared" si="10"/>
        <v>0.17003418803418804</v>
      </c>
      <c r="L329" t="str">
        <f t="shared" si="11"/>
        <v>20.c.ps.500.478  - The Arts Council, Inc.  $9947</v>
      </c>
    </row>
    <row r="330" spans="1:12" ht="15.75" x14ac:dyDescent="0.25">
      <c r="A330" s="15">
        <v>328</v>
      </c>
      <c r="B330" s="15" t="s">
        <v>705</v>
      </c>
      <c r="C330" s="15" t="s">
        <v>706</v>
      </c>
      <c r="D330" s="15" t="s">
        <v>510</v>
      </c>
      <c r="E330" s="16">
        <v>76500</v>
      </c>
      <c r="F330" s="15">
        <v>89.667000000000002</v>
      </c>
      <c r="G330" s="16">
        <v>76500</v>
      </c>
      <c r="H330" s="11">
        <f>'First Calculations'!P329</f>
        <v>13002</v>
      </c>
      <c r="I330" s="12"/>
      <c r="J330" s="13">
        <f t="shared" si="10"/>
        <v>0.16996078431372549</v>
      </c>
      <c r="L330" t="str">
        <f t="shared" si="11"/>
        <v>20.c.ps.142.542  - Flagler Auditorium Governing Board, Inc.  $13002</v>
      </c>
    </row>
    <row r="331" spans="1:12" ht="15.75" x14ac:dyDescent="0.25">
      <c r="A331" s="15">
        <v>329</v>
      </c>
      <c r="B331" s="15" t="s">
        <v>707</v>
      </c>
      <c r="C331" s="15" t="s">
        <v>708</v>
      </c>
      <c r="D331" s="15" t="s">
        <v>64</v>
      </c>
      <c r="E331" s="16">
        <v>150000</v>
      </c>
      <c r="F331" s="15">
        <v>89.667000000000002</v>
      </c>
      <c r="G331" s="16">
        <v>150000</v>
      </c>
      <c r="H331" s="11">
        <f>'First Calculations'!P330</f>
        <v>25481</v>
      </c>
      <c r="I331" s="12"/>
      <c r="J331" s="13">
        <f t="shared" si="10"/>
        <v>0.16987333333333332</v>
      </c>
      <c r="L331" t="str">
        <f t="shared" si="11"/>
        <v>20.c.ps.142.609  - Gulfshore Playhouse, Inc.  $25481</v>
      </c>
    </row>
    <row r="332" spans="1:12" ht="15.75" x14ac:dyDescent="0.25">
      <c r="A332" s="15">
        <v>330</v>
      </c>
      <c r="B332" s="15" t="s">
        <v>709</v>
      </c>
      <c r="C332" s="15" t="s">
        <v>710</v>
      </c>
      <c r="D332" s="15" t="s">
        <v>64</v>
      </c>
      <c r="E332" s="16">
        <v>25000</v>
      </c>
      <c r="F332" s="15">
        <v>89.570999999999998</v>
      </c>
      <c r="G332" s="16">
        <v>25000</v>
      </c>
      <c r="H332" s="11">
        <f>'First Calculations'!P331</f>
        <v>4255</v>
      </c>
      <c r="I332" s="12"/>
      <c r="J332" s="13">
        <f t="shared" si="10"/>
        <v>0.17019999999999999</v>
      </c>
      <c r="L332" t="str">
        <f t="shared" si="11"/>
        <v>20.c.ps.170.095  - SWFL Holocaust Museum  $4255</v>
      </c>
    </row>
    <row r="333" spans="1:12" ht="15.75" x14ac:dyDescent="0.25">
      <c r="A333" s="15">
        <v>331</v>
      </c>
      <c r="B333" s="15" t="s">
        <v>711</v>
      </c>
      <c r="C333" s="15" t="s">
        <v>712</v>
      </c>
      <c r="D333" s="15" t="s">
        <v>33</v>
      </c>
      <c r="E333" s="16">
        <v>25000</v>
      </c>
      <c r="F333" s="15">
        <v>89.570999999999998</v>
      </c>
      <c r="G333" s="16">
        <v>25000</v>
      </c>
      <c r="H333" s="11">
        <f>'First Calculations'!P332</f>
        <v>4255</v>
      </c>
      <c r="I333" s="12"/>
      <c r="J333" s="13">
        <f t="shared" si="10"/>
        <v>0.17019999999999999</v>
      </c>
      <c r="L333" t="str">
        <f t="shared" si="11"/>
        <v>20.c.ps.101.205  - The Sarasota Cuban Ballet School  $4255</v>
      </c>
    </row>
    <row r="334" spans="1:12" ht="15.75" x14ac:dyDescent="0.25">
      <c r="A334" s="15">
        <v>332</v>
      </c>
      <c r="B334" s="15" t="s">
        <v>713</v>
      </c>
      <c r="C334" s="15" t="s">
        <v>714</v>
      </c>
      <c r="D334" s="15" t="s">
        <v>715</v>
      </c>
      <c r="E334" s="16">
        <v>37800</v>
      </c>
      <c r="F334" s="15">
        <v>89.570999999999998</v>
      </c>
      <c r="G334" s="16">
        <v>37800</v>
      </c>
      <c r="H334" s="11">
        <f>'First Calculations'!P333</f>
        <v>6425</v>
      </c>
      <c r="I334" s="12"/>
      <c r="J334" s="13">
        <f t="shared" si="10"/>
        <v>0.16997354497354497</v>
      </c>
      <c r="L334" t="str">
        <f t="shared" si="11"/>
        <v>20.c.ps.102.667  - Panama City Pops Orchestra  $6425</v>
      </c>
    </row>
    <row r="335" spans="1:12" ht="15.75" x14ac:dyDescent="0.25">
      <c r="A335" s="15">
        <v>333</v>
      </c>
      <c r="B335" s="15" t="s">
        <v>716</v>
      </c>
      <c r="C335" s="15" t="s">
        <v>717</v>
      </c>
      <c r="D335" s="15" t="s">
        <v>28</v>
      </c>
      <c r="E335" s="16">
        <v>96486</v>
      </c>
      <c r="F335" s="15">
        <v>89.5</v>
      </c>
      <c r="G335" s="16">
        <v>96486</v>
      </c>
      <c r="H335" s="11">
        <f>'First Calculations'!P334</f>
        <v>16365</v>
      </c>
      <c r="I335" s="12"/>
      <c r="J335" s="13">
        <f t="shared" si="10"/>
        <v>0.16961009887444811</v>
      </c>
      <c r="L335" t="str">
        <f t="shared" si="11"/>
        <v>20.c.ps.109.256  - Coral Gables Cinemateque Inc.  $16365</v>
      </c>
    </row>
    <row r="336" spans="1:12" ht="25.5" x14ac:dyDescent="0.25">
      <c r="A336" s="15">
        <v>334</v>
      </c>
      <c r="B336" s="15" t="s">
        <v>718</v>
      </c>
      <c r="C336" s="15" t="s">
        <v>719</v>
      </c>
      <c r="D336" s="15" t="s">
        <v>57</v>
      </c>
      <c r="E336" s="16">
        <v>58000</v>
      </c>
      <c r="F336" s="15">
        <v>89.5</v>
      </c>
      <c r="G336" s="16">
        <v>58000</v>
      </c>
      <c r="H336" s="11">
        <f>'First Calculations'!P335</f>
        <v>9843</v>
      </c>
      <c r="I336" s="12"/>
      <c r="J336" s="13">
        <f t="shared" si="10"/>
        <v>0.16970689655172413</v>
      </c>
      <c r="L336" t="str">
        <f t="shared" si="11"/>
        <v>20.c.ps.109.766  - The Tampa Film Institute, Inc.  $9843</v>
      </c>
    </row>
    <row r="337" spans="1:12" ht="15.75" x14ac:dyDescent="0.25">
      <c r="A337" s="15">
        <v>335</v>
      </c>
      <c r="B337" s="15" t="s">
        <v>720</v>
      </c>
      <c r="C337" s="15" t="s">
        <v>721</v>
      </c>
      <c r="D337" s="15" t="s">
        <v>287</v>
      </c>
      <c r="E337" s="16">
        <v>25000</v>
      </c>
      <c r="F337" s="15">
        <v>89.5</v>
      </c>
      <c r="G337" s="16">
        <v>25000</v>
      </c>
      <c r="H337" s="11">
        <f>'First Calculations'!P336</f>
        <v>4251</v>
      </c>
      <c r="I337" s="12"/>
      <c r="J337" s="13">
        <f t="shared" si="10"/>
        <v>0.17004</v>
      </c>
      <c r="L337" t="str">
        <f t="shared" si="11"/>
        <v>20.c.ps.109.651  - Key West Film Festival Corporation  $4251</v>
      </c>
    </row>
    <row r="338" spans="1:12" ht="15.75" x14ac:dyDescent="0.25">
      <c r="A338" s="15">
        <v>336</v>
      </c>
      <c r="B338" s="15" t="s">
        <v>722</v>
      </c>
      <c r="C338" s="15" t="s">
        <v>723</v>
      </c>
      <c r="D338" s="15" t="s">
        <v>39</v>
      </c>
      <c r="E338" s="16">
        <v>49664</v>
      </c>
      <c r="F338" s="15">
        <v>89.429000000000002</v>
      </c>
      <c r="G338" s="16">
        <v>49664</v>
      </c>
      <c r="H338" s="11">
        <f>'First Calculations'!P337</f>
        <v>8424</v>
      </c>
      <c r="I338" s="12"/>
      <c r="J338" s="13">
        <f t="shared" si="10"/>
        <v>0.16961984536082475</v>
      </c>
      <c r="L338" t="str">
        <f t="shared" si="11"/>
        <v>20.c.ps.114.048  - Aequalis, Inc.  $8424</v>
      </c>
    </row>
    <row r="339" spans="1:12" ht="15.75" x14ac:dyDescent="0.25">
      <c r="A339" s="15">
        <v>337</v>
      </c>
      <c r="B339" s="15" t="s">
        <v>724</v>
      </c>
      <c r="C339" s="15" t="s">
        <v>725</v>
      </c>
      <c r="D339" s="15" t="s">
        <v>28</v>
      </c>
      <c r="E339" s="16">
        <v>32000</v>
      </c>
      <c r="F339" s="15">
        <v>89.4</v>
      </c>
      <c r="G339" s="16">
        <v>32000</v>
      </c>
      <c r="H339" s="11">
        <f>'First Calculations'!P338</f>
        <v>5431</v>
      </c>
      <c r="I339" s="12"/>
      <c r="J339" s="13">
        <f t="shared" si="10"/>
        <v>0.16971875</v>
      </c>
      <c r="L339" t="str">
        <f t="shared" si="11"/>
        <v>20.c.ps.102.729  - Miami Youth for Chamber Music, Inc.  $5431</v>
      </c>
    </row>
    <row r="340" spans="1:12" ht="15.75" x14ac:dyDescent="0.25">
      <c r="A340" s="15">
        <v>338</v>
      </c>
      <c r="B340" s="15" t="s">
        <v>726</v>
      </c>
      <c r="C340" s="15" t="s">
        <v>727</v>
      </c>
      <c r="D340" s="15" t="s">
        <v>102</v>
      </c>
      <c r="E340" s="16">
        <v>90414</v>
      </c>
      <c r="F340" s="15">
        <v>89.375</v>
      </c>
      <c r="G340" s="16">
        <v>90414</v>
      </c>
      <c r="H340" s="11">
        <f>'First Calculations'!P339</f>
        <v>15315</v>
      </c>
      <c r="I340" s="12"/>
      <c r="J340" s="13">
        <f t="shared" si="10"/>
        <v>0.1693874842391665</v>
      </c>
      <c r="L340" t="str">
        <f t="shared" si="11"/>
        <v>20.c.ps.102.379  - Pensacola Children's Chorus, Inc.  $15315</v>
      </c>
    </row>
    <row r="341" spans="1:12" ht="15.75" x14ac:dyDescent="0.25">
      <c r="A341" s="15">
        <v>339</v>
      </c>
      <c r="B341" s="15" t="s">
        <v>728</v>
      </c>
      <c r="C341" s="15" t="s">
        <v>729</v>
      </c>
      <c r="D341" s="15" t="s">
        <v>39</v>
      </c>
      <c r="E341" s="16">
        <v>110000</v>
      </c>
      <c r="F341" s="15">
        <v>89.332999999999998</v>
      </c>
      <c r="G341" s="16">
        <v>110000</v>
      </c>
      <c r="H341" s="11">
        <f>'First Calculations'!P340</f>
        <v>18620</v>
      </c>
      <c r="I341" s="12"/>
      <c r="J341" s="13">
        <f t="shared" si="10"/>
        <v>0.16927272727272727</v>
      </c>
      <c r="L341" t="str">
        <f t="shared" si="11"/>
        <v>20.c.ps.101.377  - Boca Ballet Theatre Company  $18620</v>
      </c>
    </row>
    <row r="342" spans="1:12" ht="15.75" x14ac:dyDescent="0.25">
      <c r="A342" s="15">
        <v>340</v>
      </c>
      <c r="B342" s="15" t="s">
        <v>730</v>
      </c>
      <c r="C342" s="15" t="s">
        <v>731</v>
      </c>
      <c r="D342" s="15" t="s">
        <v>33</v>
      </c>
      <c r="E342" s="16">
        <v>55567</v>
      </c>
      <c r="F342" s="15">
        <v>89.332999999999998</v>
      </c>
      <c r="G342" s="16">
        <v>55567</v>
      </c>
      <c r="H342" s="11">
        <f>'First Calculations'!P341</f>
        <v>9414</v>
      </c>
      <c r="I342" s="12"/>
      <c r="J342" s="13">
        <f t="shared" si="10"/>
        <v>0.16941710007738406</v>
      </c>
      <c r="L342" t="str">
        <f t="shared" si="11"/>
        <v>20.c.ps.500.473  - Arts &amp; Cultural Alliance of Sarasota County, Inc.  $9414</v>
      </c>
    </row>
    <row r="343" spans="1:12" ht="15.75" x14ac:dyDescent="0.25">
      <c r="A343" s="15">
        <v>341</v>
      </c>
      <c r="B343" s="15" t="s">
        <v>732</v>
      </c>
      <c r="C343" s="15" t="s">
        <v>733</v>
      </c>
      <c r="D343" s="15" t="s">
        <v>28</v>
      </c>
      <c r="E343" s="16">
        <v>85500</v>
      </c>
      <c r="F343" s="15">
        <v>89.286000000000001</v>
      </c>
      <c r="G343" s="16">
        <v>85500</v>
      </c>
      <c r="H343" s="11">
        <f>'First Calculations'!P342</f>
        <v>14469</v>
      </c>
      <c r="I343" s="12"/>
      <c r="J343" s="13">
        <f t="shared" si="10"/>
        <v>0.16922807017543859</v>
      </c>
      <c r="L343" t="str">
        <f t="shared" si="11"/>
        <v>20.c.ps.170.491  - Holocaust Memorial Committee  $14469</v>
      </c>
    </row>
    <row r="344" spans="1:12" ht="25.5" x14ac:dyDescent="0.25">
      <c r="A344" s="15">
        <v>342</v>
      </c>
      <c r="B344" s="15" t="s">
        <v>734</v>
      </c>
      <c r="C344" s="15" t="s">
        <v>735</v>
      </c>
      <c r="D344" s="15" t="s">
        <v>57</v>
      </c>
      <c r="E344" s="16">
        <v>24000</v>
      </c>
      <c r="F344" s="15">
        <v>89.2</v>
      </c>
      <c r="G344" s="16">
        <v>24000</v>
      </c>
      <c r="H344" s="11">
        <f>'First Calculations'!P343</f>
        <v>4068</v>
      </c>
      <c r="I344" s="12"/>
      <c r="J344" s="13">
        <f t="shared" si="10"/>
        <v>0.16950000000000001</v>
      </c>
      <c r="L344" t="str">
        <f t="shared" si="11"/>
        <v>20.c.ps.102.075  - Tampa, Florida, Chapter No. 1 of S.P.E.B.S.Q.S.A., Inc.  $4068</v>
      </c>
    </row>
    <row r="345" spans="1:12" ht="15.75" x14ac:dyDescent="0.25">
      <c r="A345" s="15">
        <v>343</v>
      </c>
      <c r="B345" s="15" t="s">
        <v>736</v>
      </c>
      <c r="C345" s="15" t="s">
        <v>737</v>
      </c>
      <c r="D345" s="15" t="s">
        <v>70</v>
      </c>
      <c r="E345" s="16">
        <v>150000</v>
      </c>
      <c r="F345" s="15">
        <v>89.167000000000002</v>
      </c>
      <c r="G345" s="16">
        <v>150000</v>
      </c>
      <c r="H345" s="11">
        <f>'First Calculations'!P344</f>
        <v>25339</v>
      </c>
      <c r="I345" s="12"/>
      <c r="J345" s="13">
        <f t="shared" si="10"/>
        <v>0.16892666666666667</v>
      </c>
      <c r="L345" t="str">
        <f t="shared" si="11"/>
        <v>20.c.ps.170.167  - College of Central Florida Foundation, Inc.  $25339</v>
      </c>
    </row>
    <row r="346" spans="1:12" ht="15.75" x14ac:dyDescent="0.25">
      <c r="A346" s="15">
        <v>344</v>
      </c>
      <c r="B346" s="15" t="s">
        <v>738</v>
      </c>
      <c r="C346" s="15" t="s">
        <v>739</v>
      </c>
      <c r="D346" s="15" t="s">
        <v>740</v>
      </c>
      <c r="E346" s="16">
        <v>90000</v>
      </c>
      <c r="F346" s="15">
        <v>89.167000000000002</v>
      </c>
      <c r="G346" s="16">
        <v>90000</v>
      </c>
      <c r="H346" s="11">
        <f>'First Calculations'!P345</f>
        <v>15209</v>
      </c>
      <c r="I346" s="12"/>
      <c r="J346" s="13">
        <f t="shared" si="10"/>
        <v>0.16898888888888888</v>
      </c>
      <c r="L346" t="str">
        <f t="shared" si="11"/>
        <v>20.c.ps.500.591  - Franklin's Promise Coalition, Inc.  $15209</v>
      </c>
    </row>
    <row r="347" spans="1:12" ht="15.75" x14ac:dyDescent="0.25">
      <c r="A347" s="15">
        <v>345</v>
      </c>
      <c r="B347" s="15" t="s">
        <v>741</v>
      </c>
      <c r="C347" s="15" t="s">
        <v>742</v>
      </c>
      <c r="D347" s="15" t="s">
        <v>36</v>
      </c>
      <c r="E347" s="16">
        <v>107500</v>
      </c>
      <c r="F347" s="15">
        <v>89.167000000000002</v>
      </c>
      <c r="G347" s="16">
        <v>107500</v>
      </c>
      <c r="H347" s="11">
        <f>'First Calculations'!P346</f>
        <v>18164</v>
      </c>
      <c r="I347" s="12"/>
      <c r="J347" s="13">
        <f t="shared" si="10"/>
        <v>0.16896744186046511</v>
      </c>
      <c r="L347" t="str">
        <f t="shared" si="11"/>
        <v>20.c.ps.142.443  - The Broward Stage Door Theater Co., Inc.  $18164</v>
      </c>
    </row>
    <row r="348" spans="1:12" ht="15.75" x14ac:dyDescent="0.25">
      <c r="A348" s="15">
        <v>346</v>
      </c>
      <c r="B348" s="15" t="s">
        <v>743</v>
      </c>
      <c r="C348" s="15" t="s">
        <v>744</v>
      </c>
      <c r="D348" s="15" t="s">
        <v>73</v>
      </c>
      <c r="E348" s="16">
        <v>90000</v>
      </c>
      <c r="F348" s="15">
        <v>89.167000000000002</v>
      </c>
      <c r="G348" s="16">
        <v>90000</v>
      </c>
      <c r="H348" s="11">
        <f>'First Calculations'!P347</f>
        <v>15209</v>
      </c>
      <c r="I348" s="12"/>
      <c r="J348" s="13">
        <f t="shared" si="10"/>
        <v>0.16898888888888888</v>
      </c>
      <c r="L348" t="str">
        <f t="shared" si="11"/>
        <v>20.c.ps.180.118  - Daytona Beach Symphony Society, Inc.  $15209</v>
      </c>
    </row>
    <row r="349" spans="1:12" ht="15.75" x14ac:dyDescent="0.25">
      <c r="A349" s="15">
        <v>347</v>
      </c>
      <c r="B349" s="15" t="s">
        <v>745</v>
      </c>
      <c r="C349" s="15" t="s">
        <v>746</v>
      </c>
      <c r="D349" s="15" t="s">
        <v>593</v>
      </c>
      <c r="E349" s="16">
        <v>42500</v>
      </c>
      <c r="F349" s="15">
        <v>89.143000000000001</v>
      </c>
      <c r="G349" s="16">
        <v>42500</v>
      </c>
      <c r="H349" s="11">
        <f>'First Calculations'!P348</f>
        <v>7188</v>
      </c>
      <c r="I349" s="12"/>
      <c r="J349" s="13">
        <f t="shared" si="10"/>
        <v>0.16912941176470589</v>
      </c>
      <c r="L349" t="str">
        <f t="shared" si="11"/>
        <v>20.c.ps.170.325  - Lighthouse Archaeological Maritime Program, Inc.  $7188</v>
      </c>
    </row>
    <row r="350" spans="1:12" ht="15.75" x14ac:dyDescent="0.25">
      <c r="A350" s="15">
        <v>348</v>
      </c>
      <c r="B350" s="15" t="s">
        <v>747</v>
      </c>
      <c r="C350" s="15" t="s">
        <v>748</v>
      </c>
      <c r="D350" s="15" t="s">
        <v>33</v>
      </c>
      <c r="E350" s="16">
        <v>25000</v>
      </c>
      <c r="F350" s="15">
        <v>89.143000000000001</v>
      </c>
      <c r="G350" s="16">
        <v>25000</v>
      </c>
      <c r="H350" s="11">
        <f>'First Calculations'!P349</f>
        <v>4234</v>
      </c>
      <c r="I350" s="12"/>
      <c r="J350" s="13">
        <f t="shared" si="10"/>
        <v>0.16936000000000001</v>
      </c>
      <c r="L350" t="str">
        <f t="shared" si="11"/>
        <v>20.c.ps.102.606  - Gloria Musicae, Inc.  $4234</v>
      </c>
    </row>
    <row r="351" spans="1:12" ht="15.75" x14ac:dyDescent="0.25">
      <c r="A351" s="15">
        <v>349</v>
      </c>
      <c r="B351" s="15" t="s">
        <v>749</v>
      </c>
      <c r="C351" s="15" t="s">
        <v>750</v>
      </c>
      <c r="D351" s="15" t="s">
        <v>593</v>
      </c>
      <c r="E351" s="16">
        <v>90000</v>
      </c>
      <c r="F351" s="15">
        <v>89</v>
      </c>
      <c r="G351" s="16">
        <v>90000</v>
      </c>
      <c r="H351" s="11">
        <f>'First Calculations'!P350</f>
        <v>15181</v>
      </c>
      <c r="I351" s="12"/>
      <c r="J351" s="13">
        <f t="shared" si="10"/>
        <v>0.16867777777777779</v>
      </c>
      <c r="L351" t="str">
        <f t="shared" si="11"/>
        <v>20.c.ps.170.536  - Lightner Museum of Hobbies   $15181</v>
      </c>
    </row>
    <row r="352" spans="1:12" ht="15.75" x14ac:dyDescent="0.25">
      <c r="A352" s="15">
        <v>350</v>
      </c>
      <c r="B352" s="15" t="s">
        <v>751</v>
      </c>
      <c r="C352" s="15" t="s">
        <v>752</v>
      </c>
      <c r="D352" s="15" t="s">
        <v>87</v>
      </c>
      <c r="E352" s="16">
        <v>22159</v>
      </c>
      <c r="F352" s="15">
        <v>89</v>
      </c>
      <c r="G352" s="16">
        <v>22159</v>
      </c>
      <c r="H352" s="11">
        <f>'First Calculations'!P351</f>
        <v>3749</v>
      </c>
      <c r="I352" s="12"/>
      <c r="J352" s="13">
        <f t="shared" si="10"/>
        <v>0.16918633512342615</v>
      </c>
      <c r="L352" t="str">
        <f t="shared" si="11"/>
        <v>20.c.ps.170.712  - Winter Park Historical Association, Inc  $3749</v>
      </c>
    </row>
    <row r="353" spans="1:12" ht="15.75" x14ac:dyDescent="0.25">
      <c r="A353" s="15">
        <v>351</v>
      </c>
      <c r="B353" s="15" t="s">
        <v>753</v>
      </c>
      <c r="C353" s="15" t="s">
        <v>754</v>
      </c>
      <c r="D353" s="15" t="s">
        <v>39</v>
      </c>
      <c r="E353" s="16">
        <v>150000</v>
      </c>
      <c r="F353" s="15">
        <v>89</v>
      </c>
      <c r="G353" s="16">
        <v>150000</v>
      </c>
      <c r="H353" s="11">
        <f>'First Calculations'!P352</f>
        <v>25291</v>
      </c>
      <c r="I353" s="12"/>
      <c r="J353" s="13">
        <f t="shared" si="10"/>
        <v>0.16860666666666665</v>
      </c>
      <c r="L353" t="str">
        <f t="shared" si="11"/>
        <v>20.c.ps.102.289  - Lynn University, Inc.  $25291</v>
      </c>
    </row>
    <row r="354" spans="1:12" ht="25.5" x14ac:dyDescent="0.25">
      <c r="A354" s="15">
        <v>352</v>
      </c>
      <c r="B354" s="15" t="s">
        <v>755</v>
      </c>
      <c r="C354" s="15" t="s">
        <v>756</v>
      </c>
      <c r="D354" s="15" t="s">
        <v>57</v>
      </c>
      <c r="E354" s="16">
        <v>23000</v>
      </c>
      <c r="F354" s="15">
        <v>89</v>
      </c>
      <c r="G354" s="16">
        <v>23000</v>
      </c>
      <c r="H354" s="11">
        <f>'First Calculations'!P353</f>
        <v>3891</v>
      </c>
      <c r="I354" s="12"/>
      <c r="J354" s="13">
        <f t="shared" si="10"/>
        <v>0.16917391304347826</v>
      </c>
      <c r="L354" t="str">
        <f t="shared" si="11"/>
        <v>20.c.ps.142.411  - Bits 'N Pieces Puppet Theatre, Inc.  $3891</v>
      </c>
    </row>
    <row r="355" spans="1:12" ht="15.75" x14ac:dyDescent="0.25">
      <c r="A355" s="15">
        <v>353</v>
      </c>
      <c r="B355" s="15" t="s">
        <v>757</v>
      </c>
      <c r="C355" s="15" t="s">
        <v>758</v>
      </c>
      <c r="D355" s="15" t="s">
        <v>50</v>
      </c>
      <c r="E355" s="16">
        <v>6850</v>
      </c>
      <c r="F355" s="15">
        <v>89</v>
      </c>
      <c r="G355" s="16">
        <v>6850</v>
      </c>
      <c r="H355" s="11">
        <f>'First Calculations'!P354</f>
        <v>1169</v>
      </c>
      <c r="I355" s="12"/>
      <c r="J355" s="13">
        <f t="shared" si="10"/>
        <v>0.17065693430656934</v>
      </c>
      <c r="L355" t="str">
        <f t="shared" si="11"/>
        <v>20.c.ps.102.330  - Civic Orchestra of Jacksonville Inc.  $1169</v>
      </c>
    </row>
    <row r="356" spans="1:12" ht="15.75" x14ac:dyDescent="0.25">
      <c r="A356" s="15">
        <v>354</v>
      </c>
      <c r="B356" s="15" t="s">
        <v>759</v>
      </c>
      <c r="C356" s="15" t="s">
        <v>760</v>
      </c>
      <c r="D356" s="15" t="s">
        <v>28</v>
      </c>
      <c r="E356" s="16">
        <v>40000</v>
      </c>
      <c r="F356" s="15">
        <v>89</v>
      </c>
      <c r="G356" s="16">
        <v>40000</v>
      </c>
      <c r="H356" s="11">
        <f>'First Calculations'!P355</f>
        <v>6755</v>
      </c>
      <c r="I356" s="12"/>
      <c r="J356" s="13">
        <f t="shared" si="10"/>
        <v>0.168875</v>
      </c>
      <c r="L356" t="str">
        <f t="shared" si="11"/>
        <v>20.c.ps.102.435  - Orchestra Miami, Inc.  $6755</v>
      </c>
    </row>
    <row r="357" spans="1:12" ht="15.75" x14ac:dyDescent="0.25">
      <c r="A357" s="15">
        <v>355</v>
      </c>
      <c r="B357" s="15" t="s">
        <v>761</v>
      </c>
      <c r="C357" s="15" t="s">
        <v>762</v>
      </c>
      <c r="D357" s="15" t="s">
        <v>28</v>
      </c>
      <c r="E357" s="16">
        <v>13399</v>
      </c>
      <c r="F357" s="15">
        <v>89</v>
      </c>
      <c r="G357" s="16">
        <v>13399</v>
      </c>
      <c r="H357" s="11">
        <f>'First Calculations'!P356</f>
        <v>2273</v>
      </c>
      <c r="I357" s="12"/>
      <c r="J357" s="13">
        <f t="shared" si="10"/>
        <v>0.16963952533771176</v>
      </c>
      <c r="L357" t="str">
        <f t="shared" si="11"/>
        <v>20.c.ps.200.580  - Young Musicians Unite, Inc   $2273</v>
      </c>
    </row>
    <row r="358" spans="1:12" ht="15.75" x14ac:dyDescent="0.25">
      <c r="A358" s="15">
        <v>356</v>
      </c>
      <c r="B358" s="15" t="s">
        <v>763</v>
      </c>
      <c r="C358" s="15" t="s">
        <v>764</v>
      </c>
      <c r="D358" s="15" t="s">
        <v>64</v>
      </c>
      <c r="E358" s="16">
        <v>130000</v>
      </c>
      <c r="F358" s="15">
        <v>88.875</v>
      </c>
      <c r="G358" s="16">
        <v>130000</v>
      </c>
      <c r="H358" s="11">
        <f>'First Calculations'!P357</f>
        <v>21890</v>
      </c>
      <c r="I358" s="12"/>
      <c r="J358" s="13">
        <f t="shared" si="10"/>
        <v>0.16838461538461538</v>
      </c>
      <c r="L358" t="str">
        <f t="shared" si="11"/>
        <v>20.c.ps.102.094  - Opera Naples, Inc.  $21890</v>
      </c>
    </row>
    <row r="359" spans="1:12" ht="15.75" x14ac:dyDescent="0.25">
      <c r="A359" s="15">
        <v>357</v>
      </c>
      <c r="B359" s="15" t="s">
        <v>765</v>
      </c>
      <c r="C359" s="15" t="s">
        <v>766</v>
      </c>
      <c r="D359" s="15" t="s">
        <v>73</v>
      </c>
      <c r="E359" s="16">
        <v>11000</v>
      </c>
      <c r="F359" s="15">
        <v>88.856999999999999</v>
      </c>
      <c r="G359" s="16">
        <v>11000</v>
      </c>
      <c r="H359" s="11">
        <f>'First Calculations'!P358</f>
        <v>1866</v>
      </c>
      <c r="I359" s="12"/>
      <c r="J359" s="13">
        <f t="shared" si="10"/>
        <v>0.16963636363636364</v>
      </c>
      <c r="L359" t="str">
        <f t="shared" si="11"/>
        <v>20.c.ps.141.170  - Shoestring Theatre, Inc.  $1866</v>
      </c>
    </row>
    <row r="360" spans="1:12" ht="15.75" x14ac:dyDescent="0.25">
      <c r="A360" s="15">
        <v>358</v>
      </c>
      <c r="B360" s="15" t="s">
        <v>767</v>
      </c>
      <c r="C360" s="15" t="s">
        <v>768</v>
      </c>
      <c r="D360" s="15" t="s">
        <v>115</v>
      </c>
      <c r="E360" s="16">
        <v>21610</v>
      </c>
      <c r="F360" s="15">
        <v>88.832999999999998</v>
      </c>
      <c r="G360" s="16">
        <v>21610</v>
      </c>
      <c r="H360" s="11">
        <f>'First Calculations'!P359</f>
        <v>3650</v>
      </c>
      <c r="I360" s="12"/>
      <c r="J360" s="13">
        <f t="shared" si="10"/>
        <v>0.16890328551596484</v>
      </c>
      <c r="L360" t="str">
        <f t="shared" si="11"/>
        <v>20.c.ps.200.426  - Making Light Productions  $3650</v>
      </c>
    </row>
    <row r="361" spans="1:12" ht="15.75" x14ac:dyDescent="0.25">
      <c r="A361" s="15">
        <v>359</v>
      </c>
      <c r="B361" s="15" t="s">
        <v>769</v>
      </c>
      <c r="C361" s="15" t="s">
        <v>770</v>
      </c>
      <c r="D361" s="15" t="s">
        <v>115</v>
      </c>
      <c r="E361" s="16">
        <v>25000</v>
      </c>
      <c r="F361" s="15">
        <v>88.8</v>
      </c>
      <c r="G361" s="16">
        <v>25000</v>
      </c>
      <c r="H361" s="11">
        <f>'First Calculations'!P360</f>
        <v>4218</v>
      </c>
      <c r="I361" s="12"/>
      <c r="J361" s="13">
        <f t="shared" si="10"/>
        <v>0.16872000000000001</v>
      </c>
      <c r="L361" t="str">
        <f t="shared" si="11"/>
        <v>20.c.ps.105.182  - Lemoyne Art Foundation, Inc.  $4218</v>
      </c>
    </row>
    <row r="362" spans="1:12" ht="15.75" x14ac:dyDescent="0.25">
      <c r="A362" s="15">
        <v>360</v>
      </c>
      <c r="B362" s="15" t="s">
        <v>771</v>
      </c>
      <c r="C362" s="15" t="s">
        <v>772</v>
      </c>
      <c r="D362" s="15" t="s">
        <v>773</v>
      </c>
      <c r="E362" s="16">
        <v>20000</v>
      </c>
      <c r="F362" s="15">
        <v>88.713999999999999</v>
      </c>
      <c r="G362" s="16">
        <v>20000</v>
      </c>
      <c r="H362" s="11">
        <f>'First Calculations'!P361</f>
        <v>3374</v>
      </c>
      <c r="I362" s="12"/>
      <c r="J362" s="13">
        <f t="shared" si="10"/>
        <v>0.16869999999999999</v>
      </c>
      <c r="L362" t="str">
        <f t="shared" si="11"/>
        <v>20.c.ps.141.758  - Bay Street Players, Inc.  $3374</v>
      </c>
    </row>
    <row r="363" spans="1:12" ht="15.75" x14ac:dyDescent="0.25">
      <c r="A363" s="15">
        <v>361</v>
      </c>
      <c r="B363" s="15" t="s">
        <v>774</v>
      </c>
      <c r="C363" s="15" t="s">
        <v>775</v>
      </c>
      <c r="D363" s="15" t="s">
        <v>102</v>
      </c>
      <c r="E363" s="16">
        <v>90000</v>
      </c>
      <c r="F363" s="15">
        <v>88.713999999999999</v>
      </c>
      <c r="G363" s="16">
        <v>90000</v>
      </c>
      <c r="H363" s="11">
        <f>'First Calculations'!P362</f>
        <v>15132</v>
      </c>
      <c r="I363" s="12"/>
      <c r="J363" s="13">
        <f t="shared" si="10"/>
        <v>0.16813333333333333</v>
      </c>
      <c r="L363" t="str">
        <f t="shared" si="11"/>
        <v>20.c.ps.170.592  - West Florida Historic Preservation, Inc   $15132</v>
      </c>
    </row>
    <row r="364" spans="1:12" ht="15.75" x14ac:dyDescent="0.25">
      <c r="A364" s="15">
        <v>362</v>
      </c>
      <c r="B364" s="15" t="s">
        <v>776</v>
      </c>
      <c r="C364" s="15" t="s">
        <v>777</v>
      </c>
      <c r="D364" s="15" t="s">
        <v>80</v>
      </c>
      <c r="E364" s="16">
        <v>24000</v>
      </c>
      <c r="F364" s="15">
        <v>88.713999999999999</v>
      </c>
      <c r="G364" s="16">
        <v>24000</v>
      </c>
      <c r="H364" s="11">
        <f>'First Calculations'!P363</f>
        <v>4046</v>
      </c>
      <c r="I364" s="12"/>
      <c r="J364" s="13">
        <f t="shared" si="10"/>
        <v>0.16858333333333334</v>
      </c>
      <c r="L364" t="str">
        <f t="shared" si="11"/>
        <v>20.c.ps.101.235  - Academy of Ballet Arts, Inc.  $4046</v>
      </c>
    </row>
    <row r="365" spans="1:12" ht="15.75" x14ac:dyDescent="0.25">
      <c r="A365" s="15">
        <v>363</v>
      </c>
      <c r="B365" s="15" t="s">
        <v>778</v>
      </c>
      <c r="C365" s="15" t="s">
        <v>779</v>
      </c>
      <c r="D365" s="15" t="s">
        <v>115</v>
      </c>
      <c r="E365" s="16">
        <v>36150</v>
      </c>
      <c r="F365" s="15">
        <v>88.667000000000002</v>
      </c>
      <c r="G365" s="16">
        <v>36150</v>
      </c>
      <c r="H365" s="11">
        <f>'First Calculations'!P364</f>
        <v>6084</v>
      </c>
      <c r="I365" s="12"/>
      <c r="J365" s="13">
        <f t="shared" si="10"/>
        <v>0.16829875518672199</v>
      </c>
      <c r="L365" t="str">
        <f t="shared" si="11"/>
        <v>20.c.ps.600.277  - Florida Art Education Association, Incorporated  $6084</v>
      </c>
    </row>
    <row r="366" spans="1:12" ht="15.75" x14ac:dyDescent="0.25">
      <c r="A366" s="15">
        <v>364</v>
      </c>
      <c r="B366" s="15" t="s">
        <v>780</v>
      </c>
      <c r="C366" s="15" t="s">
        <v>781</v>
      </c>
      <c r="D366" s="15" t="s">
        <v>115</v>
      </c>
      <c r="E366" s="16">
        <v>61985</v>
      </c>
      <c r="F366" s="15">
        <v>88.667000000000002</v>
      </c>
      <c r="G366" s="16">
        <v>61985</v>
      </c>
      <c r="H366" s="11">
        <f>'First Calculations'!P365</f>
        <v>10421</v>
      </c>
      <c r="I366" s="12"/>
      <c r="J366" s="13">
        <f t="shared" si="10"/>
        <v>0.1681213196741147</v>
      </c>
      <c r="L366" t="str">
        <f t="shared" si="11"/>
        <v>20.c.ps.600.521  - Florida Association of Museums Foundation, Inc.  $10421</v>
      </c>
    </row>
    <row r="367" spans="1:12" ht="25.5" x14ac:dyDescent="0.25">
      <c r="A367" s="15">
        <v>365</v>
      </c>
      <c r="B367" s="15" t="s">
        <v>782</v>
      </c>
      <c r="C367" s="15" t="s">
        <v>783</v>
      </c>
      <c r="D367" s="15" t="s">
        <v>57</v>
      </c>
      <c r="E367" s="16">
        <v>145956</v>
      </c>
      <c r="F367" s="15">
        <v>88.667000000000002</v>
      </c>
      <c r="G367" s="16">
        <v>145956</v>
      </c>
      <c r="H367" s="11">
        <f>'First Calculations'!P366</f>
        <v>24518</v>
      </c>
      <c r="I367" s="12"/>
      <c r="J367" s="13">
        <f t="shared" si="10"/>
        <v>0.16798213160130451</v>
      </c>
      <c r="L367" t="str">
        <f t="shared" si="11"/>
        <v>20.c.ps.500.313  - Arts Council of Hillsborough County  $24518</v>
      </c>
    </row>
    <row r="368" spans="1:12" ht="15.75" x14ac:dyDescent="0.25">
      <c r="A368" s="15">
        <v>366</v>
      </c>
      <c r="B368" s="15" t="s">
        <v>784</v>
      </c>
      <c r="C368" s="15" t="s">
        <v>785</v>
      </c>
      <c r="D368" s="15" t="s">
        <v>115</v>
      </c>
      <c r="E368" s="16">
        <v>68165</v>
      </c>
      <c r="F368" s="15">
        <v>88.667000000000002</v>
      </c>
      <c r="G368" s="16">
        <v>68165</v>
      </c>
      <c r="H368" s="11">
        <f>'First Calculations'!P367</f>
        <v>11458</v>
      </c>
      <c r="I368" s="12"/>
      <c r="J368" s="13">
        <f t="shared" si="10"/>
        <v>0.16809212939191667</v>
      </c>
      <c r="L368" t="str">
        <f t="shared" si="11"/>
        <v>20.c.ps.600.273  - Florida School Music Association, Incorporated  $11458</v>
      </c>
    </row>
    <row r="369" spans="1:12" ht="15.75" x14ac:dyDescent="0.25">
      <c r="A369" s="15">
        <v>367</v>
      </c>
      <c r="B369" s="15" t="s">
        <v>786</v>
      </c>
      <c r="C369" s="15" t="s">
        <v>787</v>
      </c>
      <c r="D369" s="15" t="s">
        <v>50</v>
      </c>
      <c r="E369" s="16">
        <v>45000</v>
      </c>
      <c r="F369" s="15">
        <v>88.667000000000002</v>
      </c>
      <c r="G369" s="16">
        <v>45000</v>
      </c>
      <c r="H369" s="11">
        <f>'First Calculations'!P368</f>
        <v>7569</v>
      </c>
      <c r="I369" s="12"/>
      <c r="J369" s="13">
        <f t="shared" si="10"/>
        <v>0.16819999999999999</v>
      </c>
      <c r="L369" t="str">
        <f t="shared" si="11"/>
        <v>20.c.ps.180.161  - Theatreworks, Inc.  $7569</v>
      </c>
    </row>
    <row r="370" spans="1:12" ht="15.75" x14ac:dyDescent="0.25">
      <c r="A370" s="15">
        <v>368</v>
      </c>
      <c r="B370" s="15" t="s">
        <v>788</v>
      </c>
      <c r="C370" s="15" t="s">
        <v>789</v>
      </c>
      <c r="D370" s="15" t="s">
        <v>39</v>
      </c>
      <c r="E370" s="16">
        <v>25000</v>
      </c>
      <c r="F370" s="15">
        <v>88.570999999999998</v>
      </c>
      <c r="G370" s="16">
        <v>25000</v>
      </c>
      <c r="H370" s="11">
        <f>'First Calculations'!P369</f>
        <v>4207</v>
      </c>
      <c r="I370" s="12"/>
      <c r="J370" s="13">
        <f t="shared" si="10"/>
        <v>0.16828000000000001</v>
      </c>
      <c r="L370" t="str">
        <f t="shared" si="11"/>
        <v>20.c.ps.102.405  - THE CHAMBER MUSIC SOCIETY OF PALM BEACH INC  $4207</v>
      </c>
    </row>
    <row r="371" spans="1:12" ht="15.75" x14ac:dyDescent="0.25">
      <c r="A371" s="15">
        <v>369</v>
      </c>
      <c r="B371" s="15" t="s">
        <v>790</v>
      </c>
      <c r="C371" s="15" t="s">
        <v>791</v>
      </c>
      <c r="D371" s="15" t="s">
        <v>64</v>
      </c>
      <c r="E371" s="16">
        <v>89000</v>
      </c>
      <c r="F371" s="15">
        <v>88.570999999999998</v>
      </c>
      <c r="G371" s="16">
        <v>89000</v>
      </c>
      <c r="H371" s="11">
        <f>'First Calculations'!P370</f>
        <v>14940</v>
      </c>
      <c r="I371" s="12"/>
      <c r="J371" s="13">
        <f t="shared" si="10"/>
        <v>0.16786516853932584</v>
      </c>
      <c r="L371" t="str">
        <f t="shared" si="11"/>
        <v>20.c.ps.114.090  - Art League of Marco Island, Inc.   $14940</v>
      </c>
    </row>
    <row r="372" spans="1:12" ht="15.75" x14ac:dyDescent="0.25">
      <c r="A372" s="15">
        <v>370</v>
      </c>
      <c r="B372" s="15" t="s">
        <v>792</v>
      </c>
      <c r="C372" s="15" t="s">
        <v>793</v>
      </c>
      <c r="D372" s="15" t="s">
        <v>87</v>
      </c>
      <c r="E372" s="16">
        <v>90000</v>
      </c>
      <c r="F372" s="15">
        <v>88.570999999999998</v>
      </c>
      <c r="G372" s="16">
        <v>90000</v>
      </c>
      <c r="H372" s="11">
        <f>'First Calculations'!P371</f>
        <v>15108</v>
      </c>
      <c r="I372" s="12"/>
      <c r="J372" s="13">
        <f t="shared" si="10"/>
        <v>0.16786666666666666</v>
      </c>
      <c r="L372" t="str">
        <f t="shared" si="11"/>
        <v>20.c.ps.101.556  - Central Florida Ballet. Inc.  $15108</v>
      </c>
    </row>
    <row r="373" spans="1:12" ht="15.75" x14ac:dyDescent="0.25">
      <c r="A373" s="15">
        <v>371</v>
      </c>
      <c r="B373" s="15" t="s">
        <v>794</v>
      </c>
      <c r="C373" s="15" t="s">
        <v>795</v>
      </c>
      <c r="D373" s="15" t="s">
        <v>124</v>
      </c>
      <c r="E373" s="16">
        <v>25000</v>
      </c>
      <c r="F373" s="15">
        <v>88.5</v>
      </c>
      <c r="G373" s="16">
        <v>25000</v>
      </c>
      <c r="H373" s="11">
        <f>'First Calculations'!P372</f>
        <v>4204</v>
      </c>
      <c r="I373" s="12"/>
      <c r="J373" s="13">
        <f t="shared" si="10"/>
        <v>0.16816</v>
      </c>
      <c r="L373" t="str">
        <f t="shared" si="11"/>
        <v>20.c.ps.105.179  - Florida Gulf Coast University Board of Trustees  $4204</v>
      </c>
    </row>
    <row r="374" spans="1:12" ht="15.75" x14ac:dyDescent="0.25">
      <c r="A374" s="15">
        <v>372</v>
      </c>
      <c r="B374" s="15" t="s">
        <v>796</v>
      </c>
      <c r="C374" s="15" t="s">
        <v>797</v>
      </c>
      <c r="D374" s="15" t="s">
        <v>39</v>
      </c>
      <c r="E374" s="16">
        <v>89000</v>
      </c>
      <c r="F374" s="15">
        <v>88.429000000000002</v>
      </c>
      <c r="G374" s="16">
        <v>89000</v>
      </c>
      <c r="H374" s="11">
        <f>'First Calculations'!P373</f>
        <v>14916</v>
      </c>
      <c r="I374" s="12"/>
      <c r="J374" s="13">
        <f t="shared" si="10"/>
        <v>0.16759550561797754</v>
      </c>
      <c r="L374" t="str">
        <f t="shared" si="11"/>
        <v>20.c.ps.170.336  - Boca Raton Historical Society, Inc.  $14916</v>
      </c>
    </row>
    <row r="375" spans="1:12" ht="15.75" x14ac:dyDescent="0.25">
      <c r="A375" s="15">
        <v>373</v>
      </c>
      <c r="B375" s="15" t="s">
        <v>798</v>
      </c>
      <c r="C375" s="15" t="s">
        <v>799</v>
      </c>
      <c r="D375" s="15" t="s">
        <v>800</v>
      </c>
      <c r="E375" s="16">
        <v>90000</v>
      </c>
      <c r="F375" s="15">
        <v>88.429000000000002</v>
      </c>
      <c r="G375" s="16">
        <v>90000</v>
      </c>
      <c r="H375" s="11">
        <f>'First Calculations'!P374</f>
        <v>15083</v>
      </c>
      <c r="I375" s="12"/>
      <c r="J375" s="13">
        <f t="shared" si="10"/>
        <v>0.1675888888888889</v>
      </c>
      <c r="L375" t="str">
        <f t="shared" si="11"/>
        <v>20.c.ps.170.412  - Osceola County Historical Society  $15083</v>
      </c>
    </row>
    <row r="376" spans="1:12" ht="15.75" x14ac:dyDescent="0.25">
      <c r="A376" s="15">
        <v>374</v>
      </c>
      <c r="B376" s="15" t="s">
        <v>801</v>
      </c>
      <c r="C376" s="15" t="s">
        <v>802</v>
      </c>
      <c r="D376" s="15" t="s">
        <v>388</v>
      </c>
      <c r="E376" s="16">
        <v>150000</v>
      </c>
      <c r="F376" s="15">
        <v>88.429000000000002</v>
      </c>
      <c r="G376" s="16">
        <v>150000</v>
      </c>
      <c r="H376" s="11">
        <f>'First Calculations'!P375</f>
        <v>25129</v>
      </c>
      <c r="I376" s="12"/>
      <c r="J376" s="13">
        <f t="shared" si="10"/>
        <v>0.16752666666666666</v>
      </c>
      <c r="L376" t="str">
        <f t="shared" si="11"/>
        <v>20.c.ps.180.569  - City of Fort Pierce  $25129</v>
      </c>
    </row>
    <row r="377" spans="1:12" ht="15.75" x14ac:dyDescent="0.25">
      <c r="A377" s="15">
        <v>375</v>
      </c>
      <c r="B377" s="15" t="s">
        <v>803</v>
      </c>
      <c r="C377" s="15" t="s">
        <v>804</v>
      </c>
      <c r="D377" s="15" t="s">
        <v>287</v>
      </c>
      <c r="E377" s="16">
        <v>150000</v>
      </c>
      <c r="F377" s="15">
        <v>88.429000000000002</v>
      </c>
      <c r="G377" s="16">
        <v>150000</v>
      </c>
      <c r="H377" s="11">
        <f>'First Calculations'!P376</f>
        <v>25129</v>
      </c>
      <c r="I377" s="12"/>
      <c r="J377" s="13">
        <f t="shared" si="10"/>
        <v>0.16752666666666666</v>
      </c>
      <c r="L377" t="str">
        <f t="shared" si="11"/>
        <v>20.c.ps.170.581  - Key West Art and Historical Society, Inc.  $25129</v>
      </c>
    </row>
    <row r="378" spans="1:12" ht="15.75" x14ac:dyDescent="0.25">
      <c r="A378" s="15">
        <v>376</v>
      </c>
      <c r="B378" s="15" t="s">
        <v>805</v>
      </c>
      <c r="C378" s="15" t="s">
        <v>806</v>
      </c>
      <c r="D378" s="15" t="s">
        <v>28</v>
      </c>
      <c r="E378" s="16">
        <v>16969</v>
      </c>
      <c r="F378" s="15">
        <v>88.4</v>
      </c>
      <c r="G378" s="16">
        <v>16969</v>
      </c>
      <c r="H378" s="11">
        <f>'First Calculations'!P377</f>
        <v>2855</v>
      </c>
      <c r="I378" s="12"/>
      <c r="J378" s="13">
        <f t="shared" si="10"/>
        <v>0.16824798161353055</v>
      </c>
      <c r="L378" t="str">
        <f t="shared" si="11"/>
        <v>20.c.ps.102.444  - The Opera Atelier, Inc  $2855</v>
      </c>
    </row>
    <row r="379" spans="1:12" ht="15.75" x14ac:dyDescent="0.25">
      <c r="A379" s="15">
        <v>377</v>
      </c>
      <c r="B379" s="15" t="s">
        <v>807</v>
      </c>
      <c r="C379" s="15" t="s">
        <v>808</v>
      </c>
      <c r="D379" s="15" t="s">
        <v>67</v>
      </c>
      <c r="E379" s="16">
        <v>1445</v>
      </c>
      <c r="F379" s="15">
        <v>88.4</v>
      </c>
      <c r="G379" s="16">
        <v>1445</v>
      </c>
      <c r="H379" s="11">
        <f>'First Calculations'!P378</f>
        <v>1000</v>
      </c>
      <c r="I379" s="12"/>
      <c r="J379" s="13">
        <f t="shared" si="10"/>
        <v>0.69204152249134943</v>
      </c>
      <c r="L379" t="str">
        <f t="shared" si="11"/>
        <v>20.c.ps.102.433  - Annasemble Community Orchestra of Gainesville Inc  $1000</v>
      </c>
    </row>
    <row r="380" spans="1:12" ht="15.75" x14ac:dyDescent="0.25">
      <c r="A380" s="15">
        <v>378</v>
      </c>
      <c r="B380" s="15" t="s">
        <v>809</v>
      </c>
      <c r="C380" s="15" t="s">
        <v>810</v>
      </c>
      <c r="D380" s="15" t="s">
        <v>73</v>
      </c>
      <c r="E380" s="16">
        <v>15158</v>
      </c>
      <c r="F380" s="15">
        <v>88.332999999999998</v>
      </c>
      <c r="G380" s="16">
        <v>15158</v>
      </c>
      <c r="H380" s="11">
        <f>'First Calculations'!P379</f>
        <v>2550</v>
      </c>
      <c r="I380" s="12"/>
      <c r="J380" s="13">
        <f t="shared" si="10"/>
        <v>0.16822799841667765</v>
      </c>
      <c r="L380" t="str">
        <f t="shared" si="11"/>
        <v>20.c.ps.170.087  - West Volusia Historical Society, Inc.  $2550</v>
      </c>
    </row>
    <row r="381" spans="1:12" ht="15.75" x14ac:dyDescent="0.25">
      <c r="A381" s="15">
        <v>379</v>
      </c>
      <c r="B381" s="15" t="s">
        <v>811</v>
      </c>
      <c r="C381" s="15" t="s">
        <v>812</v>
      </c>
      <c r="D381" s="15" t="s">
        <v>50</v>
      </c>
      <c r="E381" s="16">
        <v>9995</v>
      </c>
      <c r="F381" s="15">
        <v>88.286000000000001</v>
      </c>
      <c r="G381" s="16">
        <v>9995</v>
      </c>
      <c r="H381" s="11">
        <f>'First Calculations'!P380</f>
        <v>1686</v>
      </c>
      <c r="I381" s="12"/>
      <c r="J381" s="13">
        <f t="shared" si="10"/>
        <v>0.16868434217108555</v>
      </c>
      <c r="L381" t="str">
        <f t="shared" si="11"/>
        <v>20.c.ps.101.193  - Jacksonville Dance Theatre   $1686</v>
      </c>
    </row>
    <row r="382" spans="1:12" ht="15.75" x14ac:dyDescent="0.25">
      <c r="A382" s="15">
        <v>380</v>
      </c>
      <c r="B382" s="15" t="s">
        <v>813</v>
      </c>
      <c r="C382" s="15" t="s">
        <v>814</v>
      </c>
      <c r="D382" s="15" t="s">
        <v>28</v>
      </c>
      <c r="E382" s="16">
        <v>23000</v>
      </c>
      <c r="F382" s="15">
        <v>88.286000000000001</v>
      </c>
      <c r="G382" s="16">
        <v>23000</v>
      </c>
      <c r="H382" s="11">
        <f>'First Calculations'!P381</f>
        <v>3860</v>
      </c>
      <c r="I382" s="12"/>
      <c r="J382" s="13">
        <f t="shared" si="10"/>
        <v>0.16782608695652174</v>
      </c>
      <c r="L382" t="str">
        <f t="shared" si="11"/>
        <v>20.c.ps.101.074  - Peter London Global Dance Company, Inc.  $3860</v>
      </c>
    </row>
    <row r="383" spans="1:12" ht="25.5" x14ac:dyDescent="0.25">
      <c r="A383" s="15">
        <v>381</v>
      </c>
      <c r="B383" s="15" t="s">
        <v>815</v>
      </c>
      <c r="C383" s="15" t="s">
        <v>816</v>
      </c>
      <c r="D383" s="15" t="s">
        <v>57</v>
      </c>
      <c r="E383" s="16">
        <v>150000</v>
      </c>
      <c r="F383" s="15">
        <v>88.286000000000001</v>
      </c>
      <c r="G383" s="16">
        <v>150000</v>
      </c>
      <c r="H383" s="11">
        <f>'First Calculations'!P382</f>
        <v>25089</v>
      </c>
      <c r="I383" s="12"/>
      <c r="J383" s="13">
        <f t="shared" si="10"/>
        <v>0.16725999999999999</v>
      </c>
      <c r="L383" t="str">
        <f t="shared" si="11"/>
        <v>20.c.ps.170.348  - The Tampa Bay History Center, Inc.  $25089</v>
      </c>
    </row>
    <row r="384" spans="1:12" ht="15.75" x14ac:dyDescent="0.25">
      <c r="A384" s="15">
        <v>382</v>
      </c>
      <c r="B384" s="15" t="s">
        <v>817</v>
      </c>
      <c r="C384" s="15" t="s">
        <v>818</v>
      </c>
      <c r="D384" s="15" t="s">
        <v>28</v>
      </c>
      <c r="E384" s="16">
        <v>40000</v>
      </c>
      <c r="F384" s="15">
        <v>88.2</v>
      </c>
      <c r="G384" s="16">
        <v>40000</v>
      </c>
      <c r="H384" s="11">
        <f>'First Calculations'!P383</f>
        <v>6695</v>
      </c>
      <c r="I384" s="12"/>
      <c r="J384" s="13">
        <f t="shared" si="10"/>
        <v>0.167375</v>
      </c>
      <c r="L384" t="str">
        <f t="shared" si="11"/>
        <v>20.c.ps.102.140  - Patrons of Exceptional Artists, Inc.  $6695</v>
      </c>
    </row>
    <row r="385" spans="1:12" ht="15.75" x14ac:dyDescent="0.25">
      <c r="A385" s="15">
        <v>383</v>
      </c>
      <c r="B385" s="15" t="s">
        <v>819</v>
      </c>
      <c r="C385" s="15" t="s">
        <v>820</v>
      </c>
      <c r="D385" s="15" t="s">
        <v>469</v>
      </c>
      <c r="E385" s="16">
        <v>25000</v>
      </c>
      <c r="F385" s="15">
        <v>88.167000000000002</v>
      </c>
      <c r="G385" s="16">
        <v>25000</v>
      </c>
      <c r="H385" s="11">
        <f>'First Calculations'!P384</f>
        <v>4188</v>
      </c>
      <c r="I385" s="12"/>
      <c r="J385" s="13">
        <f t="shared" si="10"/>
        <v>0.16752</v>
      </c>
      <c r="L385" t="str">
        <f t="shared" si="11"/>
        <v>20.c.ps.200.017  - Caladium Arts &amp; Crafts Cooperative, Inc.  $4188</v>
      </c>
    </row>
    <row r="386" spans="1:12" ht="15.75" x14ac:dyDescent="0.25">
      <c r="A386" s="15">
        <v>384</v>
      </c>
      <c r="B386" s="15" t="s">
        <v>821</v>
      </c>
      <c r="C386" s="15" t="s">
        <v>822</v>
      </c>
      <c r="D386" s="15" t="s">
        <v>28</v>
      </c>
      <c r="E386" s="16">
        <v>55000</v>
      </c>
      <c r="F386" s="15">
        <v>88.143000000000001</v>
      </c>
      <c r="G386" s="16">
        <v>55000</v>
      </c>
      <c r="H386" s="11">
        <f>'First Calculations'!P385</f>
        <v>9194</v>
      </c>
      <c r="I386" s="12"/>
      <c r="J386" s="13">
        <f t="shared" ref="J386:J449" si="12">H386/E386</f>
        <v>0.16716363636363638</v>
      </c>
      <c r="L386" t="str">
        <f t="shared" si="11"/>
        <v>20.c.ps.102.117  - American Children's Orchestras for Peace, Inc.  $9194</v>
      </c>
    </row>
    <row r="387" spans="1:12" ht="15.75" x14ac:dyDescent="0.25">
      <c r="A387" s="15">
        <v>385</v>
      </c>
      <c r="B387" s="15" t="s">
        <v>823</v>
      </c>
      <c r="C387" s="15" t="s">
        <v>824</v>
      </c>
      <c r="D387" s="15" t="s">
        <v>102</v>
      </c>
      <c r="E387" s="16">
        <v>11500</v>
      </c>
      <c r="F387" s="15">
        <v>88</v>
      </c>
      <c r="G387" s="16">
        <v>11500</v>
      </c>
      <c r="H387" s="11">
        <f>'First Calculations'!P386</f>
        <v>1931</v>
      </c>
      <c r="I387" s="12"/>
      <c r="J387" s="13">
        <f t="shared" si="12"/>
        <v>0.16791304347826086</v>
      </c>
      <c r="L387" t="str">
        <f t="shared" si="11"/>
        <v>20.c.ps.105.403  - Artel, Inc.  $1931</v>
      </c>
    </row>
    <row r="388" spans="1:12" ht="15.75" x14ac:dyDescent="0.25">
      <c r="A388" s="15">
        <v>386</v>
      </c>
      <c r="B388" s="15" t="s">
        <v>825</v>
      </c>
      <c r="C388" s="15" t="s">
        <v>826</v>
      </c>
      <c r="D388" s="15" t="s">
        <v>36</v>
      </c>
      <c r="E388" s="16">
        <v>38025</v>
      </c>
      <c r="F388" s="15">
        <v>87.856999999999999</v>
      </c>
      <c r="G388" s="16">
        <v>38025</v>
      </c>
      <c r="H388" s="11">
        <f>'First Calculations'!P387</f>
        <v>6340</v>
      </c>
      <c r="I388" s="12"/>
      <c r="J388" s="13">
        <f t="shared" si="12"/>
        <v>0.16673241288625903</v>
      </c>
      <c r="L388" t="str">
        <f t="shared" ref="L388:L451" si="13">B388&amp;" - "&amp;C388&amp;" $"&amp;H388</f>
        <v>20.c.ps.114.492  - Grace Arts Center, Inc.  $6340</v>
      </c>
    </row>
    <row r="389" spans="1:12" ht="15.75" x14ac:dyDescent="0.25">
      <c r="A389" s="15">
        <v>387</v>
      </c>
      <c r="B389" s="15" t="s">
        <v>827</v>
      </c>
      <c r="C389" s="15" t="s">
        <v>828</v>
      </c>
      <c r="D389" s="15" t="s">
        <v>87</v>
      </c>
      <c r="E389" s="16">
        <v>90407</v>
      </c>
      <c r="F389" s="15">
        <v>87.832999999999998</v>
      </c>
      <c r="G389" s="16">
        <v>90407</v>
      </c>
      <c r="H389" s="11">
        <f>'First Calculations'!P388</f>
        <v>15050</v>
      </c>
      <c r="I389" s="12"/>
      <c r="J389" s="13">
        <f t="shared" si="12"/>
        <v>0.16646941055449246</v>
      </c>
      <c r="L389" t="str">
        <f t="shared" si="13"/>
        <v>20.c.ps.170.575  - Maitland Art and History Association, Inc.  $15050</v>
      </c>
    </row>
    <row r="390" spans="1:12" ht="15.75" x14ac:dyDescent="0.25">
      <c r="A390" s="15">
        <v>388</v>
      </c>
      <c r="B390" s="15" t="s">
        <v>829</v>
      </c>
      <c r="C390" s="15" t="s">
        <v>830</v>
      </c>
      <c r="D390" s="15" t="s">
        <v>593</v>
      </c>
      <c r="E390" s="16">
        <v>26600</v>
      </c>
      <c r="F390" s="15">
        <v>87.8</v>
      </c>
      <c r="G390" s="16">
        <v>26600</v>
      </c>
      <c r="H390" s="11">
        <f>'First Calculations'!P389</f>
        <v>4437</v>
      </c>
      <c r="I390" s="12"/>
      <c r="J390" s="13">
        <f t="shared" si="12"/>
        <v>0.16680451127819548</v>
      </c>
      <c r="L390" t="str">
        <f t="shared" si="13"/>
        <v>20.c.ps.102.191  - First Coast Opera, Inc.  $4437</v>
      </c>
    </row>
    <row r="391" spans="1:12" ht="15.75" x14ac:dyDescent="0.25">
      <c r="A391" s="15">
        <v>389</v>
      </c>
      <c r="B391" s="15" t="s">
        <v>831</v>
      </c>
      <c r="C391" s="15" t="s">
        <v>832</v>
      </c>
      <c r="D391" s="15" t="s">
        <v>64</v>
      </c>
      <c r="E391" s="16">
        <v>150000</v>
      </c>
      <c r="F391" s="15">
        <v>87.713999999999999</v>
      </c>
      <c r="G391" s="16">
        <v>150000</v>
      </c>
      <c r="H391" s="11">
        <f>'First Calculations'!P390</f>
        <v>24926</v>
      </c>
      <c r="I391" s="12"/>
      <c r="J391" s="13">
        <f t="shared" si="12"/>
        <v>0.16617333333333334</v>
      </c>
      <c r="L391" t="str">
        <f t="shared" si="13"/>
        <v>20.c.ps.170.677  - Golisano Children's Museum of Naples  $24926</v>
      </c>
    </row>
    <row r="392" spans="1:12" ht="15.75" x14ac:dyDescent="0.25">
      <c r="A392" s="15">
        <v>390</v>
      </c>
      <c r="B392" s="15" t="s">
        <v>833</v>
      </c>
      <c r="C392" s="15" t="s">
        <v>834</v>
      </c>
      <c r="D392" s="15" t="s">
        <v>39</v>
      </c>
      <c r="E392" s="16">
        <v>25000</v>
      </c>
      <c r="F392" s="15">
        <v>87.713999999999999</v>
      </c>
      <c r="G392" s="16">
        <v>25000</v>
      </c>
      <c r="H392" s="11">
        <f>'First Calculations'!P391</f>
        <v>4167</v>
      </c>
      <c r="I392" s="12"/>
      <c r="J392" s="13">
        <f t="shared" si="12"/>
        <v>0.16667999999999999</v>
      </c>
      <c r="L392" t="str">
        <f t="shared" si="13"/>
        <v>20.c.ps.114.082  - Blue Planet International Explorers' Bazaar &amp; Writers' Room, Inc.  $4167</v>
      </c>
    </row>
    <row r="393" spans="1:12" ht="15.75" x14ac:dyDescent="0.25">
      <c r="A393" s="15">
        <v>391</v>
      </c>
      <c r="B393" s="15" t="s">
        <v>835</v>
      </c>
      <c r="C393" s="15" t="s">
        <v>836</v>
      </c>
      <c r="D393" s="15" t="s">
        <v>67</v>
      </c>
      <c r="E393" s="16">
        <v>40000</v>
      </c>
      <c r="F393" s="15">
        <v>87.713999999999999</v>
      </c>
      <c r="G393" s="16">
        <v>40000</v>
      </c>
      <c r="H393" s="11">
        <f>'First Calculations'!P392</f>
        <v>6658</v>
      </c>
      <c r="I393" s="12"/>
      <c r="J393" s="13">
        <f t="shared" si="12"/>
        <v>0.16644999999999999</v>
      </c>
      <c r="L393" t="str">
        <f t="shared" si="13"/>
        <v>20.c.ps.141.192  - Gainesville Little Theater dba Gainesville Community Playhouse  $6658</v>
      </c>
    </row>
    <row r="394" spans="1:12" ht="15.75" x14ac:dyDescent="0.25">
      <c r="A394" s="15">
        <v>392</v>
      </c>
      <c r="B394" s="15" t="s">
        <v>837</v>
      </c>
      <c r="C394" s="15" t="s">
        <v>640</v>
      </c>
      <c r="D394" s="15" t="s">
        <v>28</v>
      </c>
      <c r="E394" s="16">
        <v>150000</v>
      </c>
      <c r="F394" s="15">
        <v>87.667000000000002</v>
      </c>
      <c r="G394" s="16">
        <v>150000</v>
      </c>
      <c r="H394" s="11">
        <f>'First Calculations'!P393</f>
        <v>24913</v>
      </c>
      <c r="I394" s="12"/>
      <c r="J394" s="13">
        <f t="shared" si="12"/>
        <v>0.16608666666666666</v>
      </c>
      <c r="L394" t="str">
        <f t="shared" si="13"/>
        <v>20.c.ps.170.211  - The Florida International University Board of Trustees  $24913</v>
      </c>
    </row>
    <row r="395" spans="1:12" ht="15.75" x14ac:dyDescent="0.25">
      <c r="A395" s="15">
        <v>393</v>
      </c>
      <c r="B395" s="15" t="s">
        <v>838</v>
      </c>
      <c r="C395" s="15" t="s">
        <v>839</v>
      </c>
      <c r="D395" s="15" t="s">
        <v>73</v>
      </c>
      <c r="E395" s="16">
        <v>42153</v>
      </c>
      <c r="F395" s="15">
        <v>87.6</v>
      </c>
      <c r="G395" s="16">
        <v>42153</v>
      </c>
      <c r="H395" s="11">
        <f>'First Calculations'!P394</f>
        <v>7006</v>
      </c>
      <c r="I395" s="12"/>
      <c r="J395" s="13">
        <f t="shared" si="12"/>
        <v>0.16620406614001376</v>
      </c>
      <c r="L395" t="str">
        <f t="shared" si="13"/>
        <v>20.c.ps.105.121  - Ormond Memorial Art Museum, Inc.  $7006</v>
      </c>
    </row>
    <row r="396" spans="1:12" ht="15.75" x14ac:dyDescent="0.25">
      <c r="A396" s="15">
        <v>394</v>
      </c>
      <c r="B396" s="15" t="s">
        <v>840</v>
      </c>
      <c r="C396" s="15" t="s">
        <v>841</v>
      </c>
      <c r="D396" s="15" t="s">
        <v>28</v>
      </c>
      <c r="E396" s="16">
        <v>23250</v>
      </c>
      <c r="F396" s="15">
        <v>87.4</v>
      </c>
      <c r="G396" s="16">
        <v>23250</v>
      </c>
      <c r="H396" s="11">
        <f>'First Calculations'!P395</f>
        <v>3862</v>
      </c>
      <c r="I396" s="12"/>
      <c r="J396" s="13">
        <f t="shared" si="12"/>
        <v>0.16610752688172042</v>
      </c>
      <c r="L396" t="str">
        <f t="shared" si="13"/>
        <v>20.c.ps.102.019  - South Florida Youth Symphony, Inc.  $3862</v>
      </c>
    </row>
    <row r="397" spans="1:12" ht="15.75" x14ac:dyDescent="0.25">
      <c r="A397" s="15">
        <v>395</v>
      </c>
      <c r="B397" s="15" t="s">
        <v>842</v>
      </c>
      <c r="C397" s="15" t="s">
        <v>843</v>
      </c>
      <c r="D397" s="15" t="s">
        <v>87</v>
      </c>
      <c r="E397" s="16">
        <v>150000</v>
      </c>
      <c r="F397" s="15">
        <v>87.332999999999998</v>
      </c>
      <c r="G397" s="16">
        <v>150000</v>
      </c>
      <c r="H397" s="11">
        <f>'First Calculations'!P396</f>
        <v>24818</v>
      </c>
      <c r="I397" s="12"/>
      <c r="J397" s="13">
        <f t="shared" si="12"/>
        <v>0.16545333333333334</v>
      </c>
      <c r="L397" t="str">
        <f t="shared" si="13"/>
        <v>20.c.ps.170.335  - City of Orlando  $24818</v>
      </c>
    </row>
    <row r="398" spans="1:12" ht="15.75" x14ac:dyDescent="0.25">
      <c r="A398" s="15">
        <v>396</v>
      </c>
      <c r="B398" s="15" t="s">
        <v>844</v>
      </c>
      <c r="C398" s="15" t="s">
        <v>845</v>
      </c>
      <c r="D398" s="15" t="s">
        <v>28</v>
      </c>
      <c r="E398" s="16">
        <v>94000</v>
      </c>
      <c r="F398" s="15">
        <v>87.332999999999998</v>
      </c>
      <c r="G398" s="16">
        <v>94000</v>
      </c>
      <c r="H398" s="11">
        <f>'First Calculations'!P397</f>
        <v>15558</v>
      </c>
      <c r="I398" s="12"/>
      <c r="J398" s="13">
        <f t="shared" si="12"/>
        <v>0.16551063829787235</v>
      </c>
      <c r="L398" t="str">
        <f t="shared" si="13"/>
        <v>20.c.ps.101.368  - Arts Ballet Theatre of Florida, Inc.  $15558</v>
      </c>
    </row>
    <row r="399" spans="1:12" ht="15.75" x14ac:dyDescent="0.25">
      <c r="A399" s="15">
        <v>397</v>
      </c>
      <c r="B399" s="15" t="s">
        <v>846</v>
      </c>
      <c r="C399" s="15" t="s">
        <v>847</v>
      </c>
      <c r="D399" s="15" t="s">
        <v>73</v>
      </c>
      <c r="E399" s="16">
        <v>25000</v>
      </c>
      <c r="F399" s="15">
        <v>87.332999999999998</v>
      </c>
      <c r="G399" s="16">
        <v>25000</v>
      </c>
      <c r="H399" s="11">
        <f>'First Calculations'!P398</f>
        <v>4149</v>
      </c>
      <c r="I399" s="12"/>
      <c r="J399" s="13">
        <f t="shared" si="12"/>
        <v>0.16596</v>
      </c>
      <c r="L399" t="str">
        <f t="shared" si="13"/>
        <v>20.c.ps.170.119  - Ormond Beach Historical Society, Inc.  $4149</v>
      </c>
    </row>
    <row r="400" spans="1:12" ht="15.75" x14ac:dyDescent="0.25">
      <c r="A400" s="15">
        <v>398</v>
      </c>
      <c r="B400" s="15" t="s">
        <v>848</v>
      </c>
      <c r="C400" s="15" t="s">
        <v>849</v>
      </c>
      <c r="D400" s="15" t="s">
        <v>33</v>
      </c>
      <c r="E400" s="16">
        <v>49400</v>
      </c>
      <c r="F400" s="15">
        <v>87.332999999999998</v>
      </c>
      <c r="G400" s="16">
        <v>49400</v>
      </c>
      <c r="H400" s="11">
        <f>'First Calculations'!P399</f>
        <v>8183</v>
      </c>
      <c r="I400" s="12"/>
      <c r="J400" s="13">
        <f t="shared" si="12"/>
        <v>0.16564777327935223</v>
      </c>
      <c r="L400" t="str">
        <f t="shared" si="13"/>
        <v>20.c.ps.180.072  - Sarasota Concert Association, Inc.  $8183</v>
      </c>
    </row>
    <row r="401" spans="1:12" ht="15.75" x14ac:dyDescent="0.25">
      <c r="A401" s="15">
        <v>399</v>
      </c>
      <c r="B401" s="15" t="s">
        <v>850</v>
      </c>
      <c r="C401" s="15" t="s">
        <v>851</v>
      </c>
      <c r="D401" s="15" t="s">
        <v>28</v>
      </c>
      <c r="E401" s="16">
        <v>40000</v>
      </c>
      <c r="F401" s="15">
        <v>87.25</v>
      </c>
      <c r="G401" s="16">
        <v>40000</v>
      </c>
      <c r="H401" s="11">
        <f>'First Calculations'!P400</f>
        <v>6623</v>
      </c>
      <c r="I401" s="12"/>
      <c r="J401" s="13">
        <f t="shared" si="12"/>
        <v>0.165575</v>
      </c>
      <c r="L401" t="str">
        <f t="shared" si="13"/>
        <v>20.c.ps.109.213  - Florida Film Institute, Inc.  $6623</v>
      </c>
    </row>
    <row r="402" spans="1:12" ht="15.75" x14ac:dyDescent="0.25">
      <c r="A402" s="15">
        <v>400</v>
      </c>
      <c r="B402" s="15" t="s">
        <v>852</v>
      </c>
      <c r="C402" s="15" t="s">
        <v>853</v>
      </c>
      <c r="D402" s="15" t="s">
        <v>73</v>
      </c>
      <c r="E402" s="16">
        <v>25000</v>
      </c>
      <c r="F402" s="15">
        <v>87.25</v>
      </c>
      <c r="G402" s="16">
        <v>25000</v>
      </c>
      <c r="H402" s="11">
        <f>'First Calculations'!P401</f>
        <v>4145</v>
      </c>
      <c r="I402" s="12"/>
      <c r="J402" s="13">
        <f t="shared" si="12"/>
        <v>0.1658</v>
      </c>
      <c r="L402" t="str">
        <f t="shared" si="13"/>
        <v>20.c.ps.109.797  - Cinematique of Daytona, Inc.   $4145</v>
      </c>
    </row>
    <row r="403" spans="1:12" ht="15.75" x14ac:dyDescent="0.25">
      <c r="A403" s="15">
        <v>401</v>
      </c>
      <c r="B403" s="15" t="s">
        <v>854</v>
      </c>
      <c r="C403" s="15" t="s">
        <v>855</v>
      </c>
      <c r="D403" s="15" t="s">
        <v>73</v>
      </c>
      <c r="E403" s="16">
        <v>12871</v>
      </c>
      <c r="F403" s="15">
        <v>87.167000000000002</v>
      </c>
      <c r="G403" s="16">
        <v>12871</v>
      </c>
      <c r="H403" s="11">
        <f>'First Calculations'!P402</f>
        <v>2139</v>
      </c>
      <c r="I403" s="12"/>
      <c r="J403" s="13">
        <f t="shared" si="12"/>
        <v>0.16618755341465311</v>
      </c>
      <c r="L403" t="str">
        <f t="shared" si="13"/>
        <v>20.c.ps.170.099  - DeLand Naval Air Station Museum, Inc.  $2139</v>
      </c>
    </row>
    <row r="404" spans="1:12" ht="15.75" x14ac:dyDescent="0.25">
      <c r="A404" s="15">
        <v>402</v>
      </c>
      <c r="B404" s="15" t="s">
        <v>856</v>
      </c>
      <c r="C404" s="15" t="s">
        <v>857</v>
      </c>
      <c r="D404" s="15" t="s">
        <v>115</v>
      </c>
      <c r="E404" s="16">
        <v>46063</v>
      </c>
      <c r="F404" s="15">
        <v>87.167000000000002</v>
      </c>
      <c r="G404" s="16">
        <v>46063</v>
      </c>
      <c r="H404" s="11">
        <f>'First Calculations'!P403</f>
        <v>7617</v>
      </c>
      <c r="I404" s="12"/>
      <c r="J404" s="13">
        <f t="shared" si="12"/>
        <v>0.16536048455376332</v>
      </c>
      <c r="L404" t="str">
        <f t="shared" si="13"/>
        <v>20.c.ps.170.196  - John Gilmore Center for African American History and Culture  $7617</v>
      </c>
    </row>
    <row r="405" spans="1:12" ht="15.75" x14ac:dyDescent="0.25">
      <c r="A405" s="15">
        <v>403</v>
      </c>
      <c r="B405" s="15" t="s">
        <v>858</v>
      </c>
      <c r="C405" s="15" t="s">
        <v>859</v>
      </c>
      <c r="D405" s="15" t="s">
        <v>136</v>
      </c>
      <c r="E405" s="16">
        <v>87571</v>
      </c>
      <c r="F405" s="15">
        <v>87.143000000000001</v>
      </c>
      <c r="G405" s="16">
        <v>87571</v>
      </c>
      <c r="H405" s="11">
        <f>'First Calculations'!P404</f>
        <v>14464</v>
      </c>
      <c r="I405" s="12"/>
      <c r="J405" s="13">
        <f t="shared" si="12"/>
        <v>0.16516883443148989</v>
      </c>
      <c r="L405" t="str">
        <f t="shared" si="13"/>
        <v>20.c.ps.170.476  - Florida Air Museum, Inc.  $14464</v>
      </c>
    </row>
    <row r="406" spans="1:12" ht="15.75" x14ac:dyDescent="0.25">
      <c r="A406" s="15">
        <v>404</v>
      </c>
      <c r="B406" s="15" t="s">
        <v>860</v>
      </c>
      <c r="C406" s="15" t="s">
        <v>861</v>
      </c>
      <c r="D406" s="15" t="s">
        <v>50</v>
      </c>
      <c r="E406" s="16">
        <v>40000</v>
      </c>
      <c r="F406" s="15">
        <v>87.143000000000001</v>
      </c>
      <c r="G406" s="16">
        <v>40000</v>
      </c>
      <c r="H406" s="11">
        <f>'First Calculations'!P405</f>
        <v>6615</v>
      </c>
      <c r="I406" s="12"/>
      <c r="J406" s="13">
        <f t="shared" si="12"/>
        <v>0.16537499999999999</v>
      </c>
      <c r="L406" t="str">
        <f t="shared" si="13"/>
        <v>20.c.ps.114.400  - Don't Miss A Beat, Inc.  $6615</v>
      </c>
    </row>
    <row r="407" spans="1:12" ht="15.75" x14ac:dyDescent="0.25">
      <c r="A407" s="15">
        <v>405</v>
      </c>
      <c r="B407" s="15" t="s">
        <v>862</v>
      </c>
      <c r="C407" s="15" t="s">
        <v>863</v>
      </c>
      <c r="D407" s="15" t="s">
        <v>133</v>
      </c>
      <c r="E407" s="16">
        <v>38000</v>
      </c>
      <c r="F407" s="15">
        <v>87</v>
      </c>
      <c r="G407" s="16">
        <v>38000</v>
      </c>
      <c r="H407" s="11">
        <f>'First Calculations'!P406</f>
        <v>6274</v>
      </c>
      <c r="I407" s="12"/>
      <c r="J407" s="13">
        <f t="shared" si="12"/>
        <v>0.16510526315789473</v>
      </c>
      <c r="L407" t="str">
        <f t="shared" si="13"/>
        <v>20.c.ps.105.415  - Southern Atelier, Inc.  $6274</v>
      </c>
    </row>
    <row r="408" spans="1:12" ht="15.75" x14ac:dyDescent="0.25">
      <c r="A408" s="15">
        <v>406</v>
      </c>
      <c r="B408" s="15" t="s">
        <v>864</v>
      </c>
      <c r="C408" s="15" t="s">
        <v>865</v>
      </c>
      <c r="D408" s="15" t="s">
        <v>28</v>
      </c>
      <c r="E408" s="16">
        <v>69532</v>
      </c>
      <c r="F408" s="15">
        <v>87</v>
      </c>
      <c r="G408" s="16">
        <v>69532</v>
      </c>
      <c r="H408" s="11">
        <f>'First Calculations'!P407</f>
        <v>11468</v>
      </c>
      <c r="I408" s="12"/>
      <c r="J408" s="13">
        <f t="shared" si="12"/>
        <v>0.16493125467410688</v>
      </c>
      <c r="L408" t="str">
        <f t="shared" si="13"/>
        <v>20.c.ps.109.680  - Miami Dade College Foundation, Inc.  $11468</v>
      </c>
    </row>
    <row r="409" spans="1:12" ht="15.75" x14ac:dyDescent="0.25">
      <c r="A409" s="15">
        <v>407</v>
      </c>
      <c r="B409" s="15" t="s">
        <v>866</v>
      </c>
      <c r="C409" s="15" t="s">
        <v>867</v>
      </c>
      <c r="D409" s="15" t="s">
        <v>28</v>
      </c>
      <c r="E409" s="16">
        <v>40000</v>
      </c>
      <c r="F409" s="15">
        <v>87</v>
      </c>
      <c r="G409" s="16">
        <v>40000</v>
      </c>
      <c r="H409" s="11">
        <f>'First Calculations'!P408</f>
        <v>6604</v>
      </c>
      <c r="I409" s="12"/>
      <c r="J409" s="13">
        <f t="shared" si="12"/>
        <v>0.1651</v>
      </c>
      <c r="L409" t="str">
        <f t="shared" si="13"/>
        <v>20.c.ps.102.362  - Miami Lyric Opera, Inc.  $6604</v>
      </c>
    </row>
    <row r="410" spans="1:12" ht="15.75" x14ac:dyDescent="0.25">
      <c r="A410" s="15">
        <v>408</v>
      </c>
      <c r="B410" s="15" t="s">
        <v>868</v>
      </c>
      <c r="C410" s="15" t="s">
        <v>869</v>
      </c>
      <c r="D410" s="15" t="s">
        <v>102</v>
      </c>
      <c r="E410" s="16">
        <v>75000</v>
      </c>
      <c r="F410" s="15">
        <v>87</v>
      </c>
      <c r="G410" s="16">
        <v>75000</v>
      </c>
      <c r="H410" s="11">
        <f>'First Calculations'!P409</f>
        <v>12369</v>
      </c>
      <c r="I410" s="12"/>
      <c r="J410" s="13">
        <f t="shared" si="12"/>
        <v>0.16492000000000001</v>
      </c>
      <c r="L410" t="str">
        <f t="shared" si="13"/>
        <v>20.c.ps.101.662  - Ballet Pensacola, Inc.  $12369</v>
      </c>
    </row>
    <row r="411" spans="1:12" ht="15.75" x14ac:dyDescent="0.25">
      <c r="A411" s="15">
        <v>409</v>
      </c>
      <c r="B411" s="15" t="s">
        <v>870</v>
      </c>
      <c r="C411" s="15" t="s">
        <v>871</v>
      </c>
      <c r="D411" s="15" t="s">
        <v>80</v>
      </c>
      <c r="E411" s="16">
        <v>80000</v>
      </c>
      <c r="F411" s="15">
        <v>87</v>
      </c>
      <c r="G411" s="16">
        <v>80000</v>
      </c>
      <c r="H411" s="11">
        <f>'First Calculations'!P410</f>
        <v>13193</v>
      </c>
      <c r="I411" s="12"/>
      <c r="J411" s="13">
        <f t="shared" si="12"/>
        <v>0.16491249999999999</v>
      </c>
      <c r="L411" t="str">
        <f t="shared" si="13"/>
        <v>20.c.ps.500.632  - Creative Pinellas, Incorporated  $13193</v>
      </c>
    </row>
    <row r="412" spans="1:12" ht="15.75" x14ac:dyDescent="0.25">
      <c r="A412" s="15">
        <v>410</v>
      </c>
      <c r="B412" s="15" t="s">
        <v>872</v>
      </c>
      <c r="C412" s="15" t="s">
        <v>873</v>
      </c>
      <c r="D412" s="15" t="s">
        <v>64</v>
      </c>
      <c r="E412" s="16">
        <v>15000</v>
      </c>
      <c r="F412" s="15">
        <v>87</v>
      </c>
      <c r="G412" s="16">
        <v>15000</v>
      </c>
      <c r="H412" s="11">
        <f>'First Calculations'!P411</f>
        <v>2486</v>
      </c>
      <c r="I412" s="12"/>
      <c r="J412" s="13">
        <f t="shared" si="12"/>
        <v>0.16573333333333334</v>
      </c>
      <c r="L412" t="str">
        <f t="shared" si="13"/>
        <v>20.c.ps.102.077  - Naples Concert Band  $2486</v>
      </c>
    </row>
    <row r="413" spans="1:12" ht="15.75" x14ac:dyDescent="0.25">
      <c r="A413" s="15">
        <v>411</v>
      </c>
      <c r="B413" s="15" t="s">
        <v>874</v>
      </c>
      <c r="C413" s="15" t="s">
        <v>875</v>
      </c>
      <c r="D413" s="15" t="s">
        <v>73</v>
      </c>
      <c r="E413" s="16">
        <v>43200</v>
      </c>
      <c r="F413" s="15">
        <v>87</v>
      </c>
      <c r="G413" s="16">
        <v>43200</v>
      </c>
      <c r="H413" s="11">
        <f>'First Calculations'!P412</f>
        <v>7131</v>
      </c>
      <c r="I413" s="12"/>
      <c r="J413" s="13">
        <f t="shared" si="12"/>
        <v>0.16506944444444444</v>
      </c>
      <c r="L413" t="str">
        <f t="shared" si="13"/>
        <v>20.c.ps.114.230  - Gateway Center for the Arts, Inc.  $7131</v>
      </c>
    </row>
    <row r="414" spans="1:12" ht="15.75" x14ac:dyDescent="0.25">
      <c r="A414" s="15">
        <v>412</v>
      </c>
      <c r="B414" s="15" t="s">
        <v>876</v>
      </c>
      <c r="C414" s="15" t="s">
        <v>877</v>
      </c>
      <c r="D414" s="15" t="s">
        <v>28</v>
      </c>
      <c r="E414" s="16">
        <v>22000</v>
      </c>
      <c r="F414" s="15">
        <v>87</v>
      </c>
      <c r="G414" s="16">
        <v>22000</v>
      </c>
      <c r="H414" s="11">
        <f>'First Calculations'!P413</f>
        <v>3639</v>
      </c>
      <c r="I414" s="12"/>
      <c r="J414" s="13">
        <f t="shared" si="12"/>
        <v>0.16540909090909092</v>
      </c>
      <c r="L414" t="str">
        <f t="shared" si="13"/>
        <v>20.c.ps.109.494  - Miami Short Film Festival  $3639</v>
      </c>
    </row>
    <row r="415" spans="1:12" ht="15.75" x14ac:dyDescent="0.25">
      <c r="A415" s="15">
        <v>413</v>
      </c>
      <c r="B415" s="15" t="s">
        <v>878</v>
      </c>
      <c r="C415" s="15" t="s">
        <v>879</v>
      </c>
      <c r="D415" s="15" t="s">
        <v>73</v>
      </c>
      <c r="E415" s="16">
        <v>114361</v>
      </c>
      <c r="F415" s="15">
        <v>86.856999999999999</v>
      </c>
      <c r="G415" s="16">
        <v>114361</v>
      </c>
      <c r="H415" s="11">
        <f>'First Calculations'!P414</f>
        <v>18822</v>
      </c>
      <c r="I415" s="12"/>
      <c r="J415" s="13">
        <f t="shared" si="12"/>
        <v>0.16458408023714377</v>
      </c>
      <c r="L415" t="str">
        <f t="shared" si="13"/>
        <v>20.c.ps.170.112  - The Museum of Art, Deland, Florida, Inc.  $18822</v>
      </c>
    </row>
    <row r="416" spans="1:12" ht="25.5" x14ac:dyDescent="0.25">
      <c r="A416" s="15">
        <v>414</v>
      </c>
      <c r="B416" s="15" t="s">
        <v>880</v>
      </c>
      <c r="C416" s="15" t="s">
        <v>881</v>
      </c>
      <c r="D416" s="15" t="s">
        <v>57</v>
      </c>
      <c r="E416" s="16">
        <v>1500</v>
      </c>
      <c r="F416" s="15">
        <v>86.832999999999998</v>
      </c>
      <c r="G416" s="16">
        <v>1500</v>
      </c>
      <c r="H416" s="11">
        <f>'First Calculations'!P415</f>
        <v>1000</v>
      </c>
      <c r="I416" s="12"/>
      <c r="J416" s="13">
        <f t="shared" si="12"/>
        <v>0.66666666666666663</v>
      </c>
      <c r="L416" t="str">
        <f t="shared" si="13"/>
        <v>20.c.ps.180.514  - Thornhill Foundation for the Arts  $1000</v>
      </c>
    </row>
    <row r="417" spans="1:12" ht="15.75" x14ac:dyDescent="0.25">
      <c r="A417" s="15">
        <v>415</v>
      </c>
      <c r="B417" s="15" t="s">
        <v>882</v>
      </c>
      <c r="C417" s="15" t="s">
        <v>883</v>
      </c>
      <c r="D417" s="15" t="s">
        <v>28</v>
      </c>
      <c r="E417" s="16">
        <v>50000</v>
      </c>
      <c r="F417" s="15">
        <v>86.832999999999998</v>
      </c>
      <c r="G417" s="16">
        <v>50000</v>
      </c>
      <c r="H417" s="11">
        <f>'First Calculations'!P416</f>
        <v>8235</v>
      </c>
      <c r="I417" s="12"/>
      <c r="J417" s="13">
        <f t="shared" si="12"/>
        <v>0.16470000000000001</v>
      </c>
      <c r="L417" t="str">
        <f t="shared" si="13"/>
        <v>20.c.ps.180.499  - Miami Hispanic Ballet Corp.  $8235</v>
      </c>
    </row>
    <row r="418" spans="1:12" ht="15.75" x14ac:dyDescent="0.25">
      <c r="A418" s="15">
        <v>416</v>
      </c>
      <c r="B418" s="15" t="s">
        <v>884</v>
      </c>
      <c r="C418" s="15" t="s">
        <v>217</v>
      </c>
      <c r="D418" s="15" t="s">
        <v>28</v>
      </c>
      <c r="E418" s="16">
        <v>150000</v>
      </c>
      <c r="F418" s="15">
        <v>86.75</v>
      </c>
      <c r="G418" s="16">
        <v>150000</v>
      </c>
      <c r="H418" s="11">
        <f>'First Calculations'!P417</f>
        <v>24652</v>
      </c>
      <c r="I418" s="12"/>
      <c r="J418" s="13">
        <f t="shared" si="12"/>
        <v>0.16434666666666667</v>
      </c>
      <c r="L418" t="str">
        <f t="shared" si="13"/>
        <v>20.c.ps.109.676  - Miami Dade College  $24652</v>
      </c>
    </row>
    <row r="419" spans="1:12" ht="15.75" x14ac:dyDescent="0.25">
      <c r="A419" s="15">
        <v>417</v>
      </c>
      <c r="B419" s="15" t="s">
        <v>885</v>
      </c>
      <c r="C419" s="15" t="s">
        <v>886</v>
      </c>
      <c r="D419" s="15" t="s">
        <v>39</v>
      </c>
      <c r="E419" s="16">
        <v>104570</v>
      </c>
      <c r="F419" s="15">
        <v>86.713999999999999</v>
      </c>
      <c r="G419" s="16">
        <v>104570</v>
      </c>
      <c r="H419" s="11">
        <f>'First Calculations'!P418</f>
        <v>17183</v>
      </c>
      <c r="I419" s="12"/>
      <c r="J419" s="13">
        <f t="shared" si="12"/>
        <v>0.1643205508271971</v>
      </c>
      <c r="L419" t="str">
        <f t="shared" si="13"/>
        <v>20.c.ps.170.686  - Historical Society of Palm Beach County  $17183</v>
      </c>
    </row>
    <row r="420" spans="1:12" ht="25.5" x14ac:dyDescent="0.25">
      <c r="A420" s="15">
        <v>418</v>
      </c>
      <c r="B420" s="15" t="s">
        <v>887</v>
      </c>
      <c r="C420" s="15" t="s">
        <v>888</v>
      </c>
      <c r="D420" s="15" t="s">
        <v>57</v>
      </c>
      <c r="E420" s="16">
        <v>150000</v>
      </c>
      <c r="F420" s="15">
        <v>86.667000000000002</v>
      </c>
      <c r="G420" s="16">
        <v>150000</v>
      </c>
      <c r="H420" s="11">
        <f>'First Calculations'!P419</f>
        <v>24629</v>
      </c>
      <c r="I420" s="12"/>
      <c r="J420" s="13">
        <f t="shared" si="12"/>
        <v>0.16419333333333333</v>
      </c>
      <c r="L420" t="str">
        <f t="shared" si="13"/>
        <v>20.c.ps.170.650  - Museum of Science &amp; Industry, Inc.  $24629</v>
      </c>
    </row>
    <row r="421" spans="1:12" ht="15.75" x14ac:dyDescent="0.25">
      <c r="A421" s="15">
        <v>419</v>
      </c>
      <c r="B421" s="15" t="s">
        <v>889</v>
      </c>
      <c r="C421" s="15" t="s">
        <v>890</v>
      </c>
      <c r="D421" s="15" t="s">
        <v>28</v>
      </c>
      <c r="E421" s="16">
        <v>140000</v>
      </c>
      <c r="F421" s="15">
        <v>86.625</v>
      </c>
      <c r="G421" s="16">
        <v>140000</v>
      </c>
      <c r="H421" s="11">
        <f>'First Calculations'!P420</f>
        <v>22977</v>
      </c>
      <c r="I421" s="12"/>
      <c r="J421" s="13">
        <f t="shared" si="12"/>
        <v>0.16412142857142858</v>
      </c>
      <c r="L421" t="str">
        <f t="shared" si="13"/>
        <v>20.c.ps.102.061  - The Miami Symphony Orchestra/Orquesta Sinfonica De Miami, Inc.  $22977</v>
      </c>
    </row>
    <row r="422" spans="1:12" ht="15.75" x14ac:dyDescent="0.25">
      <c r="A422" s="15">
        <v>420</v>
      </c>
      <c r="B422" s="15" t="s">
        <v>891</v>
      </c>
      <c r="C422" s="15" t="s">
        <v>892</v>
      </c>
      <c r="D422" s="15" t="s">
        <v>28</v>
      </c>
      <c r="E422" s="16">
        <v>54500</v>
      </c>
      <c r="F422" s="15">
        <v>86.332999999999998</v>
      </c>
      <c r="G422" s="16">
        <v>54500</v>
      </c>
      <c r="H422" s="11">
        <f>'First Calculations'!P421</f>
        <v>8923</v>
      </c>
      <c r="I422" s="12"/>
      <c r="J422" s="13">
        <f t="shared" si="12"/>
        <v>0.16372477064220184</v>
      </c>
      <c r="L422" t="str">
        <f t="shared" si="13"/>
        <v>20.c.ps.180.531  - Michael-Ann Russell Jewish Community Center, Inc.  $8923</v>
      </c>
    </row>
    <row r="423" spans="1:12" ht="15.75" x14ac:dyDescent="0.25">
      <c r="A423" s="15">
        <v>421</v>
      </c>
      <c r="B423" s="15" t="s">
        <v>893</v>
      </c>
      <c r="C423" s="15" t="s">
        <v>894</v>
      </c>
      <c r="D423" s="15" t="s">
        <v>39</v>
      </c>
      <c r="E423" s="16">
        <v>150000</v>
      </c>
      <c r="F423" s="15">
        <v>86.286000000000001</v>
      </c>
      <c r="G423" s="16">
        <v>150000</v>
      </c>
      <c r="H423" s="11">
        <f>'First Calculations'!P422</f>
        <v>24521</v>
      </c>
      <c r="I423" s="12"/>
      <c r="J423" s="13">
        <f t="shared" si="12"/>
        <v>0.16347333333333333</v>
      </c>
      <c r="L423" t="str">
        <f t="shared" si="13"/>
        <v>20.c.ps.114.711  - Old School Square Center for the Arts, Inc.  $24521</v>
      </c>
    </row>
    <row r="424" spans="1:12" ht="15.75" x14ac:dyDescent="0.25">
      <c r="A424" s="15">
        <v>422</v>
      </c>
      <c r="B424" s="15" t="s">
        <v>895</v>
      </c>
      <c r="C424" s="15" t="s">
        <v>896</v>
      </c>
      <c r="D424" s="15" t="s">
        <v>33</v>
      </c>
      <c r="E424" s="16">
        <v>62000</v>
      </c>
      <c r="F424" s="15">
        <v>86.286000000000001</v>
      </c>
      <c r="G424" s="16">
        <v>62000</v>
      </c>
      <c r="H424" s="11">
        <f>'First Calculations'!P423</f>
        <v>10144</v>
      </c>
      <c r="I424" s="12"/>
      <c r="J424" s="13">
        <f t="shared" si="12"/>
        <v>0.16361290322580646</v>
      </c>
      <c r="L424" t="str">
        <f t="shared" si="13"/>
        <v>20.c.ps.170.673  - Gulf Coast Heritage Association, Inc.  $10144</v>
      </c>
    </row>
    <row r="425" spans="1:12" ht="25.5" x14ac:dyDescent="0.25">
      <c r="A425" s="15">
        <v>423</v>
      </c>
      <c r="B425" s="15" t="s">
        <v>897</v>
      </c>
      <c r="C425" s="15" t="s">
        <v>898</v>
      </c>
      <c r="D425" s="15" t="s">
        <v>57</v>
      </c>
      <c r="E425" s="16">
        <v>20500</v>
      </c>
      <c r="F425" s="15">
        <v>86.167000000000002</v>
      </c>
      <c r="G425" s="16">
        <v>20500</v>
      </c>
      <c r="H425" s="11">
        <f>'First Calculations'!P424</f>
        <v>3359</v>
      </c>
      <c r="I425" s="12"/>
      <c r="J425" s="13">
        <f t="shared" si="12"/>
        <v>0.16385365853658537</v>
      </c>
      <c r="L425" t="str">
        <f t="shared" si="13"/>
        <v>20.c.ps.600.373  - Florida Dance Association, Inc.  $3359</v>
      </c>
    </row>
    <row r="426" spans="1:12" ht="15.75" x14ac:dyDescent="0.25">
      <c r="A426" s="15">
        <v>424</v>
      </c>
      <c r="B426" s="15" t="s">
        <v>899</v>
      </c>
      <c r="C426" s="15" t="s">
        <v>900</v>
      </c>
      <c r="D426" s="15" t="s">
        <v>715</v>
      </c>
      <c r="E426" s="16">
        <v>107000</v>
      </c>
      <c r="F426" s="15">
        <v>86.167000000000002</v>
      </c>
      <c r="G426" s="16">
        <v>107000</v>
      </c>
      <c r="H426" s="11">
        <f>'First Calculations'!P425</f>
        <v>17471</v>
      </c>
      <c r="I426" s="12"/>
      <c r="J426" s="13">
        <f t="shared" si="12"/>
        <v>0.16328037383177571</v>
      </c>
      <c r="L426" t="str">
        <f t="shared" si="13"/>
        <v>20.c.ps.500.553  - Bay Arts Alliance, Inc.  $17471</v>
      </c>
    </row>
    <row r="427" spans="1:12" ht="15.75" x14ac:dyDescent="0.25">
      <c r="A427" s="15">
        <v>425</v>
      </c>
      <c r="B427" s="15" t="s">
        <v>901</v>
      </c>
      <c r="C427" s="15" t="s">
        <v>902</v>
      </c>
      <c r="D427" s="15" t="s">
        <v>287</v>
      </c>
      <c r="E427" s="16">
        <v>25000</v>
      </c>
      <c r="F427" s="15">
        <v>86.143000000000001</v>
      </c>
      <c r="G427" s="16">
        <v>25000</v>
      </c>
      <c r="H427" s="11">
        <f>'First Calculations'!P426</f>
        <v>4092</v>
      </c>
      <c r="I427" s="12"/>
      <c r="J427" s="13">
        <f t="shared" si="12"/>
        <v>0.16367999999999999</v>
      </c>
      <c r="L427" t="str">
        <f t="shared" si="13"/>
        <v>20.c.ps.170.456  - Florida Keys Land &amp; Sea Trust, Inc.  $4092</v>
      </c>
    </row>
    <row r="428" spans="1:12" ht="15.75" x14ac:dyDescent="0.25">
      <c r="A428" s="15">
        <v>426</v>
      </c>
      <c r="B428" s="15" t="s">
        <v>903</v>
      </c>
      <c r="C428" s="15" t="s">
        <v>904</v>
      </c>
      <c r="D428" s="15" t="s">
        <v>28</v>
      </c>
      <c r="E428" s="16">
        <v>25000</v>
      </c>
      <c r="F428" s="15">
        <v>86.143000000000001</v>
      </c>
      <c r="G428" s="16">
        <v>25000</v>
      </c>
      <c r="H428" s="11">
        <f>'First Calculations'!P427</f>
        <v>4092</v>
      </c>
      <c r="I428" s="12"/>
      <c r="J428" s="13">
        <f t="shared" si="12"/>
        <v>0.16367999999999999</v>
      </c>
      <c r="L428" t="str">
        <f t="shared" si="13"/>
        <v>20.c.ps.114.442  - 4Ward Miami, Inc.  $4092</v>
      </c>
    </row>
    <row r="429" spans="1:12" ht="15.75" x14ac:dyDescent="0.25">
      <c r="A429" s="15">
        <v>427</v>
      </c>
      <c r="B429" s="15" t="s">
        <v>905</v>
      </c>
      <c r="C429" s="15" t="s">
        <v>906</v>
      </c>
      <c r="D429" s="15" t="s">
        <v>39</v>
      </c>
      <c r="E429" s="16">
        <v>20500</v>
      </c>
      <c r="F429" s="15">
        <v>86</v>
      </c>
      <c r="G429" s="16">
        <v>20500</v>
      </c>
      <c r="H429" s="11">
        <f>'First Calculations'!P428</f>
        <v>3353</v>
      </c>
      <c r="I429" s="12"/>
      <c r="J429" s="13">
        <f t="shared" si="12"/>
        <v>0.1635609756097561</v>
      </c>
      <c r="L429" t="str">
        <f t="shared" si="13"/>
        <v>20.c.ps.170.649  - Boynton Cultural Centre, Inc.  $3353</v>
      </c>
    </row>
    <row r="430" spans="1:12" ht="15.75" x14ac:dyDescent="0.25">
      <c r="A430" s="15">
        <v>428</v>
      </c>
      <c r="B430" s="15" t="s">
        <v>907</v>
      </c>
      <c r="C430" s="15" t="s">
        <v>908</v>
      </c>
      <c r="D430" s="15" t="s">
        <v>909</v>
      </c>
      <c r="E430" s="16">
        <v>40000</v>
      </c>
      <c r="F430" s="15">
        <v>86</v>
      </c>
      <c r="G430" s="16">
        <v>40000</v>
      </c>
      <c r="H430" s="11">
        <f>'First Calculations'!P429</f>
        <v>6528</v>
      </c>
      <c r="I430" s="12"/>
      <c r="J430" s="13">
        <f t="shared" si="12"/>
        <v>0.16320000000000001</v>
      </c>
      <c r="L430" t="str">
        <f t="shared" si="13"/>
        <v>20.c.ps.141.440  - Orange Park Community Theatre, Inc.  $6528</v>
      </c>
    </row>
    <row r="431" spans="1:12" ht="15.75" x14ac:dyDescent="0.25">
      <c r="A431" s="15">
        <v>429</v>
      </c>
      <c r="B431" s="15" t="s">
        <v>910</v>
      </c>
      <c r="C431" s="15" t="s">
        <v>911</v>
      </c>
      <c r="D431" s="15" t="s">
        <v>115</v>
      </c>
      <c r="E431" s="16">
        <v>24400</v>
      </c>
      <c r="F431" s="15">
        <v>86</v>
      </c>
      <c r="G431" s="16">
        <v>24400</v>
      </c>
      <c r="H431" s="11">
        <f>'First Calculations'!P430</f>
        <v>3988</v>
      </c>
      <c r="I431" s="12"/>
      <c r="J431" s="13">
        <f t="shared" si="12"/>
        <v>0.16344262295081968</v>
      </c>
      <c r="L431" t="str">
        <f t="shared" si="13"/>
        <v>20.c.ps.180.197  - Springtime Tallahassee Festival, Inc.  $3988</v>
      </c>
    </row>
    <row r="432" spans="1:12" ht="15.75" x14ac:dyDescent="0.25">
      <c r="A432" s="15">
        <v>430</v>
      </c>
      <c r="B432" s="15" t="s">
        <v>912</v>
      </c>
      <c r="C432" s="15" t="s">
        <v>913</v>
      </c>
      <c r="D432" s="15" t="s">
        <v>715</v>
      </c>
      <c r="E432" s="16">
        <v>57137</v>
      </c>
      <c r="F432" s="15">
        <v>86</v>
      </c>
      <c r="G432" s="16">
        <v>57137</v>
      </c>
      <c r="H432" s="11">
        <f>'First Calculations'!P431</f>
        <v>9319</v>
      </c>
      <c r="I432" s="12"/>
      <c r="J432" s="13">
        <f t="shared" si="12"/>
        <v>0.16309921766981114</v>
      </c>
      <c r="L432" t="str">
        <f t="shared" si="13"/>
        <v>20.c.ps.114.516  - Martin Theatre, Inc.  $9319</v>
      </c>
    </row>
    <row r="433" spans="1:12" ht="15.75" x14ac:dyDescent="0.25">
      <c r="A433" s="15">
        <v>431</v>
      </c>
      <c r="B433" s="15" t="s">
        <v>914</v>
      </c>
      <c r="C433" s="15" t="s">
        <v>915</v>
      </c>
      <c r="D433" s="15" t="s">
        <v>39</v>
      </c>
      <c r="E433" s="16">
        <v>150000</v>
      </c>
      <c r="F433" s="15">
        <v>85.875</v>
      </c>
      <c r="G433" s="16">
        <v>150000</v>
      </c>
      <c r="H433" s="11">
        <f>'First Calculations'!P432</f>
        <v>24404</v>
      </c>
      <c r="I433" s="12"/>
      <c r="J433" s="13">
        <f t="shared" si="12"/>
        <v>0.16269333333333333</v>
      </c>
      <c r="L433" t="str">
        <f t="shared" si="13"/>
        <v>20.c.ps.102.522  - The Palm Beach Symphony Society, Inc.  $24404</v>
      </c>
    </row>
    <row r="434" spans="1:12" ht="15.75" x14ac:dyDescent="0.25">
      <c r="A434" s="15">
        <v>432</v>
      </c>
      <c r="B434" s="15" t="s">
        <v>916</v>
      </c>
      <c r="C434" s="15" t="s">
        <v>917</v>
      </c>
      <c r="D434" s="15" t="s">
        <v>28</v>
      </c>
      <c r="E434" s="16">
        <v>40000</v>
      </c>
      <c r="F434" s="15">
        <v>85.856999999999999</v>
      </c>
      <c r="G434" s="16">
        <v>40000</v>
      </c>
      <c r="H434" s="11">
        <f>'First Calculations'!P433</f>
        <v>6517</v>
      </c>
      <c r="I434" s="12"/>
      <c r="J434" s="13">
        <f t="shared" si="12"/>
        <v>0.16292499999999999</v>
      </c>
      <c r="L434" t="str">
        <f t="shared" si="13"/>
        <v>20.c.ps.114.055  - TL Tango Lovers Organization, Inc.  $6517</v>
      </c>
    </row>
    <row r="435" spans="1:12" ht="15.75" x14ac:dyDescent="0.25">
      <c r="A435" s="15">
        <v>433</v>
      </c>
      <c r="B435" s="15" t="s">
        <v>918</v>
      </c>
      <c r="C435" s="15" t="s">
        <v>919</v>
      </c>
      <c r="D435" s="15" t="s">
        <v>287</v>
      </c>
      <c r="E435" s="16">
        <v>24825</v>
      </c>
      <c r="F435" s="15">
        <v>85.713999999999999</v>
      </c>
      <c r="G435" s="16">
        <v>24825</v>
      </c>
      <c r="H435" s="11">
        <f>'First Calculations'!P434</f>
        <v>4044</v>
      </c>
      <c r="I435" s="12"/>
      <c r="J435" s="13">
        <f t="shared" si="12"/>
        <v>0.16290030211480364</v>
      </c>
      <c r="L435" t="str">
        <f t="shared" si="13"/>
        <v>20.c.ps.170.760  - Florida Keys History of Diving Museum, Inc.  $4044</v>
      </c>
    </row>
    <row r="436" spans="1:12" ht="15.75" x14ac:dyDescent="0.25">
      <c r="A436" s="15">
        <v>434</v>
      </c>
      <c r="B436" s="15" t="s">
        <v>920</v>
      </c>
      <c r="C436" s="15" t="s">
        <v>921</v>
      </c>
      <c r="D436" s="15" t="s">
        <v>87</v>
      </c>
      <c r="E436" s="16">
        <v>40967</v>
      </c>
      <c r="F436" s="15">
        <v>85.667000000000002</v>
      </c>
      <c r="G436" s="16">
        <v>40967</v>
      </c>
      <c r="H436" s="11">
        <f>'First Calculations'!P435</f>
        <v>6660</v>
      </c>
      <c r="I436" s="12"/>
      <c r="J436" s="13">
        <f t="shared" si="12"/>
        <v>0.16256987331266629</v>
      </c>
      <c r="L436" t="str">
        <f t="shared" si="13"/>
        <v>20.c.ps.600.060  - Florida Alliance for Arts Education, Inc.  $6660</v>
      </c>
    </row>
    <row r="437" spans="1:12" ht="15.75" x14ac:dyDescent="0.25">
      <c r="A437" s="15">
        <v>435</v>
      </c>
      <c r="B437" s="15" t="s">
        <v>922</v>
      </c>
      <c r="C437" s="15" t="s">
        <v>923</v>
      </c>
      <c r="D437" s="15" t="s">
        <v>28</v>
      </c>
      <c r="E437" s="16">
        <v>125000</v>
      </c>
      <c r="F437" s="15">
        <v>85.570999999999998</v>
      </c>
      <c r="G437" s="16">
        <v>125000</v>
      </c>
      <c r="H437" s="11">
        <f>'First Calculations'!P436</f>
        <v>20267</v>
      </c>
      <c r="I437" s="12"/>
      <c r="J437" s="13">
        <f t="shared" si="12"/>
        <v>0.162136</v>
      </c>
      <c r="L437" t="str">
        <f t="shared" si="13"/>
        <v>20.c.ps.114.187  - City of Homestead  $20267</v>
      </c>
    </row>
    <row r="438" spans="1:12" ht="15.75" x14ac:dyDescent="0.25">
      <c r="A438" s="15">
        <v>436</v>
      </c>
      <c r="B438" s="15" t="s">
        <v>924</v>
      </c>
      <c r="C438" s="15" t="s">
        <v>925</v>
      </c>
      <c r="D438" s="15" t="s">
        <v>28</v>
      </c>
      <c r="E438" s="16">
        <v>11500</v>
      </c>
      <c r="F438" s="15">
        <v>85.570999999999998</v>
      </c>
      <c r="G438" s="16">
        <v>11500</v>
      </c>
      <c r="H438" s="11">
        <f>'First Calculations'!P437</f>
        <v>1878</v>
      </c>
      <c r="I438" s="12"/>
      <c r="J438" s="13">
        <f t="shared" si="12"/>
        <v>0.16330434782608697</v>
      </c>
      <c r="L438" t="str">
        <f t="shared" si="13"/>
        <v>20.c.ps.114.053  - Academia de las Luminarias de las Bellas Artes, Inc.   $1878</v>
      </c>
    </row>
    <row r="439" spans="1:12" ht="15.75" x14ac:dyDescent="0.25">
      <c r="A439" s="15">
        <v>437</v>
      </c>
      <c r="B439" s="15" t="s">
        <v>926</v>
      </c>
      <c r="C439" s="15" t="s">
        <v>927</v>
      </c>
      <c r="D439" s="15" t="s">
        <v>172</v>
      </c>
      <c r="E439" s="16">
        <v>124725</v>
      </c>
      <c r="F439" s="15">
        <v>85.429000000000002</v>
      </c>
      <c r="G439" s="16">
        <v>124725</v>
      </c>
      <c r="H439" s="11">
        <f>'First Calculations'!P438</f>
        <v>20189</v>
      </c>
      <c r="I439" s="12"/>
      <c r="J439" s="13">
        <f t="shared" si="12"/>
        <v>0.16186810984165165</v>
      </c>
      <c r="L439" t="str">
        <f t="shared" si="13"/>
        <v>20.c.ps.170.261  - McKee Botanical Garden, Inc.  $20189</v>
      </c>
    </row>
    <row r="440" spans="1:12" ht="15.75" x14ac:dyDescent="0.25">
      <c r="A440" s="15">
        <v>438</v>
      </c>
      <c r="B440" s="15" t="s">
        <v>928</v>
      </c>
      <c r="C440" s="15" t="s">
        <v>929</v>
      </c>
      <c r="D440" s="15" t="s">
        <v>95</v>
      </c>
      <c r="E440" s="16">
        <v>15825</v>
      </c>
      <c r="F440" s="15">
        <v>85.429000000000002</v>
      </c>
      <c r="G440" s="16">
        <v>15825</v>
      </c>
      <c r="H440" s="11">
        <f>'First Calculations'!P439</f>
        <v>2575</v>
      </c>
      <c r="I440" s="12"/>
      <c r="J440" s="13">
        <f t="shared" si="12"/>
        <v>0.1627172195892575</v>
      </c>
      <c r="L440" t="str">
        <f t="shared" si="13"/>
        <v>20.c.ps.114.202  - Arts Alive Nassau, Inc.  $2575</v>
      </c>
    </row>
    <row r="441" spans="1:12" ht="15.75" x14ac:dyDescent="0.25">
      <c r="A441" s="15">
        <v>439</v>
      </c>
      <c r="B441" s="15" t="s">
        <v>930</v>
      </c>
      <c r="C441" s="15" t="s">
        <v>931</v>
      </c>
      <c r="D441" s="15" t="s">
        <v>73</v>
      </c>
      <c r="E441" s="16">
        <v>40000</v>
      </c>
      <c r="F441" s="15">
        <v>85.429000000000002</v>
      </c>
      <c r="G441" s="16">
        <v>40000</v>
      </c>
      <c r="H441" s="11">
        <f>'First Calculations'!P440</f>
        <v>6485</v>
      </c>
      <c r="I441" s="12"/>
      <c r="J441" s="13">
        <f t="shared" si="12"/>
        <v>0.16212499999999999</v>
      </c>
      <c r="L441" t="str">
        <f t="shared" si="13"/>
        <v>20.c.ps.114.102  - Deland Fall Festival of the Arts, Inc.  $6485</v>
      </c>
    </row>
    <row r="442" spans="1:12" ht="15.75" x14ac:dyDescent="0.25">
      <c r="A442" s="15">
        <v>440</v>
      </c>
      <c r="B442" s="15" t="s">
        <v>932</v>
      </c>
      <c r="C442" s="15" t="s">
        <v>933</v>
      </c>
      <c r="D442" s="15" t="s">
        <v>95</v>
      </c>
      <c r="E442" s="16">
        <v>20711</v>
      </c>
      <c r="F442" s="15">
        <v>85.332999999999998</v>
      </c>
      <c r="G442" s="16">
        <v>20711</v>
      </c>
      <c r="H442" s="11">
        <f>'First Calculations'!P441</f>
        <v>3361</v>
      </c>
      <c r="I442" s="12"/>
      <c r="J442" s="13">
        <f t="shared" si="12"/>
        <v>0.1622809135242142</v>
      </c>
      <c r="L442" t="str">
        <f t="shared" si="13"/>
        <v>20.c.ps.180.450  - Les Demerle Amelia Island Jazz Festival, Inc  $3361</v>
      </c>
    </row>
    <row r="443" spans="1:12" ht="15.75" x14ac:dyDescent="0.25">
      <c r="A443" s="15">
        <v>441</v>
      </c>
      <c r="B443" s="15" t="s">
        <v>934</v>
      </c>
      <c r="C443" s="15" t="s">
        <v>935</v>
      </c>
      <c r="D443" s="15" t="s">
        <v>39</v>
      </c>
      <c r="E443" s="16">
        <v>150000</v>
      </c>
      <c r="F443" s="15">
        <v>85.286000000000001</v>
      </c>
      <c r="G443" s="16">
        <v>150000</v>
      </c>
      <c r="H443" s="11">
        <f>'First Calculations'!P442</f>
        <v>24237</v>
      </c>
      <c r="I443" s="12"/>
      <c r="J443" s="13">
        <f t="shared" si="12"/>
        <v>0.16158</v>
      </c>
      <c r="L443" t="str">
        <f t="shared" si="13"/>
        <v>20.c.ps.114.159  - Village of Wellington  $24237</v>
      </c>
    </row>
    <row r="444" spans="1:12" ht="25.5" x14ac:dyDescent="0.25">
      <c r="A444" s="15">
        <v>442</v>
      </c>
      <c r="B444" s="15" t="s">
        <v>936</v>
      </c>
      <c r="C444" s="15" t="s">
        <v>937</v>
      </c>
      <c r="D444" s="15" t="s">
        <v>57</v>
      </c>
      <c r="E444" s="16">
        <v>85000</v>
      </c>
      <c r="F444" s="15">
        <v>85.286000000000001</v>
      </c>
      <c r="G444" s="16">
        <v>85000</v>
      </c>
      <c r="H444" s="11">
        <f>'First Calculations'!P443</f>
        <v>13740</v>
      </c>
      <c r="I444" s="12"/>
      <c r="J444" s="13">
        <f t="shared" si="12"/>
        <v>0.16164705882352942</v>
      </c>
      <c r="L444" t="str">
        <f t="shared" si="13"/>
        <v>20.c.ps.114.371  - Friends of Carrollwood Cultural Center, Inc.  $13740</v>
      </c>
    </row>
    <row r="445" spans="1:12" ht="15.75" x14ac:dyDescent="0.25">
      <c r="A445" s="15">
        <v>443</v>
      </c>
      <c r="B445" s="15" t="s">
        <v>938</v>
      </c>
      <c r="C445" s="15" t="s">
        <v>939</v>
      </c>
      <c r="D445" s="15" t="s">
        <v>90</v>
      </c>
      <c r="E445" s="16">
        <v>64600</v>
      </c>
      <c r="F445" s="15">
        <v>85.143000000000001</v>
      </c>
      <c r="G445" s="16">
        <v>64600</v>
      </c>
      <c r="H445" s="11">
        <f>'First Calculations'!P444</f>
        <v>10429</v>
      </c>
      <c r="I445" s="12"/>
      <c r="J445" s="13">
        <f t="shared" si="12"/>
        <v>0.16143962848297214</v>
      </c>
      <c r="L445" t="str">
        <f t="shared" si="13"/>
        <v>20.c.ps.170.448  - Valiant Air Command, Inc.  $10429</v>
      </c>
    </row>
    <row r="446" spans="1:12" ht="15.75" x14ac:dyDescent="0.25">
      <c r="A446" s="15">
        <v>444</v>
      </c>
      <c r="B446" s="15" t="s">
        <v>940</v>
      </c>
      <c r="C446" s="15" t="s">
        <v>941</v>
      </c>
      <c r="D446" s="15" t="s">
        <v>593</v>
      </c>
      <c r="E446" s="16">
        <v>120000</v>
      </c>
      <c r="F446" s="15">
        <v>84.832999999999998</v>
      </c>
      <c r="G446" s="16">
        <v>120000</v>
      </c>
      <c r="H446" s="11">
        <f>'First Calculations'!P445</f>
        <v>19289</v>
      </c>
      <c r="I446" s="12"/>
      <c r="J446" s="13">
        <f t="shared" si="12"/>
        <v>0.16074166666666667</v>
      </c>
      <c r="L446" t="str">
        <f t="shared" si="13"/>
        <v>20.c.ps.500.318  - St. Johns County Cultural Council, Inc.  $19289</v>
      </c>
    </row>
    <row r="447" spans="1:12" ht="15.75" x14ac:dyDescent="0.25">
      <c r="A447" s="15">
        <v>445</v>
      </c>
      <c r="B447" s="15" t="s">
        <v>942</v>
      </c>
      <c r="C447" s="15" t="s">
        <v>943</v>
      </c>
      <c r="D447" s="15" t="s">
        <v>67</v>
      </c>
      <c r="E447" s="16">
        <v>23550</v>
      </c>
      <c r="F447" s="15">
        <v>84.8</v>
      </c>
      <c r="G447" s="16">
        <v>23550</v>
      </c>
      <c r="H447" s="11">
        <f>'First Calculations'!P446</f>
        <v>3796</v>
      </c>
      <c r="I447" s="12"/>
      <c r="J447" s="13">
        <f t="shared" si="12"/>
        <v>0.16118895966029723</v>
      </c>
      <c r="L447" t="str">
        <f t="shared" si="13"/>
        <v>20.c.ps.105.568  - Gainesville Fine Arts Association, Inc.  $3796</v>
      </c>
    </row>
    <row r="448" spans="1:12" ht="15.75" x14ac:dyDescent="0.25">
      <c r="A448" s="15">
        <v>446</v>
      </c>
      <c r="B448" s="15" t="s">
        <v>944</v>
      </c>
      <c r="C448" s="15" t="s">
        <v>945</v>
      </c>
      <c r="D448" s="15" t="s">
        <v>704</v>
      </c>
      <c r="E448" s="16">
        <v>14500</v>
      </c>
      <c r="F448" s="15">
        <v>84.6</v>
      </c>
      <c r="G448" s="16">
        <v>14500</v>
      </c>
      <c r="H448" s="11">
        <f>'First Calculations'!P447</f>
        <v>2338</v>
      </c>
      <c r="I448" s="12"/>
      <c r="J448" s="13">
        <f t="shared" si="12"/>
        <v>0.16124137931034482</v>
      </c>
      <c r="L448" t="str">
        <f t="shared" si="13"/>
        <v>20.c.ps.102.296  - Treasure Coast Community Singers, Inc.  $2338</v>
      </c>
    </row>
    <row r="449" spans="1:12" ht="15.75" x14ac:dyDescent="0.25">
      <c r="A449" s="15">
        <v>447</v>
      </c>
      <c r="B449" s="15" t="s">
        <v>946</v>
      </c>
      <c r="C449" s="15" t="s">
        <v>947</v>
      </c>
      <c r="D449" s="15" t="s">
        <v>28</v>
      </c>
      <c r="E449" s="16">
        <v>10000</v>
      </c>
      <c r="F449" s="15">
        <v>84.5</v>
      </c>
      <c r="G449" s="16">
        <v>10000</v>
      </c>
      <c r="H449" s="11">
        <f>'First Calculations'!P448</f>
        <v>1615</v>
      </c>
      <c r="I449" s="12"/>
      <c r="J449" s="13">
        <f t="shared" si="12"/>
        <v>0.1615</v>
      </c>
      <c r="L449" t="str">
        <f t="shared" si="13"/>
        <v>20.c.ps.170.772  - Haitian Heritage Museum Corp.  $1615</v>
      </c>
    </row>
    <row r="450" spans="1:12" ht="15.75" x14ac:dyDescent="0.25">
      <c r="A450" s="15">
        <v>448</v>
      </c>
      <c r="B450" s="15" t="s">
        <v>948</v>
      </c>
      <c r="C450" s="15" t="s">
        <v>949</v>
      </c>
      <c r="D450" s="15" t="s">
        <v>64</v>
      </c>
      <c r="E450" s="16">
        <v>90000</v>
      </c>
      <c r="F450" s="15">
        <v>84.5</v>
      </c>
      <c r="G450" s="16">
        <v>90000</v>
      </c>
      <c r="H450" s="11">
        <f>'First Calculations'!P449</f>
        <v>14414</v>
      </c>
      <c r="I450" s="12"/>
      <c r="J450" s="13">
        <f t="shared" ref="J450:J490" si="14">H450/E450</f>
        <v>0.16015555555555555</v>
      </c>
      <c r="L450" t="str">
        <f t="shared" si="13"/>
        <v>20.c.ps.500.266  - United Arts Council of Collier County, Inc.  $14414</v>
      </c>
    </row>
    <row r="451" spans="1:12" ht="15.75" x14ac:dyDescent="0.25">
      <c r="A451" s="15">
        <v>449</v>
      </c>
      <c r="B451" s="15" t="s">
        <v>950</v>
      </c>
      <c r="C451" s="15" t="s">
        <v>951</v>
      </c>
      <c r="D451" s="15" t="s">
        <v>28</v>
      </c>
      <c r="E451" s="16">
        <v>5500</v>
      </c>
      <c r="F451" s="15">
        <v>84.429000000000002</v>
      </c>
      <c r="G451" s="16">
        <v>5500</v>
      </c>
      <c r="H451" s="11">
        <f>'First Calculations'!P450</f>
        <v>1000</v>
      </c>
      <c r="I451" s="12"/>
      <c r="J451" s="13">
        <f t="shared" si="14"/>
        <v>0.18181818181818182</v>
      </c>
      <c r="L451" t="str">
        <f t="shared" si="13"/>
        <v>20.c.ps.114.560  - Algo Nuevo, Incorporated  $1000</v>
      </c>
    </row>
    <row r="452" spans="1:12" ht="15.75" x14ac:dyDescent="0.25">
      <c r="A452" s="15">
        <v>450</v>
      </c>
      <c r="B452" s="15" t="s">
        <v>952</v>
      </c>
      <c r="C452" s="15" t="s">
        <v>953</v>
      </c>
      <c r="D452" s="15" t="s">
        <v>33</v>
      </c>
      <c r="E452" s="16">
        <v>7374</v>
      </c>
      <c r="F452" s="15">
        <v>84.4</v>
      </c>
      <c r="G452" s="16">
        <v>7374</v>
      </c>
      <c r="H452" s="11">
        <f>'First Calculations'!P451</f>
        <v>1193</v>
      </c>
      <c r="I452" s="12"/>
      <c r="J452" s="13">
        <f t="shared" si="14"/>
        <v>0.16178464876593437</v>
      </c>
      <c r="L452" t="str">
        <f t="shared" ref="L452:L490" si="15">B452&amp;" - "&amp;C452&amp;" $"&amp;H452</f>
        <v>20.c.ps.102.578  - ensemblenewSRQ  $1193</v>
      </c>
    </row>
    <row r="453" spans="1:12" ht="15.75" x14ac:dyDescent="0.25">
      <c r="A453" s="15">
        <v>451</v>
      </c>
      <c r="B453" s="15" t="s">
        <v>954</v>
      </c>
      <c r="C453" s="15" t="s">
        <v>955</v>
      </c>
      <c r="D453" s="15" t="s">
        <v>33</v>
      </c>
      <c r="E453" s="16">
        <v>50000</v>
      </c>
      <c r="F453" s="15">
        <v>84.375</v>
      </c>
      <c r="G453" s="16">
        <v>50000</v>
      </c>
      <c r="H453" s="11">
        <f>'First Calculations'!P452</f>
        <v>8003</v>
      </c>
      <c r="I453" s="12"/>
      <c r="J453" s="13">
        <f t="shared" si="14"/>
        <v>0.16006000000000001</v>
      </c>
      <c r="L453" t="str">
        <f t="shared" si="15"/>
        <v>20.c.ps.102.583  - The Venice Symphony, Inc  $8003</v>
      </c>
    </row>
    <row r="454" spans="1:12" ht="15.75" x14ac:dyDescent="0.25">
      <c r="A454" s="15">
        <v>452</v>
      </c>
      <c r="B454" s="15" t="s">
        <v>956</v>
      </c>
      <c r="C454" s="15" t="s">
        <v>957</v>
      </c>
      <c r="D454" s="15" t="s">
        <v>36</v>
      </c>
      <c r="E454" s="16">
        <v>8000</v>
      </c>
      <c r="F454" s="15">
        <v>84.286000000000001</v>
      </c>
      <c r="G454" s="16">
        <v>8000</v>
      </c>
      <c r="H454" s="11">
        <f>'First Calculations'!P453</f>
        <v>1292</v>
      </c>
      <c r="I454" s="12"/>
      <c r="J454" s="13">
        <f t="shared" si="14"/>
        <v>0.1615</v>
      </c>
      <c r="L454" t="str">
        <f t="shared" si="15"/>
        <v>20.c.ps.141.408  - SAMUEL M. AND HELENE SOREF, JEWISH COMMUNITY CENTER, INC.  $1292</v>
      </c>
    </row>
    <row r="455" spans="1:12" ht="15.75" x14ac:dyDescent="0.25">
      <c r="A455" s="15">
        <v>453</v>
      </c>
      <c r="B455" s="15" t="s">
        <v>958</v>
      </c>
      <c r="C455" s="15" t="s">
        <v>959</v>
      </c>
      <c r="D455" s="15" t="s">
        <v>33</v>
      </c>
      <c r="E455" s="16">
        <v>9500</v>
      </c>
      <c r="F455" s="15">
        <v>84</v>
      </c>
      <c r="G455" s="16">
        <v>9500</v>
      </c>
      <c r="H455" s="11">
        <f>'First Calculations'!P454</f>
        <v>1526</v>
      </c>
      <c r="I455" s="12"/>
      <c r="J455" s="13">
        <f t="shared" si="14"/>
        <v>0.16063157894736843</v>
      </c>
      <c r="L455" t="str">
        <f t="shared" si="15"/>
        <v>20.c.ps.102.604  - Venice Chorale, Inc  $1526</v>
      </c>
    </row>
    <row r="456" spans="1:12" ht="15.75" x14ac:dyDescent="0.25">
      <c r="A456" s="15">
        <v>454</v>
      </c>
      <c r="B456" s="15" t="s">
        <v>960</v>
      </c>
      <c r="C456" s="15" t="s">
        <v>961</v>
      </c>
      <c r="D456" s="15" t="s">
        <v>36</v>
      </c>
      <c r="E456" s="16">
        <v>25698</v>
      </c>
      <c r="F456" s="15">
        <v>84</v>
      </c>
      <c r="G456" s="16">
        <v>25698</v>
      </c>
      <c r="H456" s="11">
        <f>'First Calculations'!P455</f>
        <v>4102</v>
      </c>
      <c r="I456" s="12"/>
      <c r="J456" s="13">
        <f t="shared" si="14"/>
        <v>0.15962331698964899</v>
      </c>
      <c r="L456" t="str">
        <f t="shared" si="15"/>
        <v>20.c.ps.170.678  - Deerfield Beach Historical Society Inc  $4102</v>
      </c>
    </row>
    <row r="457" spans="1:12" ht="15.75" x14ac:dyDescent="0.25">
      <c r="A457" s="15">
        <v>455</v>
      </c>
      <c r="B457" s="15" t="s">
        <v>962</v>
      </c>
      <c r="C457" s="15" t="s">
        <v>963</v>
      </c>
      <c r="D457" s="15" t="s">
        <v>28</v>
      </c>
      <c r="E457" s="16">
        <v>40000</v>
      </c>
      <c r="F457" s="15">
        <v>84</v>
      </c>
      <c r="G457" s="16">
        <v>40000</v>
      </c>
      <c r="H457" s="11">
        <f>'First Calculations'!P456</f>
        <v>6377</v>
      </c>
      <c r="I457" s="12"/>
      <c r="J457" s="13">
        <f t="shared" si="14"/>
        <v>0.15942500000000001</v>
      </c>
      <c r="L457" t="str">
        <f t="shared" si="15"/>
        <v>20.c.ps.101.304  - Miami Dance Project, Inc.  $6377</v>
      </c>
    </row>
    <row r="458" spans="1:12" ht="15.75" x14ac:dyDescent="0.25">
      <c r="A458" s="15">
        <v>456</v>
      </c>
      <c r="B458" s="15" t="s">
        <v>964</v>
      </c>
      <c r="C458" s="15" t="s">
        <v>965</v>
      </c>
      <c r="D458" s="15" t="s">
        <v>28</v>
      </c>
      <c r="E458" s="16">
        <v>124170</v>
      </c>
      <c r="F458" s="15">
        <v>83.832999999999998</v>
      </c>
      <c r="G458" s="16">
        <v>124170</v>
      </c>
      <c r="H458" s="11">
        <f>'First Calculations'!P457</f>
        <v>19724</v>
      </c>
      <c r="I458" s="12"/>
      <c r="J458" s="13">
        <f t="shared" si="14"/>
        <v>0.15884674236933236</v>
      </c>
      <c r="L458" t="str">
        <f t="shared" si="15"/>
        <v>20.c.ps.170.223  - Coral Gables Museum, Corp.  $19724</v>
      </c>
    </row>
    <row r="459" spans="1:12" ht="15.75" x14ac:dyDescent="0.25">
      <c r="A459" s="15">
        <v>457</v>
      </c>
      <c r="B459" s="15" t="s">
        <v>966</v>
      </c>
      <c r="C459" s="15" t="s">
        <v>967</v>
      </c>
      <c r="D459" s="15" t="s">
        <v>36</v>
      </c>
      <c r="E459" s="16">
        <v>120000</v>
      </c>
      <c r="F459" s="15">
        <v>83.713999999999999</v>
      </c>
      <c r="G459" s="16">
        <v>120000</v>
      </c>
      <c r="H459" s="11">
        <f>'First Calculations'!P458</f>
        <v>19035</v>
      </c>
      <c r="I459" s="12"/>
      <c r="J459" s="13">
        <f t="shared" si="14"/>
        <v>0.15862499999999999</v>
      </c>
      <c r="L459" t="str">
        <f t="shared" si="15"/>
        <v>20.c.ps.114.658  - City of Oakland Park  $19035</v>
      </c>
    </row>
    <row r="460" spans="1:12" ht="15.75" x14ac:dyDescent="0.25">
      <c r="A460" s="15">
        <v>458</v>
      </c>
      <c r="B460" s="15" t="s">
        <v>968</v>
      </c>
      <c r="C460" s="15" t="s">
        <v>969</v>
      </c>
      <c r="D460" s="15" t="s">
        <v>28</v>
      </c>
      <c r="E460" s="16">
        <v>39000</v>
      </c>
      <c r="F460" s="15">
        <v>83.713999999999999</v>
      </c>
      <c r="G460" s="16">
        <v>39000</v>
      </c>
      <c r="H460" s="11">
        <f>'First Calculations'!P459</f>
        <v>6196</v>
      </c>
      <c r="I460" s="12"/>
      <c r="J460" s="13">
        <f t="shared" si="14"/>
        <v>0.15887179487179487</v>
      </c>
      <c r="L460" t="str">
        <f t="shared" si="15"/>
        <v>20.c.ps.114.253  - Creation Art Center Corporation  $6196</v>
      </c>
    </row>
    <row r="461" spans="1:12" ht="15.75" x14ac:dyDescent="0.25">
      <c r="A461" s="15">
        <v>459</v>
      </c>
      <c r="B461" s="15" t="s">
        <v>970</v>
      </c>
      <c r="C461" s="15" t="s">
        <v>971</v>
      </c>
      <c r="D461" s="15" t="s">
        <v>593</v>
      </c>
      <c r="E461" s="16">
        <v>14929</v>
      </c>
      <c r="F461" s="15">
        <v>83.6</v>
      </c>
      <c r="G461" s="16">
        <v>14929</v>
      </c>
      <c r="H461" s="11">
        <f>'First Calculations'!P460</f>
        <v>2378</v>
      </c>
      <c r="I461" s="12"/>
      <c r="J461" s="13">
        <f t="shared" si="14"/>
        <v>0.15928729318775536</v>
      </c>
      <c r="L461" t="str">
        <f t="shared" si="15"/>
        <v>20.c.ps.102.730  - Florida Chamber Music Project, Inc.  $2378</v>
      </c>
    </row>
    <row r="462" spans="1:12" ht="15.75" x14ac:dyDescent="0.25">
      <c r="A462" s="15">
        <v>460</v>
      </c>
      <c r="B462" s="15" t="s">
        <v>972</v>
      </c>
      <c r="C462" s="15" t="s">
        <v>973</v>
      </c>
      <c r="D462" s="15" t="s">
        <v>28</v>
      </c>
      <c r="E462" s="16">
        <v>35000</v>
      </c>
      <c r="F462" s="15">
        <v>83.570999999999998</v>
      </c>
      <c r="G462" s="16">
        <v>35000</v>
      </c>
      <c r="H462" s="11">
        <f>'First Calculations'!P461</f>
        <v>5553</v>
      </c>
      <c r="I462" s="12"/>
      <c r="J462" s="13">
        <f t="shared" si="14"/>
        <v>0.15865714285714286</v>
      </c>
      <c r="L462" t="str">
        <f t="shared" si="15"/>
        <v>20.c.ps.101.183  - Cuban Classical Ballet of Miami, Inc.  $5553</v>
      </c>
    </row>
    <row r="463" spans="1:12" ht="15.75" x14ac:dyDescent="0.25">
      <c r="A463" s="15">
        <v>461</v>
      </c>
      <c r="B463" s="15" t="s">
        <v>974</v>
      </c>
      <c r="C463" s="15" t="s">
        <v>975</v>
      </c>
      <c r="D463" s="15" t="s">
        <v>28</v>
      </c>
      <c r="E463" s="16">
        <v>95451</v>
      </c>
      <c r="F463" s="15">
        <v>83.5</v>
      </c>
      <c r="G463" s="16">
        <v>95451</v>
      </c>
      <c r="H463" s="11">
        <f>'First Calculations'!P462</f>
        <v>15105</v>
      </c>
      <c r="I463" s="12"/>
      <c r="J463" s="13">
        <f t="shared" si="14"/>
        <v>0.15824873495301253</v>
      </c>
      <c r="L463" t="str">
        <f t="shared" si="15"/>
        <v>20.c.ps.170.221  - Florida International University Foundation, Inc.  $15105</v>
      </c>
    </row>
    <row r="464" spans="1:12" ht="15.75" x14ac:dyDescent="0.25">
      <c r="A464" s="15">
        <v>462</v>
      </c>
      <c r="B464" s="15" t="s">
        <v>976</v>
      </c>
      <c r="C464" s="15" t="s">
        <v>977</v>
      </c>
      <c r="D464" s="15" t="s">
        <v>39</v>
      </c>
      <c r="E464" s="16">
        <v>12900</v>
      </c>
      <c r="F464" s="15">
        <v>83.2</v>
      </c>
      <c r="G464" s="16">
        <v>12900</v>
      </c>
      <c r="H464" s="11">
        <f>'First Calculations'!P463</f>
        <v>2047</v>
      </c>
      <c r="I464" s="12"/>
      <c r="J464" s="13">
        <f t="shared" si="14"/>
        <v>0.15868217054263567</v>
      </c>
      <c r="L464" t="str">
        <f t="shared" si="15"/>
        <v>20.c.ps.102.389  - Delray Beach Chorale, Inc.  $2047</v>
      </c>
    </row>
    <row r="465" spans="1:18" ht="15.75" x14ac:dyDescent="0.25">
      <c r="A465" s="15">
        <v>463</v>
      </c>
      <c r="B465" s="15" t="s">
        <v>978</v>
      </c>
      <c r="C465" s="15" t="s">
        <v>979</v>
      </c>
      <c r="D465" s="15" t="s">
        <v>39</v>
      </c>
      <c r="E465" s="16">
        <v>150000</v>
      </c>
      <c r="F465" s="15">
        <v>83.143000000000001</v>
      </c>
      <c r="G465" s="16">
        <v>150000</v>
      </c>
      <c r="H465" s="11">
        <f>'First Calculations'!P464</f>
        <v>23628</v>
      </c>
      <c r="I465" s="12"/>
      <c r="J465" s="13">
        <f t="shared" si="14"/>
        <v>0.15751999999999999</v>
      </c>
      <c r="L465" t="str">
        <f t="shared" si="15"/>
        <v>20.c.ps.114.587  - Village of Royal Palm Beach  $23628</v>
      </c>
    </row>
    <row r="466" spans="1:18" ht="15.75" x14ac:dyDescent="0.25">
      <c r="A466" s="15">
        <v>464</v>
      </c>
      <c r="B466" s="15" t="s">
        <v>980</v>
      </c>
      <c r="C466" s="15" t="s">
        <v>981</v>
      </c>
      <c r="D466" s="15" t="s">
        <v>28</v>
      </c>
      <c r="E466" s="16">
        <v>4600</v>
      </c>
      <c r="F466" s="15">
        <v>83</v>
      </c>
      <c r="G466" s="16">
        <v>4600</v>
      </c>
      <c r="H466" s="11">
        <f>'First Calculations'!P465</f>
        <v>1000</v>
      </c>
      <c r="I466" s="12"/>
      <c r="J466" s="13">
        <f t="shared" si="14"/>
        <v>0.21739130434782608</v>
      </c>
      <c r="L466" t="str">
        <f t="shared" si="15"/>
        <v>20.c.ps.141.540  - Artmonia Inc.  $1000</v>
      </c>
    </row>
    <row r="467" spans="1:18" ht="15.75" x14ac:dyDescent="0.25">
      <c r="A467" s="15">
        <v>465</v>
      </c>
      <c r="B467" s="15" t="s">
        <v>982</v>
      </c>
      <c r="C467" s="15" t="s">
        <v>983</v>
      </c>
      <c r="D467" s="15" t="s">
        <v>704</v>
      </c>
      <c r="E467" s="16">
        <v>108779</v>
      </c>
      <c r="F467" s="15">
        <v>82.856999999999999</v>
      </c>
      <c r="G467" s="16">
        <v>108779</v>
      </c>
      <c r="H467" s="11">
        <f>'First Calculations'!P466</f>
        <v>17080</v>
      </c>
      <c r="I467" s="12"/>
      <c r="J467" s="13">
        <f t="shared" si="14"/>
        <v>0.15701560043758447</v>
      </c>
      <c r="L467" t="str">
        <f t="shared" si="15"/>
        <v>20.c.ps.170.300  - Historical Society of Martin County, Inc.    $17080</v>
      </c>
    </row>
    <row r="468" spans="1:18" ht="15.75" x14ac:dyDescent="0.25">
      <c r="A468" s="15">
        <v>466</v>
      </c>
      <c r="B468" s="15" t="s">
        <v>984</v>
      </c>
      <c r="C468" s="15" t="s">
        <v>985</v>
      </c>
      <c r="D468" s="15" t="s">
        <v>593</v>
      </c>
      <c r="E468" s="16">
        <v>5000</v>
      </c>
      <c r="F468" s="15">
        <v>82.713999999999999</v>
      </c>
      <c r="G468" s="16">
        <v>5000</v>
      </c>
      <c r="H468" s="11">
        <f>'First Calculations'!P467</f>
        <v>1000</v>
      </c>
      <c r="I468" s="12"/>
      <c r="J468" s="13">
        <f t="shared" si="14"/>
        <v>0.2</v>
      </c>
      <c r="L468" t="str">
        <f t="shared" si="15"/>
        <v>20.c.ps.101.220  - S &amp; L Dance Corporation (DBA The Perla Ballet School)  $1000</v>
      </c>
    </row>
    <row r="469" spans="1:18" ht="15.75" x14ac:dyDescent="0.25">
      <c r="A469" s="15">
        <v>467</v>
      </c>
      <c r="B469" s="15" t="s">
        <v>986</v>
      </c>
      <c r="C469" s="15" t="s">
        <v>987</v>
      </c>
      <c r="D469" s="15" t="s">
        <v>39</v>
      </c>
      <c r="E469" s="16">
        <v>25000</v>
      </c>
      <c r="F469" s="15">
        <v>82.713999999999999</v>
      </c>
      <c r="G469" s="16">
        <v>25000</v>
      </c>
      <c r="H469" s="11">
        <f>'First Calculations'!P468</f>
        <v>3930</v>
      </c>
      <c r="I469" s="12"/>
      <c r="J469" s="13">
        <f t="shared" si="14"/>
        <v>0.15720000000000001</v>
      </c>
      <c r="L469" t="str">
        <f t="shared" si="15"/>
        <v>20.c.ps.114.586  - City of Riviera Beach  $3930</v>
      </c>
    </row>
    <row r="470" spans="1:18" ht="15.75" x14ac:dyDescent="0.25">
      <c r="A470" s="15">
        <v>468</v>
      </c>
      <c r="B470" s="15" t="s">
        <v>988</v>
      </c>
      <c r="C470" s="15" t="s">
        <v>989</v>
      </c>
      <c r="D470" s="15" t="s">
        <v>80</v>
      </c>
      <c r="E470" s="16">
        <v>100850</v>
      </c>
      <c r="F470" s="15">
        <v>82.332999999999998</v>
      </c>
      <c r="G470" s="16">
        <v>100850</v>
      </c>
      <c r="H470" s="11">
        <f>'First Calculations'!P469</f>
        <v>15736</v>
      </c>
      <c r="I470" s="12"/>
      <c r="J470" s="13">
        <f t="shared" si="14"/>
        <v>0.15603371343579572</v>
      </c>
      <c r="L470" t="str">
        <f t="shared" si="15"/>
        <v>20.c.ps.180.353  - Jewish Federation of Pinellas &amp; Pasco Counties, FL, Inc.  $15736</v>
      </c>
    </row>
    <row r="471" spans="1:18" ht="25.5" x14ac:dyDescent="0.25">
      <c r="A471" s="15">
        <v>469</v>
      </c>
      <c r="B471" s="15" t="s">
        <v>990</v>
      </c>
      <c r="C471" s="15" t="s">
        <v>991</v>
      </c>
      <c r="D471" s="15" t="s">
        <v>57</v>
      </c>
      <c r="E471" s="16">
        <v>81600</v>
      </c>
      <c r="F471" s="15">
        <v>82.25</v>
      </c>
      <c r="G471" s="16">
        <v>81600</v>
      </c>
      <c r="H471" s="11">
        <f>'First Calculations'!P470</f>
        <v>12722</v>
      </c>
      <c r="I471" s="12"/>
      <c r="J471" s="13">
        <f t="shared" si="14"/>
        <v>0.15590686274509805</v>
      </c>
      <c r="L471" t="str">
        <f t="shared" si="15"/>
        <v>20.c.ps.109.633  - Tampa Educational Cable Consortium, Inc.  $12722</v>
      </c>
    </row>
    <row r="472" spans="1:18" ht="15.75" x14ac:dyDescent="0.25">
      <c r="A472" s="15">
        <v>470</v>
      </c>
      <c r="B472" s="15" t="s">
        <v>992</v>
      </c>
      <c r="C472" s="15" t="s">
        <v>993</v>
      </c>
      <c r="D472" s="15" t="s">
        <v>28</v>
      </c>
      <c r="E472" s="16">
        <v>12279</v>
      </c>
      <c r="F472" s="15">
        <v>82.2</v>
      </c>
      <c r="G472" s="16">
        <v>12279</v>
      </c>
      <c r="H472" s="11">
        <f>'First Calculations'!P471</f>
        <v>1926</v>
      </c>
      <c r="I472" s="12"/>
      <c r="J472" s="13">
        <f t="shared" si="14"/>
        <v>0.15685316393843146</v>
      </c>
      <c r="L472" t="str">
        <f t="shared" si="15"/>
        <v>20.c.ps.102.620  - Community Arts and Culture, Inc.  $1926</v>
      </c>
    </row>
    <row r="473" spans="1:18" ht="15.75" x14ac:dyDescent="0.25">
      <c r="A473" s="15">
        <v>471</v>
      </c>
      <c r="B473" s="15" t="s">
        <v>994</v>
      </c>
      <c r="C473" s="15" t="s">
        <v>995</v>
      </c>
      <c r="D473" s="15" t="s">
        <v>800</v>
      </c>
      <c r="E473" s="16">
        <v>118500</v>
      </c>
      <c r="F473" s="15">
        <v>82</v>
      </c>
      <c r="G473" s="16">
        <v>118500</v>
      </c>
      <c r="H473" s="11">
        <f>'First Calculations'!P472</f>
        <v>18413</v>
      </c>
      <c r="I473" s="12"/>
      <c r="J473" s="13">
        <f t="shared" si="14"/>
        <v>0.15538396624472575</v>
      </c>
      <c r="L473" t="str">
        <f t="shared" si="15"/>
        <v>20.c.ps.500.172  - Osceola Arts, Inc.  $18413</v>
      </c>
    </row>
    <row r="474" spans="1:18" ht="15.75" x14ac:dyDescent="0.25">
      <c r="A474" s="15">
        <v>472</v>
      </c>
      <c r="B474" s="15" t="s">
        <v>996</v>
      </c>
      <c r="C474" s="15" t="s">
        <v>997</v>
      </c>
      <c r="D474" s="15" t="s">
        <v>998</v>
      </c>
      <c r="E474" s="16">
        <v>19150</v>
      </c>
      <c r="F474" s="15">
        <v>81.832999999999998</v>
      </c>
      <c r="G474" s="16">
        <v>19150</v>
      </c>
      <c r="H474" s="11">
        <f>'First Calculations'!P473</f>
        <v>2982</v>
      </c>
      <c r="I474" s="12"/>
      <c r="J474" s="13">
        <f t="shared" si="14"/>
        <v>0.15571801566579635</v>
      </c>
      <c r="L474" t="str">
        <f t="shared" si="15"/>
        <v>20.c.ps.170.616  - Friends of Chinsegut Hill, Inc  $2982</v>
      </c>
    </row>
    <row r="475" spans="1:18" ht="15.75" x14ac:dyDescent="0.25">
      <c r="A475" s="15">
        <v>473</v>
      </c>
      <c r="B475" s="15" t="s">
        <v>999</v>
      </c>
      <c r="C475" s="15" t="s">
        <v>1000</v>
      </c>
      <c r="D475" s="15" t="s">
        <v>73</v>
      </c>
      <c r="E475" s="16">
        <v>23919</v>
      </c>
      <c r="F475" s="15">
        <v>81.832999999999998</v>
      </c>
      <c r="G475" s="16">
        <v>23919</v>
      </c>
      <c r="H475" s="11">
        <f>'First Calculations'!P474</f>
        <v>3721</v>
      </c>
      <c r="I475" s="12"/>
      <c r="J475" s="13">
        <f t="shared" si="14"/>
        <v>0.15556670429365776</v>
      </c>
      <c r="L475" t="str">
        <f t="shared" si="15"/>
        <v>20.c.ps.170.484  - Halifax Historical Society, Inc.  $3721</v>
      </c>
    </row>
    <row r="476" spans="1:18" ht="15.75" x14ac:dyDescent="0.25">
      <c r="A476" s="15">
        <v>474</v>
      </c>
      <c r="B476" s="15" t="s">
        <v>1001</v>
      </c>
      <c r="C476" s="15" t="s">
        <v>1002</v>
      </c>
      <c r="D476" s="15" t="s">
        <v>80</v>
      </c>
      <c r="E476" s="16">
        <v>150000</v>
      </c>
      <c r="F476" s="15">
        <v>81.625</v>
      </c>
      <c r="G476" s="16">
        <v>150000</v>
      </c>
      <c r="H476" s="11">
        <f>'First Calculations'!P475</f>
        <v>23197</v>
      </c>
      <c r="I476" s="12"/>
      <c r="J476" s="13">
        <f t="shared" si="14"/>
        <v>0.15464666666666665</v>
      </c>
      <c r="L476" t="str">
        <f t="shared" si="15"/>
        <v>20.c.ps.102.222  - The Florida Orchestra, Inc. Non-Compliance  $23197</v>
      </c>
    </row>
    <row r="477" spans="1:18" ht="15.75" x14ac:dyDescent="0.25">
      <c r="A477" s="15">
        <v>475</v>
      </c>
      <c r="B477" s="15" t="s">
        <v>1003</v>
      </c>
      <c r="C477" s="15" t="s">
        <v>1004</v>
      </c>
      <c r="D477" s="15" t="s">
        <v>136</v>
      </c>
      <c r="E477" s="16">
        <v>45000</v>
      </c>
      <c r="F477" s="15">
        <v>81.286000000000001</v>
      </c>
      <c r="G477" s="16">
        <v>45000</v>
      </c>
      <c r="H477" s="11">
        <f>'First Calculations'!P476</f>
        <v>6941</v>
      </c>
      <c r="I477" s="12"/>
      <c r="J477" s="13">
        <f t="shared" si="14"/>
        <v>0.15424444444444443</v>
      </c>
      <c r="L477" t="str">
        <f t="shared" si="15"/>
        <v>20.c.ps.101.744  - Florida Dance Theatre, Inc.  $6941</v>
      </c>
    </row>
    <row r="478" spans="1:18" ht="15.75" x14ac:dyDescent="0.25">
      <c r="A478" s="15">
        <v>476</v>
      </c>
      <c r="B478" s="15" t="s">
        <v>1005</v>
      </c>
      <c r="C478" s="15" t="s">
        <v>1006</v>
      </c>
      <c r="D478" s="15" t="s">
        <v>773</v>
      </c>
      <c r="E478" s="16">
        <v>25000</v>
      </c>
      <c r="F478" s="15">
        <v>81.143000000000001</v>
      </c>
      <c r="G478" s="16">
        <v>25000</v>
      </c>
      <c r="H478" s="11">
        <f>'First Calculations'!P477</f>
        <v>3856</v>
      </c>
      <c r="I478" s="12"/>
      <c r="J478" s="13">
        <f t="shared" si="14"/>
        <v>0.15423999999999999</v>
      </c>
      <c r="L478" t="str">
        <f t="shared" si="15"/>
        <v>20.c.ps.114.157  - City of Clermont  $3856</v>
      </c>
    </row>
    <row r="479" spans="1:18" ht="15.75" x14ac:dyDescent="0.25">
      <c r="A479" s="15">
        <v>477</v>
      </c>
      <c r="B479" s="15" t="s">
        <v>1007</v>
      </c>
      <c r="C479" s="15" t="s">
        <v>1008</v>
      </c>
      <c r="D479" s="15" t="s">
        <v>28</v>
      </c>
      <c r="E479" s="16">
        <v>4000</v>
      </c>
      <c r="F479" s="15">
        <v>81.143000000000001</v>
      </c>
      <c r="G479" s="16">
        <v>4000</v>
      </c>
      <c r="H479" s="11">
        <f>'First Calculations'!P478</f>
        <v>1000</v>
      </c>
      <c r="I479" s="12"/>
      <c r="J479" s="13">
        <f t="shared" si="14"/>
        <v>0.25</v>
      </c>
      <c r="L479" t="str">
        <f t="shared" si="15"/>
        <v>20.c.ps.114.463  - The Cove/Rincon Corp.  $1000</v>
      </c>
    </row>
    <row r="480" spans="1:18" ht="15.75" x14ac:dyDescent="0.25">
      <c r="A480" s="15">
        <v>478</v>
      </c>
      <c r="B480" s="15" t="s">
        <v>1009</v>
      </c>
      <c r="C480" s="15" t="s">
        <v>186</v>
      </c>
      <c r="D480" s="15" t="s">
        <v>67</v>
      </c>
      <c r="E480" s="16">
        <v>150000</v>
      </c>
      <c r="F480" s="15">
        <v>81</v>
      </c>
      <c r="G480" s="16">
        <v>150000</v>
      </c>
      <c r="H480" s="11">
        <f>'First Calculations'!P479</f>
        <v>23019</v>
      </c>
      <c r="I480" s="12"/>
      <c r="J480" s="13">
        <f t="shared" si="14"/>
        <v>0.15346000000000001</v>
      </c>
      <c r="L480" t="str">
        <f t="shared" si="15"/>
        <v>20.c.ps.114.314  - University of Florida   $23019</v>
      </c>
      <c r="R480">
        <f>COUNTIF(E:E,"&gt;'Front Page'!")</f>
        <v>1</v>
      </c>
    </row>
    <row r="481" spans="1:14" ht="15.75" x14ac:dyDescent="0.25">
      <c r="A481" s="15">
        <v>479</v>
      </c>
      <c r="B481" s="15" t="s">
        <v>1010</v>
      </c>
      <c r="C481" s="15" t="s">
        <v>1011</v>
      </c>
      <c r="D481" s="15" t="s">
        <v>28</v>
      </c>
      <c r="E481" s="16">
        <v>37000</v>
      </c>
      <c r="F481" s="15">
        <v>80.75</v>
      </c>
      <c r="G481" s="16">
        <v>37000</v>
      </c>
      <c r="H481" s="11">
        <f>'First Calculations'!P480</f>
        <v>5672</v>
      </c>
      <c r="I481" s="12"/>
      <c r="J481" s="13">
        <f t="shared" si="14"/>
        <v>0.1532972972972973</v>
      </c>
      <c r="L481" t="str">
        <f t="shared" si="15"/>
        <v>20.c.ps.109.409  - IFCM Corp.  $5672</v>
      </c>
    </row>
    <row r="482" spans="1:14" ht="15.75" x14ac:dyDescent="0.25">
      <c r="A482" s="15">
        <v>480</v>
      </c>
      <c r="B482" s="15" t="s">
        <v>1012</v>
      </c>
      <c r="C482" s="15" t="s">
        <v>1013</v>
      </c>
      <c r="D482" s="15" t="s">
        <v>67</v>
      </c>
      <c r="E482" s="16">
        <v>20000</v>
      </c>
      <c r="F482" s="15">
        <v>78.332999999999998</v>
      </c>
      <c r="G482" s="16">
        <v>0</v>
      </c>
      <c r="H482" s="11">
        <f>'First Calculations'!P481</f>
        <v>2981</v>
      </c>
      <c r="I482" s="12"/>
      <c r="J482" s="13">
        <f t="shared" si="14"/>
        <v>0.14904999999999999</v>
      </c>
      <c r="L482" t="str">
        <f t="shared" si="15"/>
        <v>20.c.ps.500.122  - Alachua County Board of County Commissioners  $2981</v>
      </c>
    </row>
    <row r="483" spans="1:14" ht="15.75" x14ac:dyDescent="0.25">
      <c r="A483" s="15">
        <v>481</v>
      </c>
      <c r="B483" s="15" t="s">
        <v>1014</v>
      </c>
      <c r="C483" s="15" t="s">
        <v>1015</v>
      </c>
      <c r="D483" s="15" t="s">
        <v>388</v>
      </c>
      <c r="E483" s="16">
        <v>44060</v>
      </c>
      <c r="F483" s="15">
        <v>78</v>
      </c>
      <c r="G483" s="16">
        <v>0</v>
      </c>
      <c r="H483" s="11">
        <f>'First Calculations'!P482</f>
        <v>6522</v>
      </c>
      <c r="I483" s="12"/>
      <c r="J483" s="13">
        <f t="shared" si="14"/>
        <v>0.14802541988197912</v>
      </c>
      <c r="L483" t="str">
        <f t="shared" si="15"/>
        <v>20.c.ps.500.723  - Arts &amp; Cultural Alliance of St. Lucie Inc.  $6522</v>
      </c>
    </row>
    <row r="484" spans="1:14" ht="15.75" x14ac:dyDescent="0.25">
      <c r="A484" s="15">
        <v>482</v>
      </c>
      <c r="B484" s="15" t="s">
        <v>1016</v>
      </c>
      <c r="C484" s="15" t="s">
        <v>1017</v>
      </c>
      <c r="D484" s="15" t="s">
        <v>28</v>
      </c>
      <c r="E484" s="16">
        <v>14088</v>
      </c>
      <c r="F484" s="15">
        <v>77.8</v>
      </c>
      <c r="G484" s="16">
        <v>0</v>
      </c>
      <c r="H484" s="11">
        <f>'First Calculations'!P483</f>
        <v>2090</v>
      </c>
      <c r="I484" s="12"/>
      <c r="J484" s="13">
        <f t="shared" si="14"/>
        <v>0.14835320840431573</v>
      </c>
      <c r="L484" t="str">
        <f t="shared" si="15"/>
        <v>20.c.ps.102.320  - Alliance for Musical Arts Productions, Inc.  $2090</v>
      </c>
    </row>
    <row r="485" spans="1:14" ht="15.75" x14ac:dyDescent="0.25">
      <c r="A485" s="15">
        <v>483</v>
      </c>
      <c r="B485" s="15" t="s">
        <v>1018</v>
      </c>
      <c r="C485" s="15" t="s">
        <v>1019</v>
      </c>
      <c r="D485" s="15" t="s">
        <v>36</v>
      </c>
      <c r="E485" s="16">
        <v>5300</v>
      </c>
      <c r="F485" s="15">
        <v>77.400000000000006</v>
      </c>
      <c r="G485" s="16">
        <v>0</v>
      </c>
      <c r="H485" s="11">
        <f>'First Calculations'!P484</f>
        <v>1000</v>
      </c>
      <c r="I485" s="12"/>
      <c r="J485" s="13">
        <f t="shared" si="14"/>
        <v>0.18867924528301888</v>
      </c>
      <c r="L485" t="str">
        <f t="shared" si="15"/>
        <v>20.c.ps.102.603  - Brazilian Voices, Inc.  $1000</v>
      </c>
    </row>
    <row r="486" spans="1:14" ht="15.75" x14ac:dyDescent="0.25">
      <c r="A486" s="15">
        <v>484</v>
      </c>
      <c r="B486" s="15" t="s">
        <v>1020</v>
      </c>
      <c r="C486" s="15" t="s">
        <v>1021</v>
      </c>
      <c r="D486" s="15" t="s">
        <v>80</v>
      </c>
      <c r="E486" s="16">
        <v>25000</v>
      </c>
      <c r="F486" s="15">
        <v>77</v>
      </c>
      <c r="G486" s="16">
        <v>0</v>
      </c>
      <c r="H486" s="11">
        <f>'First Calculations'!P485</f>
        <v>3660</v>
      </c>
      <c r="I486" s="12"/>
      <c r="J486" s="13">
        <f t="shared" si="14"/>
        <v>0.1464</v>
      </c>
      <c r="L486" t="str">
        <f t="shared" si="15"/>
        <v>20.c.ps.170.105  - The American Craftsman Museum, Inc.  $3660</v>
      </c>
    </row>
    <row r="487" spans="1:14" ht="15.75" x14ac:dyDescent="0.25">
      <c r="A487" s="15">
        <v>485</v>
      </c>
      <c r="B487" s="15" t="s">
        <v>1022</v>
      </c>
      <c r="C487" s="15" t="s">
        <v>1023</v>
      </c>
      <c r="D487" s="15" t="s">
        <v>28</v>
      </c>
      <c r="E487" s="16">
        <v>20500</v>
      </c>
      <c r="F487" s="15">
        <v>76.570999999999998</v>
      </c>
      <c r="G487" s="16">
        <v>0</v>
      </c>
      <c r="H487" s="11">
        <f>'First Calculations'!P486</f>
        <v>2987</v>
      </c>
      <c r="I487" s="12"/>
      <c r="J487" s="13">
        <f t="shared" si="14"/>
        <v>0.14570731707317072</v>
      </c>
      <c r="L487" t="str">
        <f t="shared" si="15"/>
        <v>20.c.ps.101.639  - Ballet Etudes of South Florida, Inc.  $2987</v>
      </c>
      <c r="N487" s="14"/>
    </row>
    <row r="488" spans="1:14" ht="25.5" x14ac:dyDescent="0.25">
      <c r="A488" s="15">
        <v>486</v>
      </c>
      <c r="B488" s="15" t="s">
        <v>1024</v>
      </c>
      <c r="C488" s="15" t="s">
        <v>1025</v>
      </c>
      <c r="D488" s="15" t="s">
        <v>57</v>
      </c>
      <c r="E488" s="16">
        <v>90000</v>
      </c>
      <c r="F488" s="15">
        <v>71.25</v>
      </c>
      <c r="G488" s="16">
        <v>0</v>
      </c>
      <c r="H488" s="11">
        <f>'First Calculations'!P487</f>
        <v>12156</v>
      </c>
      <c r="I488" s="12"/>
      <c r="J488" s="13">
        <f t="shared" si="14"/>
        <v>0.13506666666666667</v>
      </c>
      <c r="L488" t="str">
        <f t="shared" si="15"/>
        <v>20.c.ps.109.401  - Speak Up Tampa Bay Public Access Television, Inc.  $12156</v>
      </c>
    </row>
    <row r="489" spans="1:14" ht="15.75" x14ac:dyDescent="0.25">
      <c r="A489" s="15">
        <v>487</v>
      </c>
      <c r="B489" s="15" t="s">
        <v>1026</v>
      </c>
      <c r="C489" s="15" t="s">
        <v>1027</v>
      </c>
      <c r="D489" s="15" t="s">
        <v>510</v>
      </c>
      <c r="E489" s="16">
        <v>3000</v>
      </c>
      <c r="F489" s="15">
        <v>70</v>
      </c>
      <c r="G489" s="16">
        <v>0</v>
      </c>
      <c r="H489" s="11">
        <f>'First Calculations'!P488</f>
        <v>1000</v>
      </c>
      <c r="I489" s="12"/>
      <c r="J489" s="13">
        <f t="shared" si="14"/>
        <v>0.33333333333333331</v>
      </c>
      <c r="L489" t="str">
        <f t="shared" si="15"/>
        <v>20.c.ps.102.016  - Choral Arts Society  $1000</v>
      </c>
    </row>
    <row r="490" spans="1:14" ht="25.5" x14ac:dyDescent="0.25">
      <c r="A490" s="15">
        <v>488</v>
      </c>
      <c r="B490" s="15" t="s">
        <v>1028</v>
      </c>
      <c r="C490" s="15" t="s">
        <v>1029</v>
      </c>
      <c r="D490" s="15" t="s">
        <v>57</v>
      </c>
      <c r="E490" s="16">
        <v>5000</v>
      </c>
      <c r="F490" s="15">
        <v>58.832999999999998</v>
      </c>
      <c r="G490" s="16">
        <v>0</v>
      </c>
      <c r="H490" s="11">
        <f>'First Calculations'!P489</f>
        <v>1000</v>
      </c>
      <c r="I490" s="12"/>
      <c r="J490" s="13">
        <f t="shared" si="14"/>
        <v>0.2</v>
      </c>
      <c r="L490" t="str">
        <f t="shared" si="15"/>
        <v>20.c.ps.114.210  - Tampa Bay Juneteenth Coalition  $1000</v>
      </c>
    </row>
    <row r="491" spans="1:14" x14ac:dyDescent="0.25">
      <c r="A491" s="5"/>
      <c r="B491" s="5"/>
      <c r="C491" s="5"/>
      <c r="D491" s="5"/>
      <c r="E491" s="5"/>
      <c r="F491" s="5"/>
    </row>
    <row r="492" spans="1:14" x14ac:dyDescent="0.25">
      <c r="A492" s="5"/>
      <c r="B492" s="5"/>
      <c r="C492" s="5"/>
      <c r="D492" s="5"/>
      <c r="E492" s="5"/>
      <c r="F492" s="5"/>
    </row>
    <row r="493" spans="1:14" x14ac:dyDescent="0.25">
      <c r="A493" s="5"/>
      <c r="B493" s="5"/>
      <c r="C493" s="5"/>
      <c r="D493" s="5"/>
      <c r="E493" s="5"/>
      <c r="F493" s="5"/>
    </row>
    <row r="494" spans="1:14" x14ac:dyDescent="0.25">
      <c r="A494" s="5"/>
      <c r="B494" s="5"/>
      <c r="C494" s="5"/>
      <c r="D494" s="5"/>
      <c r="E494" s="5"/>
      <c r="F494" s="5"/>
    </row>
    <row r="495" spans="1:14" x14ac:dyDescent="0.25">
      <c r="A495" s="5"/>
      <c r="B495" s="5"/>
      <c r="C495" s="5"/>
      <c r="D495" s="5"/>
      <c r="E495" s="5"/>
      <c r="F495" s="5"/>
    </row>
    <row r="496" spans="1:14" x14ac:dyDescent="0.25">
      <c r="A496" s="5"/>
      <c r="B496" s="5"/>
      <c r="C496" s="5"/>
      <c r="D496" s="5"/>
      <c r="E496" s="5"/>
      <c r="F496" s="5"/>
      <c r="J496"/>
    </row>
    <row r="497" spans="1:10" x14ac:dyDescent="0.25">
      <c r="A497" s="5"/>
      <c r="B497" s="5"/>
      <c r="C497" s="5"/>
      <c r="D497" s="5"/>
      <c r="E497" s="5"/>
      <c r="F497" s="5"/>
      <c r="J497"/>
    </row>
    <row r="498" spans="1:10" x14ac:dyDescent="0.25">
      <c r="A498" s="5"/>
      <c r="B498" s="5"/>
      <c r="C498" s="5"/>
      <c r="D498" s="5"/>
      <c r="E498" s="5"/>
      <c r="F498" s="5"/>
      <c r="J498"/>
    </row>
    <row r="499" spans="1:10" x14ac:dyDescent="0.25">
      <c r="A499" s="5"/>
      <c r="B499" s="5"/>
      <c r="C499" s="5"/>
      <c r="D499" s="5"/>
      <c r="E499" s="5"/>
      <c r="F499" s="5"/>
      <c r="J499"/>
    </row>
    <row r="500" spans="1:10" x14ac:dyDescent="0.25">
      <c r="A500" s="5"/>
      <c r="B500" s="5"/>
      <c r="C500" s="5"/>
      <c r="D500" s="5"/>
      <c r="E500" s="5"/>
      <c r="F500" s="5"/>
      <c r="J500"/>
    </row>
    <row r="501" spans="1:10" x14ac:dyDescent="0.25">
      <c r="A501" s="5"/>
      <c r="B501" s="5"/>
      <c r="C501" s="5"/>
      <c r="D501" s="5"/>
      <c r="E501" s="5"/>
      <c r="F501" s="5"/>
      <c r="J501"/>
    </row>
    <row r="502" spans="1:10" x14ac:dyDescent="0.25">
      <c r="A502" s="5"/>
      <c r="B502" s="5"/>
      <c r="C502" s="5"/>
      <c r="D502" s="5"/>
      <c r="E502" s="5"/>
      <c r="F502" s="5"/>
      <c r="J502"/>
    </row>
    <row r="503" spans="1:10" x14ac:dyDescent="0.25">
      <c r="A503" s="5"/>
      <c r="B503" s="5"/>
      <c r="C503" s="5"/>
      <c r="D503" s="5"/>
      <c r="E503" s="5"/>
      <c r="F503" s="5"/>
      <c r="J503"/>
    </row>
    <row r="504" spans="1:10" x14ac:dyDescent="0.25">
      <c r="A504" s="5"/>
      <c r="B504" s="5"/>
      <c r="C504" s="5"/>
      <c r="D504" s="5"/>
      <c r="E504" s="5"/>
      <c r="F504" s="5"/>
      <c r="J504"/>
    </row>
    <row r="505" spans="1:10" x14ac:dyDescent="0.25">
      <c r="A505" s="5"/>
      <c r="B505" s="5"/>
      <c r="C505" s="5"/>
      <c r="D505" s="5"/>
      <c r="E505" s="5"/>
      <c r="F505" s="5"/>
      <c r="J505"/>
    </row>
    <row r="506" spans="1:10" x14ac:dyDescent="0.25">
      <c r="A506" s="5"/>
      <c r="B506" s="5"/>
      <c r="C506" s="5"/>
      <c r="D506" s="5"/>
      <c r="E506" s="5"/>
      <c r="F506" s="5"/>
      <c r="J506"/>
    </row>
    <row r="507" spans="1:10" x14ac:dyDescent="0.25">
      <c r="A507" s="5"/>
      <c r="B507" s="5"/>
      <c r="C507" s="5"/>
      <c r="D507" s="5"/>
      <c r="E507" s="5"/>
      <c r="F507" s="5"/>
      <c r="J507"/>
    </row>
    <row r="508" spans="1:10" x14ac:dyDescent="0.25">
      <c r="A508" s="5"/>
      <c r="B508" s="5"/>
      <c r="C508" s="5"/>
      <c r="D508" s="5"/>
      <c r="E508" s="5"/>
      <c r="F508" s="5"/>
      <c r="J508"/>
    </row>
    <row r="509" spans="1:10" x14ac:dyDescent="0.25">
      <c r="A509" s="5"/>
      <c r="B509" s="5"/>
      <c r="C509" s="5"/>
      <c r="D509" s="5"/>
      <c r="E509" s="5"/>
      <c r="F509" s="5"/>
      <c r="J509"/>
    </row>
    <row r="510" spans="1:10" x14ac:dyDescent="0.25">
      <c r="A510" s="5"/>
      <c r="B510" s="5"/>
      <c r="C510" s="5"/>
      <c r="D510" s="5"/>
      <c r="E510" s="5"/>
      <c r="F510" s="5"/>
      <c r="J510"/>
    </row>
    <row r="511" spans="1:10" x14ac:dyDescent="0.25">
      <c r="A511" s="5"/>
      <c r="B511" s="5"/>
      <c r="C511" s="5"/>
      <c r="D511" s="5"/>
      <c r="E511" s="5"/>
      <c r="F511" s="5"/>
      <c r="J511"/>
    </row>
    <row r="512" spans="1:10" x14ac:dyDescent="0.25">
      <c r="A512" s="5"/>
      <c r="B512" s="5"/>
      <c r="C512" s="5"/>
      <c r="D512" s="5"/>
      <c r="E512" s="5"/>
      <c r="F512" s="5"/>
      <c r="J512"/>
    </row>
    <row r="513" spans="1:10" x14ac:dyDescent="0.25">
      <c r="A513" s="5"/>
      <c r="B513" s="5"/>
      <c r="C513" s="5"/>
      <c r="D513" s="5"/>
      <c r="E513" s="5"/>
      <c r="F513" s="5"/>
      <c r="J513"/>
    </row>
    <row r="514" spans="1:10" x14ac:dyDescent="0.25">
      <c r="A514" s="5"/>
      <c r="B514" s="5"/>
      <c r="C514" s="5"/>
      <c r="D514" s="5"/>
      <c r="E514" s="5"/>
      <c r="F514" s="5"/>
      <c r="J514"/>
    </row>
    <row r="515" spans="1:10" x14ac:dyDescent="0.25">
      <c r="A515" s="5"/>
      <c r="B515" s="5"/>
      <c r="C515" s="5"/>
      <c r="D515" s="5"/>
      <c r="E515" s="5"/>
      <c r="F515" s="5"/>
      <c r="J515"/>
    </row>
    <row r="516" spans="1:10" x14ac:dyDescent="0.25">
      <c r="A516" s="5"/>
      <c r="B516" s="5"/>
      <c r="C516" s="5"/>
      <c r="D516" s="5"/>
      <c r="E516" s="5"/>
      <c r="F516" s="5"/>
      <c r="J516"/>
    </row>
    <row r="517" spans="1:10" x14ac:dyDescent="0.25">
      <c r="A517" s="5"/>
      <c r="B517" s="5"/>
      <c r="C517" s="5"/>
      <c r="D517" s="5"/>
      <c r="E517" s="5"/>
      <c r="F517" s="5"/>
      <c r="J517"/>
    </row>
    <row r="518" spans="1:10" x14ac:dyDescent="0.25">
      <c r="A518" s="5"/>
      <c r="B518" s="5"/>
      <c r="C518" s="5"/>
      <c r="D518" s="5"/>
      <c r="E518" s="5"/>
      <c r="F518" s="5"/>
      <c r="J518"/>
    </row>
    <row r="519" spans="1:10" x14ac:dyDescent="0.25">
      <c r="A519" s="5"/>
      <c r="B519" s="5"/>
      <c r="C519" s="5"/>
      <c r="D519" s="5"/>
      <c r="E519" s="5"/>
      <c r="F519" s="5"/>
      <c r="J519"/>
    </row>
    <row r="520" spans="1:10" x14ac:dyDescent="0.25">
      <c r="A520" s="5"/>
      <c r="B520" s="5"/>
      <c r="C520" s="5"/>
      <c r="D520" s="5"/>
      <c r="E520" s="5"/>
      <c r="F520" s="5"/>
      <c r="J520"/>
    </row>
    <row r="521" spans="1:10" x14ac:dyDescent="0.25">
      <c r="A521" s="5"/>
      <c r="B521" s="5"/>
      <c r="C521" s="5"/>
      <c r="D521" s="5"/>
      <c r="E521" s="5"/>
      <c r="F521" s="5"/>
      <c r="J521"/>
    </row>
    <row r="522" spans="1:10" x14ac:dyDescent="0.25">
      <c r="A522" s="5"/>
      <c r="B522" s="5"/>
      <c r="C522" s="5"/>
      <c r="D522" s="5"/>
      <c r="E522" s="5"/>
      <c r="F522" s="5"/>
      <c r="J522"/>
    </row>
    <row r="523" spans="1:10" x14ac:dyDescent="0.25">
      <c r="A523" s="5"/>
      <c r="B523" s="5"/>
      <c r="C523" s="5"/>
      <c r="D523" s="5"/>
      <c r="E523" s="5"/>
      <c r="F523" s="5"/>
      <c r="J523"/>
    </row>
    <row r="524" spans="1:10" x14ac:dyDescent="0.25">
      <c r="A524" s="5"/>
      <c r="B524" s="5"/>
      <c r="C524" s="5"/>
      <c r="D524" s="5"/>
      <c r="E524" s="5"/>
      <c r="F524" s="5"/>
      <c r="J524"/>
    </row>
    <row r="525" spans="1:10" x14ac:dyDescent="0.25">
      <c r="A525" s="5"/>
      <c r="B525" s="5"/>
      <c r="C525" s="5"/>
      <c r="D525" s="5"/>
      <c r="E525" s="5"/>
      <c r="F525" s="5"/>
      <c r="J525"/>
    </row>
    <row r="526" spans="1:10" x14ac:dyDescent="0.25">
      <c r="A526" s="5"/>
      <c r="B526" s="5"/>
      <c r="C526" s="5"/>
      <c r="D526" s="5"/>
      <c r="E526" s="5"/>
      <c r="F526" s="5"/>
      <c r="J526"/>
    </row>
    <row r="527" spans="1:10" x14ac:dyDescent="0.25">
      <c r="A527" s="5"/>
      <c r="B527" s="5"/>
      <c r="C527" s="5"/>
      <c r="D527" s="5"/>
      <c r="E527" s="5"/>
      <c r="F527" s="5"/>
      <c r="J527"/>
    </row>
    <row r="528" spans="1:10" x14ac:dyDescent="0.25">
      <c r="A528" s="5"/>
      <c r="B528" s="5"/>
      <c r="C528" s="5"/>
      <c r="D528" s="5"/>
      <c r="E528" s="5"/>
      <c r="F528" s="5"/>
      <c r="J528"/>
    </row>
    <row r="529" spans="1:10" x14ac:dyDescent="0.25">
      <c r="A529" s="5"/>
      <c r="B529" s="5"/>
      <c r="C529" s="5"/>
      <c r="D529" s="5"/>
      <c r="E529" s="5"/>
      <c r="F529" s="5"/>
      <c r="J529"/>
    </row>
    <row r="530" spans="1:10" x14ac:dyDescent="0.25">
      <c r="A530" s="5"/>
      <c r="B530" s="5"/>
      <c r="C530" s="5"/>
      <c r="D530" s="5"/>
      <c r="E530" s="5"/>
      <c r="F530" s="5"/>
      <c r="J530"/>
    </row>
    <row r="531" spans="1:10" x14ac:dyDescent="0.25">
      <c r="A531" s="5"/>
      <c r="B531" s="5"/>
      <c r="C531" s="5"/>
      <c r="D531" s="5"/>
      <c r="E531" s="5"/>
      <c r="F531" s="5"/>
      <c r="J531"/>
    </row>
    <row r="532" spans="1:10" x14ac:dyDescent="0.25">
      <c r="A532" s="5"/>
      <c r="B532" s="5"/>
      <c r="C532" s="5"/>
      <c r="D532" s="5"/>
      <c r="E532" s="5"/>
      <c r="F532" s="5"/>
      <c r="J532"/>
    </row>
    <row r="533" spans="1:10" x14ac:dyDescent="0.25">
      <c r="A533" s="5"/>
      <c r="B533" s="5"/>
      <c r="C533" s="5"/>
      <c r="D533" s="5"/>
      <c r="E533" s="5"/>
      <c r="F533" s="5"/>
      <c r="J533"/>
    </row>
    <row r="534" spans="1:10" x14ac:dyDescent="0.25">
      <c r="A534" s="5"/>
      <c r="B534" s="5"/>
      <c r="C534" s="5"/>
      <c r="D534" s="5"/>
      <c r="E534" s="5"/>
      <c r="F534" s="5"/>
      <c r="J534"/>
    </row>
    <row r="535" spans="1:10" x14ac:dyDescent="0.25">
      <c r="A535" s="5"/>
      <c r="B535" s="5"/>
      <c r="C535" s="5"/>
      <c r="D535" s="5"/>
      <c r="E535" s="5"/>
      <c r="F535" s="5"/>
      <c r="J535"/>
    </row>
    <row r="536" spans="1:10" x14ac:dyDescent="0.25">
      <c r="A536" s="5"/>
      <c r="B536" s="5"/>
      <c r="C536" s="5"/>
      <c r="D536" s="5"/>
      <c r="E536" s="5"/>
      <c r="F536" s="5"/>
      <c r="J536"/>
    </row>
    <row r="537" spans="1:10" x14ac:dyDescent="0.25">
      <c r="A537" s="5"/>
      <c r="B537" s="5"/>
      <c r="C537" s="5"/>
      <c r="D537" s="5"/>
      <c r="E537" s="5"/>
      <c r="F537" s="5"/>
      <c r="J537"/>
    </row>
    <row r="538" spans="1:10" x14ac:dyDescent="0.25">
      <c r="A538" s="5"/>
      <c r="B538" s="5"/>
      <c r="C538" s="5"/>
      <c r="D538" s="5"/>
      <c r="E538" s="5"/>
      <c r="F538" s="5"/>
      <c r="J538"/>
    </row>
    <row r="539" spans="1:10" x14ac:dyDescent="0.25">
      <c r="A539" s="5"/>
      <c r="B539" s="5"/>
      <c r="C539" s="5"/>
      <c r="D539" s="5"/>
      <c r="E539" s="5"/>
      <c r="F539" s="5"/>
      <c r="J539"/>
    </row>
    <row r="540" spans="1:10" x14ac:dyDescent="0.25">
      <c r="A540" s="5"/>
      <c r="B540" s="5"/>
      <c r="C540" s="5"/>
      <c r="D540" s="5"/>
      <c r="E540" s="5"/>
      <c r="F540" s="5"/>
      <c r="J540"/>
    </row>
    <row r="541" spans="1:10" x14ac:dyDescent="0.25">
      <c r="A541" s="5"/>
      <c r="B541" s="5"/>
      <c r="C541" s="5"/>
      <c r="D541" s="5"/>
      <c r="E541" s="5"/>
      <c r="F541" s="5"/>
      <c r="J541"/>
    </row>
    <row r="542" spans="1:10" x14ac:dyDescent="0.25">
      <c r="A542" s="5"/>
      <c r="B542" s="5"/>
      <c r="C542" s="5"/>
      <c r="D542" s="5"/>
      <c r="E542" s="5"/>
      <c r="F542" s="5"/>
      <c r="J542"/>
    </row>
    <row r="543" spans="1:10" x14ac:dyDescent="0.25">
      <c r="A543" s="5"/>
      <c r="B543" s="5"/>
      <c r="C543" s="5"/>
      <c r="D543" s="5"/>
      <c r="E543" s="5"/>
      <c r="F543" s="5"/>
      <c r="J543"/>
    </row>
    <row r="544" spans="1:10" x14ac:dyDescent="0.25">
      <c r="A544" s="5"/>
      <c r="B544" s="5"/>
      <c r="C544" s="5"/>
      <c r="D544" s="5"/>
      <c r="E544" s="5"/>
      <c r="F544" s="5"/>
      <c r="J544"/>
    </row>
    <row r="545" spans="1:10" x14ac:dyDescent="0.25">
      <c r="A545" s="5"/>
      <c r="B545" s="5"/>
      <c r="C545" s="5"/>
      <c r="D545" s="5"/>
      <c r="E545" s="5"/>
      <c r="F545" s="5"/>
      <c r="J545"/>
    </row>
    <row r="546" spans="1:10" x14ac:dyDescent="0.25">
      <c r="A546" s="5"/>
      <c r="B546" s="5"/>
      <c r="C546" s="5"/>
      <c r="D546" s="5"/>
      <c r="E546" s="5"/>
      <c r="F546" s="5"/>
      <c r="J546"/>
    </row>
    <row r="547" spans="1:10" x14ac:dyDescent="0.25">
      <c r="A547" s="5"/>
      <c r="B547" s="5"/>
      <c r="C547" s="5"/>
      <c r="D547" s="5"/>
      <c r="E547" s="5"/>
      <c r="F547" s="5"/>
      <c r="J547"/>
    </row>
    <row r="548" spans="1:10" x14ac:dyDescent="0.25">
      <c r="A548" s="5"/>
      <c r="B548" s="5"/>
      <c r="C548" s="5"/>
      <c r="D548" s="5"/>
      <c r="E548" s="5"/>
      <c r="F548" s="5"/>
      <c r="J548"/>
    </row>
    <row r="549" spans="1:10" x14ac:dyDescent="0.25">
      <c r="A549" s="5"/>
      <c r="B549" s="5"/>
      <c r="C549" s="5"/>
      <c r="D549" s="5"/>
      <c r="E549" s="5"/>
      <c r="F549" s="5"/>
      <c r="J549"/>
    </row>
    <row r="550" spans="1:10" x14ac:dyDescent="0.25">
      <c r="A550" s="5"/>
      <c r="B550" s="5"/>
      <c r="C550" s="5"/>
      <c r="D550" s="5"/>
      <c r="E550" s="5"/>
      <c r="F550" s="5"/>
      <c r="J550"/>
    </row>
    <row r="551" spans="1:10" x14ac:dyDescent="0.25">
      <c r="A551" s="5"/>
      <c r="B551" s="5"/>
      <c r="C551" s="5"/>
      <c r="D551" s="5"/>
      <c r="E551" s="5"/>
      <c r="F551" s="5"/>
      <c r="J551"/>
    </row>
    <row r="552" spans="1:10" x14ac:dyDescent="0.25">
      <c r="A552" s="5"/>
      <c r="B552" s="5"/>
      <c r="C552" s="5"/>
      <c r="D552" s="5"/>
      <c r="E552" s="5"/>
      <c r="F552" s="5"/>
      <c r="J552"/>
    </row>
    <row r="553" spans="1:10" x14ac:dyDescent="0.25">
      <c r="A553" s="5"/>
      <c r="B553" s="5"/>
      <c r="C553" s="5"/>
      <c r="D553" s="5"/>
      <c r="E553" s="5"/>
      <c r="F553" s="5"/>
      <c r="J553"/>
    </row>
    <row r="554" spans="1:10" x14ac:dyDescent="0.25">
      <c r="A554" s="5"/>
      <c r="B554" s="5"/>
      <c r="C554" s="5"/>
      <c r="D554" s="5"/>
      <c r="E554" s="5"/>
      <c r="F554" s="5"/>
      <c r="J554"/>
    </row>
    <row r="555" spans="1:10" x14ac:dyDescent="0.25">
      <c r="A555" s="5"/>
      <c r="B555" s="5"/>
      <c r="C555" s="5"/>
      <c r="D555" s="5"/>
      <c r="E555" s="5"/>
      <c r="F555" s="5"/>
      <c r="J555"/>
    </row>
    <row r="556" spans="1:10" x14ac:dyDescent="0.25">
      <c r="A556" s="5"/>
      <c r="B556" s="5"/>
      <c r="C556" s="5"/>
      <c r="D556" s="5"/>
      <c r="E556" s="5"/>
      <c r="F556" s="5"/>
      <c r="J556"/>
    </row>
    <row r="557" spans="1:10" x14ac:dyDescent="0.25">
      <c r="A557" s="5"/>
      <c r="B557" s="5"/>
      <c r="C557" s="5"/>
      <c r="D557" s="5"/>
      <c r="E557" s="5"/>
      <c r="F557" s="5"/>
      <c r="J557"/>
    </row>
    <row r="558" spans="1:10" x14ac:dyDescent="0.25">
      <c r="A558" s="5"/>
      <c r="B558" s="5"/>
      <c r="C558" s="5"/>
      <c r="D558" s="5"/>
      <c r="E558" s="5"/>
      <c r="F558" s="5"/>
      <c r="J558"/>
    </row>
    <row r="559" spans="1:10" x14ac:dyDescent="0.25">
      <c r="A559" s="5"/>
      <c r="B559" s="5"/>
      <c r="C559" s="5"/>
      <c r="D559" s="5"/>
      <c r="E559" s="5"/>
      <c r="F559" s="5"/>
      <c r="J559"/>
    </row>
    <row r="560" spans="1:10" x14ac:dyDescent="0.25">
      <c r="A560" s="5"/>
      <c r="B560" s="5"/>
      <c r="C560" s="5"/>
      <c r="D560" s="5"/>
      <c r="E560" s="5"/>
      <c r="F560" s="5"/>
      <c r="J560"/>
    </row>
    <row r="561" spans="1:10" x14ac:dyDescent="0.25">
      <c r="A561" s="5"/>
      <c r="B561" s="5"/>
      <c r="C561" s="5"/>
      <c r="D561" s="5"/>
      <c r="E561" s="5"/>
      <c r="F561" s="5"/>
      <c r="J561"/>
    </row>
    <row r="562" spans="1:10" x14ac:dyDescent="0.25">
      <c r="A562" s="5"/>
      <c r="B562" s="5"/>
      <c r="C562" s="5"/>
      <c r="D562" s="5"/>
      <c r="E562" s="5"/>
      <c r="F562" s="5"/>
      <c r="J562"/>
    </row>
    <row r="563" spans="1:10" x14ac:dyDescent="0.25">
      <c r="A563" s="5"/>
      <c r="B563" s="5"/>
      <c r="C563" s="5"/>
      <c r="D563" s="5"/>
      <c r="E563" s="5"/>
      <c r="F563" s="5"/>
      <c r="J563"/>
    </row>
    <row r="564" spans="1:10" x14ac:dyDescent="0.25">
      <c r="A564" s="5"/>
      <c r="B564" s="5"/>
      <c r="C564" s="5"/>
      <c r="D564" s="5"/>
      <c r="E564" s="5"/>
      <c r="F564" s="5"/>
      <c r="J564"/>
    </row>
    <row r="565" spans="1:10" x14ac:dyDescent="0.25">
      <c r="A565" s="5"/>
      <c r="B565" s="5"/>
      <c r="C565" s="5"/>
      <c r="D565" s="5"/>
      <c r="E565" s="5"/>
      <c r="F565" s="5"/>
      <c r="J565"/>
    </row>
    <row r="566" spans="1:10" x14ac:dyDescent="0.25">
      <c r="A566" s="5"/>
      <c r="B566" s="5"/>
      <c r="C566" s="5"/>
      <c r="D566" s="5"/>
      <c r="E566" s="5"/>
      <c r="F566" s="5"/>
      <c r="J566"/>
    </row>
    <row r="567" spans="1:10" x14ac:dyDescent="0.25">
      <c r="A567" s="5"/>
      <c r="B567" s="5"/>
      <c r="C567" s="5"/>
      <c r="D567" s="5"/>
      <c r="E567" s="5"/>
      <c r="F567" s="5"/>
      <c r="J567"/>
    </row>
    <row r="568" spans="1:10" x14ac:dyDescent="0.25">
      <c r="A568" s="5"/>
      <c r="B568" s="5"/>
      <c r="C568" s="5"/>
      <c r="D568" s="5"/>
      <c r="E568" s="5"/>
      <c r="F568" s="5"/>
      <c r="J568"/>
    </row>
    <row r="569" spans="1:10" x14ac:dyDescent="0.25">
      <c r="A569" s="5"/>
      <c r="B569" s="5"/>
      <c r="C569" s="5"/>
      <c r="D569" s="5"/>
      <c r="E569" s="5"/>
      <c r="F569" s="5"/>
      <c r="J569"/>
    </row>
    <row r="570" spans="1:10" x14ac:dyDescent="0.25">
      <c r="A570" s="5"/>
      <c r="B570" s="5"/>
      <c r="C570" s="5"/>
      <c r="D570" s="5"/>
      <c r="E570" s="5"/>
      <c r="F570" s="5"/>
      <c r="J570"/>
    </row>
    <row r="571" spans="1:10" x14ac:dyDescent="0.25">
      <c r="A571" s="5"/>
      <c r="B571" s="5"/>
      <c r="C571" s="5"/>
      <c r="D571" s="5"/>
      <c r="E571" s="5"/>
      <c r="F571" s="5"/>
      <c r="J571"/>
    </row>
    <row r="572" spans="1:10" x14ac:dyDescent="0.25">
      <c r="A572" s="5"/>
      <c r="B572" s="5"/>
      <c r="C572" s="5"/>
      <c r="D572" s="5"/>
      <c r="E572" s="5"/>
      <c r="F572" s="5"/>
      <c r="J572"/>
    </row>
    <row r="573" spans="1:10" x14ac:dyDescent="0.25">
      <c r="A573" s="5"/>
      <c r="B573" s="5"/>
      <c r="C573" s="5"/>
      <c r="D573" s="5"/>
      <c r="E573" s="5"/>
      <c r="F573" s="5"/>
      <c r="J573"/>
    </row>
    <row r="574" spans="1:10" x14ac:dyDescent="0.25">
      <c r="A574" s="5"/>
      <c r="B574" s="5"/>
      <c r="C574" s="5"/>
      <c r="D574" s="5"/>
      <c r="E574" s="5"/>
      <c r="F574" s="5"/>
      <c r="J574"/>
    </row>
    <row r="575" spans="1:10" x14ac:dyDescent="0.25">
      <c r="A575" s="5"/>
      <c r="B575" s="5"/>
      <c r="C575" s="5"/>
      <c r="D575" s="5"/>
      <c r="E575" s="5"/>
      <c r="F575" s="5"/>
      <c r="J575"/>
    </row>
    <row r="576" spans="1:10" x14ac:dyDescent="0.25">
      <c r="A576" s="5"/>
      <c r="B576" s="5"/>
      <c r="C576" s="5"/>
      <c r="D576" s="5"/>
      <c r="E576" s="5"/>
      <c r="F576" s="5"/>
      <c r="J576"/>
    </row>
    <row r="577" spans="1:10" x14ac:dyDescent="0.25">
      <c r="A577" s="5"/>
      <c r="B577" s="5"/>
      <c r="C577" s="5"/>
      <c r="D577" s="5"/>
      <c r="E577" s="5"/>
      <c r="F577" s="5"/>
      <c r="J577"/>
    </row>
    <row r="578" spans="1:10" x14ac:dyDescent="0.25">
      <c r="A578" s="5"/>
      <c r="B578" s="5"/>
      <c r="C578" s="5"/>
      <c r="D578" s="5"/>
      <c r="E578" s="5"/>
      <c r="F578" s="5"/>
      <c r="J578"/>
    </row>
    <row r="579" spans="1:10" x14ac:dyDescent="0.25">
      <c r="A579" s="5"/>
      <c r="B579" s="5"/>
      <c r="C579" s="5"/>
      <c r="D579" s="5"/>
      <c r="E579" s="5"/>
      <c r="F579" s="5"/>
      <c r="J579"/>
    </row>
    <row r="580" spans="1:10" x14ac:dyDescent="0.25">
      <c r="A580" s="5"/>
      <c r="B580" s="5"/>
      <c r="C580" s="5"/>
      <c r="D580" s="5"/>
      <c r="E580" s="5"/>
      <c r="F580" s="5"/>
      <c r="J580"/>
    </row>
    <row r="581" spans="1:10" x14ac:dyDescent="0.25">
      <c r="A581" s="5"/>
      <c r="B581" s="5"/>
      <c r="C581" s="5"/>
      <c r="D581" s="5"/>
      <c r="E581" s="5"/>
      <c r="F581" s="5"/>
      <c r="J581"/>
    </row>
    <row r="582" spans="1:10" x14ac:dyDescent="0.25">
      <c r="A582" s="5"/>
      <c r="B582" s="5"/>
      <c r="C582" s="5"/>
      <c r="D582" s="5"/>
      <c r="E582" s="5"/>
      <c r="F582" s="5"/>
      <c r="J582"/>
    </row>
    <row r="583" spans="1:10" x14ac:dyDescent="0.25">
      <c r="A583" s="5"/>
      <c r="B583" s="5"/>
      <c r="C583" s="5"/>
      <c r="D583" s="5"/>
      <c r="E583" s="5"/>
      <c r="F583" s="5"/>
      <c r="J583"/>
    </row>
    <row r="584" spans="1:10" x14ac:dyDescent="0.25">
      <c r="A584" s="5"/>
      <c r="B584" s="5"/>
      <c r="C584" s="5"/>
      <c r="D584" s="5"/>
      <c r="E584" s="5"/>
      <c r="F584" s="5"/>
      <c r="J584"/>
    </row>
    <row r="585" spans="1:10" x14ac:dyDescent="0.25">
      <c r="A585" s="5"/>
      <c r="B585" s="5"/>
      <c r="C585" s="5"/>
      <c r="D585" s="5"/>
      <c r="E585" s="5"/>
      <c r="F585" s="5"/>
      <c r="J585"/>
    </row>
    <row r="586" spans="1:10" x14ac:dyDescent="0.25">
      <c r="A586" s="5"/>
      <c r="B586" s="5"/>
      <c r="C586" s="5"/>
      <c r="D586" s="5"/>
      <c r="E586" s="5"/>
      <c r="F586" s="5"/>
      <c r="J586"/>
    </row>
    <row r="587" spans="1:10" x14ac:dyDescent="0.25">
      <c r="A587" s="5"/>
      <c r="B587" s="5"/>
      <c r="C587" s="5"/>
      <c r="D587" s="5"/>
      <c r="E587" s="5"/>
      <c r="F587" s="5"/>
      <c r="J587"/>
    </row>
    <row r="588" spans="1:10" x14ac:dyDescent="0.25">
      <c r="A588" s="5"/>
      <c r="B588" s="5"/>
      <c r="C588" s="5"/>
      <c r="D588" s="5"/>
      <c r="E588" s="5"/>
      <c r="F588" s="5"/>
      <c r="J588"/>
    </row>
    <row r="589" spans="1:10" x14ac:dyDescent="0.25">
      <c r="A589" s="5"/>
      <c r="B589" s="5"/>
      <c r="C589" s="5"/>
      <c r="D589" s="5"/>
      <c r="E589" s="5"/>
      <c r="F589" s="5"/>
      <c r="J589"/>
    </row>
    <row r="590" spans="1:10" x14ac:dyDescent="0.25">
      <c r="A590" s="5"/>
      <c r="B590" s="5"/>
      <c r="C590" s="5"/>
      <c r="D590" s="5"/>
      <c r="E590" s="5"/>
      <c r="F590" s="5"/>
      <c r="J590"/>
    </row>
    <row r="591" spans="1:10" x14ac:dyDescent="0.25">
      <c r="A591" s="5"/>
      <c r="B591" s="5"/>
      <c r="C591" s="5"/>
      <c r="D591" s="5"/>
      <c r="E591" s="5"/>
      <c r="F591" s="5"/>
      <c r="J591"/>
    </row>
    <row r="592" spans="1:10" x14ac:dyDescent="0.25">
      <c r="A592" s="5"/>
      <c r="B592" s="5"/>
      <c r="C592" s="5"/>
      <c r="D592" s="5"/>
      <c r="E592" s="5"/>
      <c r="F592" s="5"/>
      <c r="J592"/>
    </row>
    <row r="593" spans="1:10" x14ac:dyDescent="0.25">
      <c r="A593" s="5"/>
      <c r="B593" s="5"/>
      <c r="C593" s="5"/>
      <c r="D593" s="5"/>
      <c r="E593" s="5"/>
      <c r="F593" s="5"/>
      <c r="J593"/>
    </row>
    <row r="594" spans="1:10" x14ac:dyDescent="0.25">
      <c r="A594" s="5"/>
      <c r="B594" s="5"/>
      <c r="C594" s="5"/>
      <c r="D594" s="5"/>
      <c r="E594" s="5"/>
      <c r="F594" s="5"/>
      <c r="J594"/>
    </row>
    <row r="595" spans="1:10" x14ac:dyDescent="0.25">
      <c r="A595" s="5"/>
      <c r="B595" s="5"/>
      <c r="C595" s="5"/>
      <c r="D595" s="5"/>
      <c r="E595" s="5"/>
      <c r="F595" s="5"/>
      <c r="J595"/>
    </row>
    <row r="596" spans="1:10" x14ac:dyDescent="0.25">
      <c r="A596" s="5"/>
      <c r="B596" s="5"/>
      <c r="C596" s="5"/>
      <c r="D596" s="5"/>
      <c r="E596" s="5"/>
      <c r="F596" s="5"/>
      <c r="J596"/>
    </row>
    <row r="597" spans="1:10" x14ac:dyDescent="0.25">
      <c r="A597" s="5"/>
      <c r="B597" s="5"/>
      <c r="C597" s="5"/>
      <c r="D597" s="5"/>
      <c r="E597" s="5"/>
      <c r="F597" s="5"/>
      <c r="J597"/>
    </row>
    <row r="598" spans="1:10" x14ac:dyDescent="0.25">
      <c r="A598" s="5"/>
      <c r="B598" s="5"/>
      <c r="C598" s="5"/>
      <c r="D598" s="5"/>
      <c r="E598" s="5"/>
      <c r="F598" s="5"/>
      <c r="J598"/>
    </row>
    <row r="599" spans="1:10" x14ac:dyDescent="0.25">
      <c r="A599" s="5"/>
      <c r="B599" s="5"/>
      <c r="C599" s="5"/>
      <c r="D599" s="5"/>
      <c r="E599" s="5"/>
      <c r="F599" s="5"/>
      <c r="J599"/>
    </row>
  </sheetData>
  <protectedRanges>
    <protectedRange algorithmName="SHA-512" hashValue="QaE+/f7CXvPVKMK1kXFEE7ucHyllutJhvy7MFTbhCExmMfQjaxOdqho6YaVEswL8MjnDlnvBGtaBURzIC5Dn3w==" saltValue="DSsl7X7CGfCkP4bZU1MFIg==" spinCount="100000" sqref="A3:F499" name="Range1"/>
  </protectedRanges>
  <sortState xmlns:xlrd2="http://schemas.microsoft.com/office/spreadsheetml/2017/richdata2" ref="A3:F490">
    <sortCondition ref="C3:C490"/>
  </sortState>
  <phoneticPr fontId="6" type="noConversion"/>
  <conditionalFormatting sqref="H3:H490">
    <cfRule type="expression" dxfId="2" priority="1">
      <formula>"if(H2:H500)&gt;E2:E500)"</formula>
    </cfRule>
  </conditionalFormatting>
  <pageMargins left="0.7" right="0.7" top="0.75" bottom="0.75" header="0.3" footer="0.3"/>
  <pageSetup orientation="portrait" r:id="rId1"/>
  <extLst>
    <ext xmlns:mx="http://schemas.microsoft.com/office/mac/excel/2008/main" uri="http://schemas.microsoft.com/office/mac/excel/2008/main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8"/>
  <sheetViews>
    <sheetView workbookViewId="0">
      <selection activeCell="B8" sqref="B8"/>
    </sheetView>
  </sheetViews>
  <sheetFormatPr defaultColWidth="8.85546875" defaultRowHeight="15" x14ac:dyDescent="0.25"/>
  <cols>
    <col min="1" max="1" width="14.42578125" customWidth="1"/>
  </cols>
  <sheetData>
    <row r="1" spans="1:4" x14ac:dyDescent="0.25">
      <c r="A1" t="s">
        <v>5</v>
      </c>
      <c r="B1">
        <f>'Front Page'!H1</f>
        <v>7376221</v>
      </c>
      <c r="D1" t="s">
        <v>12</v>
      </c>
    </row>
    <row r="2" spans="1:4" x14ac:dyDescent="0.25">
      <c r="A2" t="s">
        <v>6</v>
      </c>
      <c r="B2">
        <f>SUM('Front Page'!E1:E490)</f>
        <v>42352467</v>
      </c>
      <c r="D2">
        <f>((B1-(B6*1000))/B2)</f>
        <v>0.17387938700241476</v>
      </c>
    </row>
    <row r="4" spans="1:4" x14ac:dyDescent="0.25">
      <c r="A4" t="s">
        <v>7</v>
      </c>
      <c r="B4">
        <f>B1/SUM('First Calculations'!F:F)</f>
        <v>0.18964444592622676</v>
      </c>
    </row>
    <row r="6" spans="1:4" x14ac:dyDescent="0.25">
      <c r="A6" t="s">
        <v>11</v>
      </c>
      <c r="B6">
        <f>'First Calculations'!H2</f>
        <v>12</v>
      </c>
    </row>
    <row r="8" spans="1:4" x14ac:dyDescent="0.25">
      <c r="A8" t="s">
        <v>15</v>
      </c>
      <c r="B8">
        <f>'First Calculations'!$J$2/SUM('First Calculations'!$F:$F)</f>
        <v>0.18933592299136423</v>
      </c>
    </row>
  </sheetData>
  <sheetProtection password="CC04" sheet="1" objects="1" scenarios="1"/>
  <phoneticPr fontId="6" type="noConversion"/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489"/>
  <sheetViews>
    <sheetView topLeftCell="B1" workbookViewId="0">
      <selection activeCell="J14" sqref="J14"/>
    </sheetView>
  </sheetViews>
  <sheetFormatPr defaultColWidth="8.85546875" defaultRowHeight="15" x14ac:dyDescent="0.25"/>
  <cols>
    <col min="2" max="2" width="17.28515625" bestFit="1" customWidth="1"/>
    <col min="3" max="3" width="66.7109375" bestFit="1" customWidth="1"/>
    <col min="4" max="4" width="7.42578125" bestFit="1" customWidth="1"/>
    <col min="5" max="5" width="21.85546875" style="3" bestFit="1" customWidth="1"/>
    <col min="6" max="6" width="15.140625" bestFit="1" customWidth="1"/>
    <col min="7" max="7" width="30.42578125" bestFit="1" customWidth="1"/>
    <col min="8" max="8" width="13.140625" bestFit="1" customWidth="1"/>
    <col min="13" max="13" width="12" bestFit="1" customWidth="1"/>
  </cols>
  <sheetData>
    <row r="1" spans="1:16" x14ac:dyDescent="0.25">
      <c r="B1" t="str">
        <f>'Front Page'!B2</f>
        <v>Application Number</v>
      </c>
      <c r="C1" t="str">
        <f>'Front Page'!C2</f>
        <v>Applicant Name</v>
      </c>
      <c r="D1" t="str">
        <f>'Front Page'!E2</f>
        <v>Request</v>
      </c>
      <c r="E1" s="3" t="s">
        <v>8</v>
      </c>
      <c r="F1" t="s">
        <v>9</v>
      </c>
      <c r="G1" t="s">
        <v>10</v>
      </c>
      <c r="H1" t="s">
        <v>17</v>
      </c>
      <c r="J1" t="s">
        <v>13</v>
      </c>
      <c r="M1" t="s">
        <v>14</v>
      </c>
    </row>
    <row r="2" spans="1:16" x14ac:dyDescent="0.25">
      <c r="A2">
        <f>'Front Page'!A3</f>
        <v>1</v>
      </c>
      <c r="B2" t="str">
        <f>'Front Page'!B3</f>
        <v xml:space="preserve">20.c.ps.180.091 </v>
      </c>
      <c r="C2" t="str">
        <f>'Front Page'!C3</f>
        <v xml:space="preserve">Performing Arts Center Trust, Inc. </v>
      </c>
      <c r="D2">
        <f>'Front Page'!E3</f>
        <v>150000</v>
      </c>
      <c r="E2" s="3">
        <f>ROUND('Front Page'!F3,4)</f>
        <v>98.429000000000002</v>
      </c>
      <c r="F2">
        <f>D2*(E2/100)</f>
        <v>147643.5</v>
      </c>
      <c r="G2">
        <f>IF((D2*(E2/100)*Sheet2!$B$4)&gt;1000,(D2*(E2/100)*Sheet2!$B$4),1000)</f>
        <v>27999.769752108859</v>
      </c>
      <c r="H2">
        <f>COUNTIF(G2:G499,"1000")</f>
        <v>12</v>
      </c>
      <c r="J2">
        <f>('Front Page'!$H$1)-(('First Calculations'!$H$2)*1000)</f>
        <v>7364221</v>
      </c>
      <c r="M2">
        <f>IF(G2=1000,1000,(F2*Sheet2!$B$8))</f>
        <v>27954.218346175483</v>
      </c>
      <c r="N2">
        <f>+M2</f>
        <v>27954.218346175483</v>
      </c>
      <c r="O2">
        <f>IF(N2&lt;1000,1000,N2)</f>
        <v>27954.218346175483</v>
      </c>
      <c r="P2">
        <f>ROUND(IF(O2=1000,1000,(O2+$J$11)),0)</f>
        <v>27969</v>
      </c>
    </row>
    <row r="3" spans="1:16" x14ac:dyDescent="0.25">
      <c r="A3">
        <f>'Front Page'!A4</f>
        <v>2</v>
      </c>
      <c r="B3" t="str">
        <f>'Front Page'!B4</f>
        <v xml:space="preserve">20.c.ps.102.282 </v>
      </c>
      <c r="C3" t="str">
        <f>'Front Page'!C4</f>
        <v xml:space="preserve">New World Symphony, Inc. </v>
      </c>
      <c r="D3">
        <f>'Front Page'!E4</f>
        <v>150000</v>
      </c>
      <c r="E3" s="3">
        <f>ROUND('Front Page'!F4,4)</f>
        <v>98.25</v>
      </c>
      <c r="F3">
        <f t="shared" ref="F3:F66" si="0">D3*(E3/100)</f>
        <v>147375</v>
      </c>
      <c r="G3">
        <f>IF((D3*(E3/100)*Sheet2!$B$4)&gt;1000,(D3*(E3/100)*Sheet2!$B$4),1000)</f>
        <v>27948.850218377669</v>
      </c>
      <c r="M3">
        <f>IF(G3=1000,1000,(F3*Sheet2!$B$8))</f>
        <v>27903.381650852305</v>
      </c>
      <c r="N3">
        <f>M3</f>
        <v>27903.381650852305</v>
      </c>
      <c r="O3">
        <f t="shared" ref="O3:O66" si="1">IF(N3&lt;1000,1000,N3)</f>
        <v>27903.381650852305</v>
      </c>
      <c r="P3">
        <f t="shared" ref="P3:P66" si="2">ROUND(IF(O3=1000,1000,(O3+$J$11)),0)</f>
        <v>27918</v>
      </c>
    </row>
    <row r="4" spans="1:16" x14ac:dyDescent="0.25">
      <c r="A4">
        <f>'Front Page'!A5</f>
        <v>3</v>
      </c>
      <c r="B4" t="str">
        <f>'Front Page'!B5</f>
        <v xml:space="preserve">20.c.ps.141.519 </v>
      </c>
      <c r="C4" t="str">
        <f>'Front Page'!C5</f>
        <v xml:space="preserve">Venice Theatre, Inc. </v>
      </c>
      <c r="D4">
        <f>'Front Page'!E5</f>
        <v>150000</v>
      </c>
      <c r="E4" s="3">
        <f>ROUND('Front Page'!F5,4)</f>
        <v>98</v>
      </c>
      <c r="F4">
        <f t="shared" si="0"/>
        <v>147000</v>
      </c>
      <c r="G4">
        <f>IF((D4*(E4/100)*Sheet2!$B$4)&gt;1000,(D4*(E4/100)*Sheet2!$B$4),1000)</f>
        <v>27877.733551155332</v>
      </c>
      <c r="M4">
        <f>IF(G4=1000,1000,(F4*Sheet2!$B$8))</f>
        <v>27832.380679730541</v>
      </c>
      <c r="N4">
        <f>M4</f>
        <v>27832.380679730541</v>
      </c>
      <c r="O4">
        <f t="shared" si="1"/>
        <v>27832.380679730541</v>
      </c>
      <c r="P4">
        <f t="shared" si="2"/>
        <v>27847</v>
      </c>
    </row>
    <row r="5" spans="1:16" x14ac:dyDescent="0.25">
      <c r="A5">
        <f>'Front Page'!A6</f>
        <v>4</v>
      </c>
      <c r="B5" t="str">
        <f>'Front Page'!B6</f>
        <v xml:space="preserve">20.c.ps.180.209 </v>
      </c>
      <c r="C5" t="str">
        <f>'Front Page'!C6</f>
        <v xml:space="preserve">Performing Arts Center Authority </v>
      </c>
      <c r="D5">
        <f>'Front Page'!E6</f>
        <v>150000</v>
      </c>
      <c r="E5" s="3">
        <f>ROUND('Front Page'!F6,4)</f>
        <v>98</v>
      </c>
      <c r="F5">
        <f t="shared" si="0"/>
        <v>147000</v>
      </c>
      <c r="G5">
        <f>IF((D5*(E5/100)*Sheet2!$B$4)&gt;1000,(D5*(E5/100)*Sheet2!$B$4),1000)</f>
        <v>27877.733551155332</v>
      </c>
      <c r="J5" t="s">
        <v>16</v>
      </c>
      <c r="M5">
        <f>IF(G5=1000,1000,(F5*Sheet2!$B$8))</f>
        <v>27832.380679730541</v>
      </c>
      <c r="N5">
        <f t="shared" ref="N5:N68" si="3">M5</f>
        <v>27832.380679730541</v>
      </c>
      <c r="O5">
        <f t="shared" si="1"/>
        <v>27832.380679730541</v>
      </c>
      <c r="P5">
        <f t="shared" si="2"/>
        <v>27847</v>
      </c>
    </row>
    <row r="6" spans="1:16" x14ac:dyDescent="0.25">
      <c r="A6">
        <f>'Front Page'!A7</f>
        <v>5</v>
      </c>
      <c r="B6" t="str">
        <f>'Front Page'!B7</f>
        <v xml:space="preserve">20.c.ps.102.241 </v>
      </c>
      <c r="C6" t="str">
        <f>'Front Page'!C7</f>
        <v xml:space="preserve">Young Singers of the Palm Beaches, Inc. </v>
      </c>
      <c r="D6">
        <f>'Front Page'!E7</f>
        <v>89000</v>
      </c>
      <c r="E6" s="3">
        <f>ROUND('Front Page'!F7,4)</f>
        <v>97.856999999999999</v>
      </c>
      <c r="F6">
        <f t="shared" si="0"/>
        <v>87092.73</v>
      </c>
      <c r="G6">
        <f>IF((D6*(E6/100)*Sheet2!$B$4)&gt;1000,(D6*(E6/100)*Sheet2!$B$4),1000)</f>
        <v>16516.652525052465</v>
      </c>
      <c r="J6">
        <f>SUM(O:O)</f>
        <v>7369105.4628500314</v>
      </c>
      <c r="M6">
        <f>IF(G6=1000,1000,(F6*Sheet2!$B$8))</f>
        <v>16489.782420387677</v>
      </c>
      <c r="N6">
        <f t="shared" si="3"/>
        <v>16489.782420387677</v>
      </c>
      <c r="O6">
        <f t="shared" si="1"/>
        <v>16489.782420387677</v>
      </c>
      <c r="P6">
        <f t="shared" si="2"/>
        <v>16505</v>
      </c>
    </row>
    <row r="7" spans="1:16" x14ac:dyDescent="0.25">
      <c r="A7">
        <f>'Front Page'!A8</f>
        <v>6</v>
      </c>
      <c r="B7" t="str">
        <f>'Front Page'!B8</f>
        <v xml:space="preserve">20.c.ps.200.672 </v>
      </c>
      <c r="C7" t="str">
        <f>'Front Page'!C8</f>
        <v xml:space="preserve">Miami Music Project, Inc. </v>
      </c>
      <c r="D7">
        <f>'Front Page'!E8</f>
        <v>143431</v>
      </c>
      <c r="E7" s="3">
        <f>ROUND('Front Page'!F8,4)</f>
        <v>97.832999999999998</v>
      </c>
      <c r="F7">
        <f t="shared" si="0"/>
        <v>140322.85023000001</v>
      </c>
      <c r="G7">
        <f>IF((D7*(E7/100)*Sheet2!$B$4)&gt;1000,(D7*(E7/100)*Sheet2!$B$4),1000)</f>
        <v>26611.449182657252</v>
      </c>
      <c r="M7">
        <f>IF(G7=1000,1000,(F7*Sheet2!$B$8))</f>
        <v>26568.156365076018</v>
      </c>
      <c r="N7">
        <f t="shared" si="3"/>
        <v>26568.156365076018</v>
      </c>
      <c r="O7">
        <f t="shared" si="1"/>
        <v>26568.156365076018</v>
      </c>
      <c r="P7">
        <f t="shared" si="2"/>
        <v>26583</v>
      </c>
    </row>
    <row r="8" spans="1:16" x14ac:dyDescent="0.25">
      <c r="A8">
        <f>'Front Page'!A9</f>
        <v>7</v>
      </c>
      <c r="B8" t="str">
        <f>'Front Page'!B9</f>
        <v xml:space="preserve">20.c.ps.142.390 </v>
      </c>
      <c r="C8" t="str">
        <f>'Front Page'!C9</f>
        <v xml:space="preserve">Florida Studio Theatre, Inc. </v>
      </c>
      <c r="D8">
        <f>'Front Page'!E9</f>
        <v>150000</v>
      </c>
      <c r="E8" s="3">
        <f>ROUND('Front Page'!F9,4)</f>
        <v>97.667000000000002</v>
      </c>
      <c r="F8">
        <f t="shared" si="0"/>
        <v>146500.5</v>
      </c>
      <c r="G8">
        <f>IF((D8*(E8/100)*Sheet2!$B$4)&gt;1000,(D8*(E8/100)*Sheet2!$B$4),1000)</f>
        <v>27783.006150415182</v>
      </c>
      <c r="M8">
        <f>IF(G8=1000,1000,(F8*Sheet2!$B$8))</f>
        <v>27737.807386196357</v>
      </c>
      <c r="N8">
        <f t="shared" si="3"/>
        <v>27737.807386196357</v>
      </c>
      <c r="O8">
        <f t="shared" si="1"/>
        <v>27737.807386196357</v>
      </c>
      <c r="P8">
        <f t="shared" si="2"/>
        <v>27753</v>
      </c>
    </row>
    <row r="9" spans="1:16" x14ac:dyDescent="0.25">
      <c r="A9">
        <f>'Front Page'!A10</f>
        <v>8</v>
      </c>
      <c r="B9" t="str">
        <f>'Front Page'!B10</f>
        <v xml:space="preserve">20.c.ps.180.529 </v>
      </c>
      <c r="C9" t="str">
        <f>'Front Page'!C10</f>
        <v xml:space="preserve">Miami Light Project, Inc. </v>
      </c>
      <c r="D9">
        <f>'Front Page'!E10</f>
        <v>90000</v>
      </c>
      <c r="E9" s="3">
        <f>ROUND('Front Page'!F10,4)</f>
        <v>97.5</v>
      </c>
      <c r="F9">
        <f t="shared" si="0"/>
        <v>87750</v>
      </c>
      <c r="G9">
        <f>IF((D9*(E9/100)*Sheet2!$B$4)&gt;1000,(D9*(E9/100)*Sheet2!$B$4),1000)</f>
        <v>16641.300130026397</v>
      </c>
      <c r="I9" t="s">
        <v>18</v>
      </c>
      <c r="J9">
        <f>COUNTIF(O2:O499,"&gt;1000")</f>
        <v>476</v>
      </c>
      <c r="M9">
        <f>IF(G9=1000,1000,(F9*Sheet2!$B$8))</f>
        <v>16614.227242492212</v>
      </c>
      <c r="N9">
        <f t="shared" si="3"/>
        <v>16614.227242492212</v>
      </c>
      <c r="O9">
        <f t="shared" si="1"/>
        <v>16614.227242492212</v>
      </c>
      <c r="P9">
        <f t="shared" si="2"/>
        <v>16629</v>
      </c>
    </row>
    <row r="10" spans="1:16" x14ac:dyDescent="0.25">
      <c r="A10">
        <f>'Front Page'!A11</f>
        <v>9</v>
      </c>
      <c r="B10" t="str">
        <f>'Front Page'!B11</f>
        <v xml:space="preserve">20.c.ps.180.594 </v>
      </c>
      <c r="C10" t="str">
        <f>'Front Page'!C11</f>
        <v xml:space="preserve">City of Sarasota </v>
      </c>
      <c r="D10">
        <f>'Front Page'!E11</f>
        <v>150000</v>
      </c>
      <c r="E10" s="3">
        <f>ROUND('Front Page'!F11,4)</f>
        <v>97.429000000000002</v>
      </c>
      <c r="F10">
        <f t="shared" si="0"/>
        <v>146143.5</v>
      </c>
      <c r="G10">
        <f>IF((D10*(E10/100)*Sheet2!$B$4)&gt;1000,(D10*(E10/100)*Sheet2!$B$4),1000)</f>
        <v>27715.303083219522</v>
      </c>
      <c r="I10" t="s">
        <v>19</v>
      </c>
      <c r="J10">
        <f>'Front Page'!$H$1-J6</f>
        <v>7115.5371499685571</v>
      </c>
      <c r="M10">
        <f>IF(G10=1000,1000,(F10*Sheet2!$B$8))</f>
        <v>27670.21446168844</v>
      </c>
      <c r="N10">
        <f t="shared" si="3"/>
        <v>27670.21446168844</v>
      </c>
      <c r="O10">
        <f t="shared" si="1"/>
        <v>27670.21446168844</v>
      </c>
      <c r="P10">
        <f t="shared" si="2"/>
        <v>27685</v>
      </c>
    </row>
    <row r="11" spans="1:16" x14ac:dyDescent="0.25">
      <c r="A11">
        <f>'Front Page'!A12</f>
        <v>10</v>
      </c>
      <c r="B11" t="str">
        <f>'Front Page'!B12</f>
        <v xml:space="preserve">20.c.ps.200.326 </v>
      </c>
      <c r="C11" t="str">
        <f>'Front Page'!C12</f>
        <v xml:space="preserve">Cathedral Arts Project, Inc. </v>
      </c>
      <c r="D11">
        <f>'Front Page'!E12</f>
        <v>150000</v>
      </c>
      <c r="E11" s="3">
        <f>ROUND('Front Page'!F12,4)</f>
        <v>97.332999999999998</v>
      </c>
      <c r="F11">
        <f t="shared" si="0"/>
        <v>145999.5</v>
      </c>
      <c r="G11">
        <f>IF((D11*(E11/100)*Sheet2!$B$4)&gt;1000,(D11*(E11/100)*Sheet2!$B$4),1000)</f>
        <v>27687.994283006145</v>
      </c>
      <c r="I11" t="s">
        <v>20</v>
      </c>
      <c r="J11">
        <f>J10/J9</f>
        <v>14.948607457917136</v>
      </c>
      <c r="M11">
        <f>IF(G11=1000,1000,(F11*Sheet2!$B$8))</f>
        <v>27642.950088777681</v>
      </c>
      <c r="N11">
        <f t="shared" si="3"/>
        <v>27642.950088777681</v>
      </c>
      <c r="O11">
        <f t="shared" si="1"/>
        <v>27642.950088777681</v>
      </c>
      <c r="P11">
        <f t="shared" si="2"/>
        <v>27658</v>
      </c>
    </row>
    <row r="12" spans="1:16" x14ac:dyDescent="0.25">
      <c r="A12">
        <f>'Front Page'!A13</f>
        <v>11</v>
      </c>
      <c r="B12" t="str">
        <f>'Front Page'!B13</f>
        <v xml:space="preserve">20.c.ps.170.739 </v>
      </c>
      <c r="C12" t="str">
        <f>'Front Page'!C13</f>
        <v xml:space="preserve">Miami Children's Museum, Inc. </v>
      </c>
      <c r="D12">
        <f>'Front Page'!E13</f>
        <v>150000</v>
      </c>
      <c r="E12" s="3">
        <f>ROUND('Front Page'!F13,4)</f>
        <v>97.332999999999998</v>
      </c>
      <c r="F12">
        <f t="shared" si="0"/>
        <v>145999.5</v>
      </c>
      <c r="G12">
        <f>IF((D12*(E12/100)*Sheet2!$B$4)&gt;1000,(D12*(E12/100)*Sheet2!$B$4),1000)</f>
        <v>27687.994283006145</v>
      </c>
      <c r="M12">
        <f>IF(G12=1000,1000,(F12*Sheet2!$B$8))</f>
        <v>27642.950088777681</v>
      </c>
      <c r="N12">
        <f t="shared" si="3"/>
        <v>27642.950088777681</v>
      </c>
      <c r="O12">
        <f t="shared" si="1"/>
        <v>27642.950088777681</v>
      </c>
      <c r="P12">
        <f t="shared" si="2"/>
        <v>27658</v>
      </c>
    </row>
    <row r="13" spans="1:16" x14ac:dyDescent="0.25">
      <c r="A13">
        <f>'Front Page'!A14</f>
        <v>12</v>
      </c>
      <c r="B13" t="str">
        <f>'Front Page'!B14</f>
        <v xml:space="preserve">20.c.ps.142.565 </v>
      </c>
      <c r="C13" t="str">
        <f>'Front Page'!C14</f>
        <v xml:space="preserve">Asolo Theatre, Inc. </v>
      </c>
      <c r="D13">
        <f>'Front Page'!E14</f>
        <v>150000</v>
      </c>
      <c r="E13" s="3">
        <f>ROUND('Front Page'!F14,4)</f>
        <v>97.332999999999998</v>
      </c>
      <c r="F13">
        <f t="shared" si="0"/>
        <v>145999.5</v>
      </c>
      <c r="G13">
        <f>IF((D13*(E13/100)*Sheet2!$B$4)&gt;1000,(D13*(E13/100)*Sheet2!$B$4),1000)</f>
        <v>27687.994283006145</v>
      </c>
      <c r="M13">
        <f>IF(G13=1000,1000,(F13*Sheet2!$B$8))</f>
        <v>27642.950088777681</v>
      </c>
      <c r="N13">
        <f t="shared" si="3"/>
        <v>27642.950088777681</v>
      </c>
      <c r="O13">
        <f t="shared" si="1"/>
        <v>27642.950088777681</v>
      </c>
      <c r="P13">
        <f t="shared" si="2"/>
        <v>27658</v>
      </c>
    </row>
    <row r="14" spans="1:16" x14ac:dyDescent="0.25">
      <c r="A14">
        <f>'Front Page'!A15</f>
        <v>13</v>
      </c>
      <c r="B14" t="str">
        <f>'Front Page'!B15</f>
        <v xml:space="preserve">20.c.ps.180.376 </v>
      </c>
      <c r="C14" t="str">
        <f>'Front Page'!C15</f>
        <v xml:space="preserve">Tampa Bay Performing Arts Center, Inc. </v>
      </c>
      <c r="D14">
        <f>'Front Page'!E15</f>
        <v>150000</v>
      </c>
      <c r="E14" s="3">
        <f>ROUND('Front Page'!F15,4)</f>
        <v>97.286000000000001</v>
      </c>
      <c r="F14">
        <f t="shared" si="0"/>
        <v>145929</v>
      </c>
      <c r="G14">
        <f>IF((D14*(E14/100)*Sheet2!$B$4)&gt;1000,(D14*(E14/100)*Sheet2!$B$4),1000)</f>
        <v>27674.624349568345</v>
      </c>
      <c r="I14" t="s">
        <v>21</v>
      </c>
      <c r="J14">
        <f>SUM(P:P)</f>
        <v>7376222</v>
      </c>
      <c r="M14">
        <f>IF(G14=1000,1000,(F14*Sheet2!$B$8))</f>
        <v>27629.60190620679</v>
      </c>
      <c r="N14">
        <f t="shared" si="3"/>
        <v>27629.60190620679</v>
      </c>
      <c r="O14">
        <f t="shared" si="1"/>
        <v>27629.60190620679</v>
      </c>
      <c r="P14">
        <f t="shared" si="2"/>
        <v>27645</v>
      </c>
    </row>
    <row r="15" spans="1:16" x14ac:dyDescent="0.25">
      <c r="A15">
        <f>'Front Page'!A16</f>
        <v>14</v>
      </c>
      <c r="B15" t="str">
        <f>'Front Page'!B16</f>
        <v xml:space="preserve">20.c.ps.101.302 </v>
      </c>
      <c r="C15" t="str">
        <f>'Front Page'!C16</f>
        <v xml:space="preserve">Miami City Ballet, Inc. </v>
      </c>
      <c r="D15">
        <f>'Front Page'!E16</f>
        <v>150000</v>
      </c>
      <c r="E15" s="3">
        <f>ROUND('Front Page'!F16,4)</f>
        <v>97.2</v>
      </c>
      <c r="F15">
        <f t="shared" si="0"/>
        <v>145800</v>
      </c>
      <c r="G15">
        <f>IF((D15*(E15/100)*Sheet2!$B$4)&gt;1000,(D15*(E15/100)*Sheet2!$B$4),1000)</f>
        <v>27650.16021604386</v>
      </c>
      <c r="M15">
        <f>IF(G15=1000,1000,(F15*Sheet2!$B$8))</f>
        <v>27605.177572140903</v>
      </c>
      <c r="N15">
        <f t="shared" si="3"/>
        <v>27605.177572140903</v>
      </c>
      <c r="O15">
        <f t="shared" si="1"/>
        <v>27605.177572140903</v>
      </c>
      <c r="P15">
        <f t="shared" si="2"/>
        <v>27620</v>
      </c>
    </row>
    <row r="16" spans="1:16" x14ac:dyDescent="0.25">
      <c r="A16">
        <f>'Front Page'!A17</f>
        <v>15</v>
      </c>
      <c r="B16" t="str">
        <f>'Front Page'!B17</f>
        <v xml:space="preserve">20.c.ps.110.755 </v>
      </c>
      <c r="C16" t="str">
        <f>'Front Page'!C17</f>
        <v xml:space="preserve">University of Wynwood, Inc. </v>
      </c>
      <c r="D16">
        <f>'Front Page'!E17</f>
        <v>28000</v>
      </c>
      <c r="E16" s="3">
        <f>ROUND('Front Page'!F17,4)</f>
        <v>97</v>
      </c>
      <c r="F16">
        <f t="shared" si="0"/>
        <v>27160</v>
      </c>
      <c r="G16">
        <f>IF((D16*(E16/100)*Sheet2!$B$4)&gt;1000,(D16*(E16/100)*Sheet2!$B$4),1000)</f>
        <v>5150.7431513563188</v>
      </c>
      <c r="M16">
        <f>IF(G16=1000,1000,(F16*Sheet2!$B$8))</f>
        <v>5142.3636684454523</v>
      </c>
      <c r="N16">
        <f t="shared" si="3"/>
        <v>5142.3636684454523</v>
      </c>
      <c r="O16">
        <f t="shared" si="1"/>
        <v>5142.3636684454523</v>
      </c>
      <c r="P16">
        <f t="shared" si="2"/>
        <v>5157</v>
      </c>
    </row>
    <row r="17" spans="1:16" x14ac:dyDescent="0.25">
      <c r="A17">
        <f>'Front Page'!A18</f>
        <v>16</v>
      </c>
      <c r="B17" t="str">
        <f>'Front Page'!B18</f>
        <v xml:space="preserve">20.c.ps.105.227 </v>
      </c>
      <c r="C17" t="str">
        <f>'Front Page'!C18</f>
        <v xml:space="preserve">Naples Art Association, Inc. </v>
      </c>
      <c r="D17">
        <f>'Front Page'!E18</f>
        <v>130000</v>
      </c>
      <c r="E17" s="3">
        <f>ROUND('Front Page'!F18,4)</f>
        <v>97</v>
      </c>
      <c r="F17">
        <f t="shared" si="0"/>
        <v>126100</v>
      </c>
      <c r="G17">
        <f>IF((D17*(E17/100)*Sheet2!$B$4)&gt;1000,(D17*(E17/100)*Sheet2!$B$4),1000)</f>
        <v>23914.164631297193</v>
      </c>
      <c r="M17">
        <f>IF(G17=1000,1000,(F17*Sheet2!$B$8))</f>
        <v>23875.259889211029</v>
      </c>
      <c r="N17">
        <f t="shared" si="3"/>
        <v>23875.259889211029</v>
      </c>
      <c r="O17">
        <f t="shared" si="1"/>
        <v>23875.259889211029</v>
      </c>
      <c r="P17">
        <f t="shared" si="2"/>
        <v>23890</v>
      </c>
    </row>
    <row r="18" spans="1:16" x14ac:dyDescent="0.25">
      <c r="A18">
        <f>'Front Page'!A19</f>
        <v>17</v>
      </c>
      <c r="B18" t="str">
        <f>'Front Page'!B19</f>
        <v xml:space="preserve">20.c.ps.114.681 </v>
      </c>
      <c r="C18" t="str">
        <f>'Front Page'!C19</f>
        <v xml:space="preserve">Shands Teaching Hospital and Clinics, Inc. </v>
      </c>
      <c r="D18">
        <f>'Front Page'!E19</f>
        <v>90000</v>
      </c>
      <c r="E18" s="3">
        <f>ROUND('Front Page'!F19,4)</f>
        <v>96.856999999999999</v>
      </c>
      <c r="F18">
        <f t="shared" si="0"/>
        <v>87171.3</v>
      </c>
      <c r="G18">
        <f>IF((D18*(E18/100)*Sheet2!$B$4)&gt;1000,(D18*(E18/100)*Sheet2!$B$4),1000)</f>
        <v>16531.552889168892</v>
      </c>
      <c r="M18">
        <f>IF(G18=1000,1000,(F18*Sheet2!$B$8))</f>
        <v>16504.658543857109</v>
      </c>
      <c r="N18">
        <f t="shared" si="3"/>
        <v>16504.658543857109</v>
      </c>
      <c r="O18">
        <f t="shared" si="1"/>
        <v>16504.658543857109</v>
      </c>
      <c r="P18">
        <f t="shared" si="2"/>
        <v>16520</v>
      </c>
    </row>
    <row r="19" spans="1:16" x14ac:dyDescent="0.25">
      <c r="A19">
        <f>'Front Page'!A20</f>
        <v>18</v>
      </c>
      <c r="B19" t="str">
        <f>'Front Page'!B20</f>
        <v xml:space="preserve">20.c.ps.141.746 </v>
      </c>
      <c r="C19" t="str">
        <f>'Front Page'!C20</f>
        <v xml:space="preserve">The Marion Players, Inc. </v>
      </c>
      <c r="D19">
        <f>'Front Page'!E20</f>
        <v>150000</v>
      </c>
      <c r="E19" s="3">
        <f>ROUND('Front Page'!F20,4)</f>
        <v>96.570999999999998</v>
      </c>
      <c r="F19">
        <f t="shared" si="0"/>
        <v>144856.5</v>
      </c>
      <c r="G19">
        <f>IF((D19*(E19/100)*Sheet2!$B$4)&gt;1000,(D19*(E19/100)*Sheet2!$B$4),1000)</f>
        <v>27471.230681312467</v>
      </c>
      <c r="M19">
        <f>IF(G19=1000,1000,(F19*Sheet2!$B$8))</f>
        <v>27426.539128798551</v>
      </c>
      <c r="N19">
        <f t="shared" si="3"/>
        <v>27426.539128798551</v>
      </c>
      <c r="O19">
        <f t="shared" si="1"/>
        <v>27426.539128798551</v>
      </c>
      <c r="P19">
        <f t="shared" si="2"/>
        <v>27441</v>
      </c>
    </row>
    <row r="20" spans="1:16" x14ac:dyDescent="0.25">
      <c r="A20">
        <f>'Front Page'!A21</f>
        <v>19</v>
      </c>
      <c r="B20" t="str">
        <f>'Front Page'!B21</f>
        <v xml:space="preserve">20.c.ps.114.237 </v>
      </c>
      <c r="C20" t="str">
        <f>'Front Page'!C21</f>
        <v xml:space="preserve">Atlantic Center for the Arts, Inc. </v>
      </c>
      <c r="D20">
        <f>'Front Page'!E21</f>
        <v>150000</v>
      </c>
      <c r="E20" s="3">
        <f>ROUND('Front Page'!F21,4)</f>
        <v>96.429000000000002</v>
      </c>
      <c r="F20">
        <f t="shared" si="0"/>
        <v>144643.5</v>
      </c>
      <c r="G20">
        <f>IF((D20*(E20/100)*Sheet2!$B$4)&gt;1000,(D20*(E20/100)*Sheet2!$B$4),1000)</f>
        <v>27430.836414330181</v>
      </c>
      <c r="M20">
        <f>IF(G20=1000,1000,(F20*Sheet2!$B$8))</f>
        <v>27386.210577201393</v>
      </c>
      <c r="N20">
        <f t="shared" si="3"/>
        <v>27386.210577201393</v>
      </c>
      <c r="O20">
        <f t="shared" si="1"/>
        <v>27386.210577201393</v>
      </c>
      <c r="P20">
        <f t="shared" si="2"/>
        <v>27401</v>
      </c>
    </row>
    <row r="21" spans="1:16" x14ac:dyDescent="0.25">
      <c r="A21">
        <f>'Front Page'!A22</f>
        <v>20</v>
      </c>
      <c r="B21" t="str">
        <f>'Front Page'!B22</f>
        <v xml:space="preserve">20.c.ps.141.136 </v>
      </c>
      <c r="C21" t="str">
        <f>'Front Page'!C22</f>
        <v xml:space="preserve">The Fort Lauderdale Children's Theatre, Inc. </v>
      </c>
      <c r="D21">
        <f>'Front Page'!E22</f>
        <v>90000</v>
      </c>
      <c r="E21" s="3">
        <f>ROUND('Front Page'!F22,4)</f>
        <v>96.429000000000002</v>
      </c>
      <c r="F21">
        <f t="shared" si="0"/>
        <v>86786.099999999991</v>
      </c>
      <c r="G21">
        <f>IF((D21*(E21/100)*Sheet2!$B$4)&gt;1000,(D21*(E21/100)*Sheet2!$B$4),1000)</f>
        <v>16458.501848598105</v>
      </c>
      <c r="M21">
        <f>IF(G21=1000,1000,(F21*Sheet2!$B$8))</f>
        <v>16431.726346320833</v>
      </c>
      <c r="N21">
        <f t="shared" si="3"/>
        <v>16431.726346320833</v>
      </c>
      <c r="O21">
        <f t="shared" si="1"/>
        <v>16431.726346320833</v>
      </c>
      <c r="P21">
        <f t="shared" si="2"/>
        <v>16447</v>
      </c>
    </row>
    <row r="22" spans="1:16" x14ac:dyDescent="0.25">
      <c r="A22">
        <f>'Front Page'!A23</f>
        <v>21</v>
      </c>
      <c r="B22" t="str">
        <f>'Front Page'!B23</f>
        <v xml:space="preserve">20.c.ps.114.508 </v>
      </c>
      <c r="C22" t="str">
        <f>'Front Page'!C23</f>
        <v xml:space="preserve">ArtSouth, A Not-for-Profit Corporation </v>
      </c>
      <c r="D22">
        <f>'Front Page'!E23</f>
        <v>38800</v>
      </c>
      <c r="E22" s="3">
        <f>ROUND('Front Page'!F23,4)</f>
        <v>96.286000000000001</v>
      </c>
      <c r="F22">
        <f t="shared" si="0"/>
        <v>37358.968000000001</v>
      </c>
      <c r="G22">
        <f>IF((D22*(E22/100)*Sheet2!$B$4)&gt;1000,(D22*(E22/100)*Sheet2!$B$4),1000)</f>
        <v>7084.9207867356363</v>
      </c>
      <c r="M22">
        <f>IF(G22=1000,1000,(F22*Sheet2!$B$8))</f>
        <v>7073.3946882848404</v>
      </c>
      <c r="N22">
        <f t="shared" si="3"/>
        <v>7073.3946882848404</v>
      </c>
      <c r="O22">
        <f t="shared" si="1"/>
        <v>7073.3946882848404</v>
      </c>
      <c r="P22">
        <f t="shared" si="2"/>
        <v>7088</v>
      </c>
    </row>
    <row r="23" spans="1:16" x14ac:dyDescent="0.25">
      <c r="A23">
        <f>'Front Page'!A24</f>
        <v>22</v>
      </c>
      <c r="B23" t="str">
        <f>'Front Page'!B24</f>
        <v xml:space="preserve">20.c.ps.105.278 </v>
      </c>
      <c r="C23" t="str">
        <f>'Front Page'!C24</f>
        <v xml:space="preserve">Arts Center Association, Inc. </v>
      </c>
      <c r="D23">
        <f>'Front Page'!E24</f>
        <v>150000</v>
      </c>
      <c r="E23" s="3">
        <f>ROUND('Front Page'!F24,4)</f>
        <v>96.2</v>
      </c>
      <c r="F23">
        <f t="shared" si="0"/>
        <v>144300</v>
      </c>
      <c r="G23">
        <f>IF((D23*(E23/100)*Sheet2!$B$4)&gt;1000,(D23*(E23/100)*Sheet2!$B$4),1000)</f>
        <v>27365.693547154522</v>
      </c>
      <c r="M23">
        <f>IF(G23=1000,1000,(F23*Sheet2!$B$8))</f>
        <v>27321.17368765386</v>
      </c>
      <c r="N23">
        <f t="shared" si="3"/>
        <v>27321.17368765386</v>
      </c>
      <c r="O23">
        <f t="shared" si="1"/>
        <v>27321.17368765386</v>
      </c>
      <c r="P23">
        <f t="shared" si="2"/>
        <v>27336</v>
      </c>
    </row>
    <row r="24" spans="1:16" x14ac:dyDescent="0.25">
      <c r="A24">
        <f>'Front Page'!A25</f>
        <v>23</v>
      </c>
      <c r="B24" t="str">
        <f>'Front Page'!B25</f>
        <v xml:space="preserve">20.c.ps.170.538 </v>
      </c>
      <c r="C24" t="str">
        <f>'Front Page'!C25</f>
        <v xml:space="preserve">Jorge M. Pérez Art Museum of Miami-Dade County, Inc. </v>
      </c>
      <c r="D24">
        <f>'Front Page'!E25</f>
        <v>150000</v>
      </c>
      <c r="E24" s="3">
        <f>ROUND('Front Page'!F25,4)</f>
        <v>96.167000000000002</v>
      </c>
      <c r="F24">
        <f t="shared" si="0"/>
        <v>144250.5</v>
      </c>
      <c r="G24">
        <f>IF((D24*(E24/100)*Sheet2!$B$4)&gt;1000,(D24*(E24/100)*Sheet2!$B$4),1000)</f>
        <v>27356.306147081174</v>
      </c>
      <c r="M24">
        <f>IF(G24=1000,1000,(F24*Sheet2!$B$8))</f>
        <v>27311.801559465785</v>
      </c>
      <c r="N24">
        <f t="shared" si="3"/>
        <v>27311.801559465785</v>
      </c>
      <c r="O24">
        <f t="shared" si="1"/>
        <v>27311.801559465785</v>
      </c>
      <c r="P24">
        <f t="shared" si="2"/>
        <v>27327</v>
      </c>
    </row>
    <row r="25" spans="1:16" x14ac:dyDescent="0.25">
      <c r="A25">
        <f>'Front Page'!A26</f>
        <v>24</v>
      </c>
      <c r="B25" t="str">
        <f>'Front Page'!B26</f>
        <v xml:space="preserve">20.c.ps.101.086 </v>
      </c>
      <c r="C25" t="str">
        <f>'Front Page'!C26</f>
        <v xml:space="preserve">Dance Alive!, Inc. </v>
      </c>
      <c r="D25">
        <f>'Front Page'!E26</f>
        <v>85860</v>
      </c>
      <c r="E25" s="3">
        <f>ROUND('Front Page'!F26,4)</f>
        <v>96.143000000000001</v>
      </c>
      <c r="F25">
        <f t="shared" si="0"/>
        <v>82548.379799999995</v>
      </c>
      <c r="G25">
        <f>IF((D25*(E25/100)*Sheet2!$B$4)&gt;1000,(D25*(E25/100)*Sheet2!$B$4),1000)</f>
        <v>15654.841749278728</v>
      </c>
      <c r="M25">
        <f>IF(G25=1000,1000,(F25*Sheet2!$B$8))</f>
        <v>15629.373680874685</v>
      </c>
      <c r="N25">
        <f t="shared" si="3"/>
        <v>15629.373680874685</v>
      </c>
      <c r="O25">
        <f t="shared" si="1"/>
        <v>15629.373680874685</v>
      </c>
      <c r="P25">
        <f t="shared" si="2"/>
        <v>15644</v>
      </c>
    </row>
    <row r="26" spans="1:16" x14ac:dyDescent="0.25">
      <c r="A26">
        <f>'Front Page'!A27</f>
        <v>25</v>
      </c>
      <c r="B26" t="str">
        <f>'Front Page'!B27</f>
        <v xml:space="preserve">20.c.ps.102.333 </v>
      </c>
      <c r="C26" t="str">
        <f>'Front Page'!C27</f>
        <v xml:space="preserve">The Bach Festival Society of Winter Park, Inc. </v>
      </c>
      <c r="D26">
        <f>'Front Page'!E27</f>
        <v>132336</v>
      </c>
      <c r="E26" s="3">
        <f>ROUND('Front Page'!F27,4)</f>
        <v>96.125</v>
      </c>
      <c r="F26">
        <f t="shared" si="0"/>
        <v>127207.98000000001</v>
      </c>
      <c r="G26">
        <f>IF((D26*(E26/100)*Sheet2!$B$4)&gt;1000,(D26*(E26/100)*Sheet2!$B$4),1000)</f>
        <v>24124.286884494537</v>
      </c>
      <c r="M26">
        <f>IF(G26=1000,1000,(F26*Sheet2!$B$8))</f>
        <v>24085.040305167004</v>
      </c>
      <c r="N26">
        <f t="shared" si="3"/>
        <v>24085.040305167004</v>
      </c>
      <c r="O26">
        <f t="shared" si="1"/>
        <v>24085.040305167004</v>
      </c>
      <c r="P26">
        <f t="shared" si="2"/>
        <v>24100</v>
      </c>
    </row>
    <row r="27" spans="1:16" x14ac:dyDescent="0.25">
      <c r="A27">
        <f>'Front Page'!A28</f>
        <v>26</v>
      </c>
      <c r="B27" t="str">
        <f>'Front Page'!B28</f>
        <v xml:space="preserve">20.c.ps.141.541 </v>
      </c>
      <c r="C27" t="str">
        <f>'Front Page'!C28</f>
        <v xml:space="preserve">The Historic Cocoa Village Playhouse, Inc. </v>
      </c>
      <c r="D27">
        <f>'Front Page'!E28</f>
        <v>150000</v>
      </c>
      <c r="E27" s="3">
        <f>ROUND('Front Page'!F28,4)</f>
        <v>96</v>
      </c>
      <c r="F27">
        <f t="shared" si="0"/>
        <v>144000</v>
      </c>
      <c r="G27">
        <f>IF((D27*(E27/100)*Sheet2!$B$4)&gt;1000,(D27*(E27/100)*Sheet2!$B$4),1000)</f>
        <v>27308.800213376653</v>
      </c>
      <c r="M27">
        <f>IF(G27=1000,1000,(F27*Sheet2!$B$8))</f>
        <v>27264.37291075645</v>
      </c>
      <c r="N27">
        <f t="shared" si="3"/>
        <v>27264.37291075645</v>
      </c>
      <c r="O27">
        <f t="shared" si="1"/>
        <v>27264.37291075645</v>
      </c>
      <c r="P27">
        <f t="shared" si="2"/>
        <v>27279</v>
      </c>
    </row>
    <row r="28" spans="1:16" x14ac:dyDescent="0.25">
      <c r="A28">
        <f>'Front Page'!A29</f>
        <v>27</v>
      </c>
      <c r="B28" t="str">
        <f>'Front Page'!B29</f>
        <v xml:space="preserve">20.c.ps.141.351 </v>
      </c>
      <c r="C28" t="str">
        <f>'Front Page'!C29</f>
        <v xml:space="preserve">Theatre Jacksonville, Inc. </v>
      </c>
      <c r="D28">
        <f>'Front Page'!E29</f>
        <v>90000</v>
      </c>
      <c r="E28" s="3">
        <f>ROUND('Front Page'!F29,4)</f>
        <v>96</v>
      </c>
      <c r="F28">
        <f t="shared" si="0"/>
        <v>86400</v>
      </c>
      <c r="G28">
        <f>IF((D28*(E28/100)*Sheet2!$B$4)&gt;1000,(D28*(E28/100)*Sheet2!$B$4),1000)</f>
        <v>16385.280128025992</v>
      </c>
      <c r="M28">
        <f>IF(G28=1000,1000,(F28*Sheet2!$B$8))</f>
        <v>16358.62374645387</v>
      </c>
      <c r="N28">
        <f t="shared" si="3"/>
        <v>16358.62374645387</v>
      </c>
      <c r="O28">
        <f t="shared" si="1"/>
        <v>16358.62374645387</v>
      </c>
      <c r="P28">
        <f t="shared" si="2"/>
        <v>16374</v>
      </c>
    </row>
    <row r="29" spans="1:16" x14ac:dyDescent="0.25">
      <c r="A29">
        <f>'Front Page'!A30</f>
        <v>28</v>
      </c>
      <c r="B29" t="str">
        <f>'Front Page'!B30</f>
        <v xml:space="preserve">20.c.ps.102.263 </v>
      </c>
      <c r="C29" t="str">
        <f>'Front Page'!C30</f>
        <v xml:space="preserve">Amelia Island Chamber Music Festival, Inc. </v>
      </c>
      <c r="D29">
        <f>'Front Page'!E30</f>
        <v>70175</v>
      </c>
      <c r="E29" s="3">
        <f>ROUND('Front Page'!F30,4)</f>
        <v>96</v>
      </c>
      <c r="F29">
        <f t="shared" si="0"/>
        <v>67368</v>
      </c>
      <c r="G29">
        <f>IF((D29*(E29/100)*Sheet2!$B$4)&gt;1000,(D29*(E29/100)*Sheet2!$B$4),1000)</f>
        <v>12775.967033158044</v>
      </c>
      <c r="M29">
        <f>IF(G29=1000,1000,(F29*Sheet2!$B$8))</f>
        <v>12755.182460082226</v>
      </c>
      <c r="N29">
        <f t="shared" si="3"/>
        <v>12755.182460082226</v>
      </c>
      <c r="O29">
        <f t="shared" si="1"/>
        <v>12755.182460082226</v>
      </c>
      <c r="P29">
        <f t="shared" si="2"/>
        <v>12770</v>
      </c>
    </row>
    <row r="30" spans="1:16" x14ac:dyDescent="0.25">
      <c r="A30">
        <f>'Front Page'!A31</f>
        <v>29</v>
      </c>
      <c r="B30" t="str">
        <f>'Front Page'!B31</f>
        <v xml:space="preserve">20.c.ps.109.391 </v>
      </c>
      <c r="C30" t="str">
        <f>'Front Page'!C31</f>
        <v xml:space="preserve">The Tampa Theatre, Inc. </v>
      </c>
      <c r="D30">
        <f>'Front Page'!E31</f>
        <v>150000</v>
      </c>
      <c r="E30" s="3">
        <f>ROUND('Front Page'!F31,4)</f>
        <v>96</v>
      </c>
      <c r="F30">
        <f t="shared" si="0"/>
        <v>144000</v>
      </c>
      <c r="G30">
        <f>IF((D30*(E30/100)*Sheet2!$B$4)&gt;1000,(D30*(E30/100)*Sheet2!$B$4),1000)</f>
        <v>27308.800213376653</v>
      </c>
      <c r="M30">
        <f>IF(G30=1000,1000,(F30*Sheet2!$B$8))</f>
        <v>27264.37291075645</v>
      </c>
      <c r="N30">
        <f t="shared" si="3"/>
        <v>27264.37291075645</v>
      </c>
      <c r="O30">
        <f t="shared" si="1"/>
        <v>27264.37291075645</v>
      </c>
      <c r="P30">
        <f t="shared" si="2"/>
        <v>27279</v>
      </c>
    </row>
    <row r="31" spans="1:16" x14ac:dyDescent="0.25">
      <c r="A31">
        <f>'Front Page'!A32</f>
        <v>30</v>
      </c>
      <c r="B31" t="str">
        <f>'Front Page'!B32</f>
        <v xml:space="preserve">20.c.ps.141.579 </v>
      </c>
      <c r="C31" t="str">
        <f>'Front Page'!C32</f>
        <v xml:space="preserve">Players by the Sea, Inc </v>
      </c>
      <c r="D31">
        <f>'Front Page'!E32</f>
        <v>82500</v>
      </c>
      <c r="E31" s="3">
        <f>ROUND('Front Page'!F32,4)</f>
        <v>95.856999999999999</v>
      </c>
      <c r="F31">
        <f t="shared" si="0"/>
        <v>79082.025000000009</v>
      </c>
      <c r="G31">
        <f>IF((D31*(E31/100)*Sheet2!$B$4)&gt;1000,(D31*(E31/100)*Sheet2!$B$4),1000)</f>
        <v>14997.466813849014</v>
      </c>
      <c r="M31">
        <f>IF(G31=1000,1000,(F31*Sheet2!$B$8))</f>
        <v>14973.068195401143</v>
      </c>
      <c r="N31">
        <f t="shared" si="3"/>
        <v>14973.068195401143</v>
      </c>
      <c r="O31">
        <f t="shared" si="1"/>
        <v>14973.068195401143</v>
      </c>
      <c r="P31">
        <f t="shared" si="2"/>
        <v>14988</v>
      </c>
    </row>
    <row r="32" spans="1:16" x14ac:dyDescent="0.25">
      <c r="A32">
        <f>'Front Page'!A33</f>
        <v>31</v>
      </c>
      <c r="B32" t="str">
        <f>'Front Page'!B33</f>
        <v xml:space="preserve">20.c.ps.141.236 </v>
      </c>
      <c r="C32" t="str">
        <f>'Front Page'!C33</f>
        <v xml:space="preserve">Pensacola Little Theatre, Inc. </v>
      </c>
      <c r="D32">
        <f>'Front Page'!E33</f>
        <v>113500</v>
      </c>
      <c r="E32" s="3">
        <f>ROUND('Front Page'!F33,4)</f>
        <v>95.856999999999999</v>
      </c>
      <c r="F32">
        <f t="shared" si="0"/>
        <v>108797.69500000001</v>
      </c>
      <c r="G32">
        <f>IF((D32*(E32/100)*Sheet2!$B$4)&gt;1000,(D32*(E32/100)*Sheet2!$B$4),1000)</f>
        <v>20632.878586325613</v>
      </c>
      <c r="M32">
        <f>IF(G32=1000,1000,(F32*Sheet2!$B$8))</f>
        <v>20599.312002157934</v>
      </c>
      <c r="N32">
        <f t="shared" si="3"/>
        <v>20599.312002157934</v>
      </c>
      <c r="O32">
        <f t="shared" si="1"/>
        <v>20599.312002157934</v>
      </c>
      <c r="P32">
        <f t="shared" si="2"/>
        <v>20614</v>
      </c>
    </row>
    <row r="33" spans="1:16" x14ac:dyDescent="0.25">
      <c r="A33">
        <f>'Front Page'!A34</f>
        <v>32</v>
      </c>
      <c r="B33" t="str">
        <f>'Front Page'!B34</f>
        <v xml:space="preserve">20.c.ps.180.309 </v>
      </c>
      <c r="C33" t="str">
        <f>'Front Page'!C34</f>
        <v xml:space="preserve">Raymond F. Kravis Center for the Performing Arts, Inc. </v>
      </c>
      <c r="D33">
        <f>'Front Page'!E34</f>
        <v>150000</v>
      </c>
      <c r="E33" s="3">
        <f>ROUND('Front Page'!F34,4)</f>
        <v>95.856999999999999</v>
      </c>
      <c r="F33">
        <f t="shared" si="0"/>
        <v>143785.5</v>
      </c>
      <c r="G33">
        <f>IF((D33*(E33/100)*Sheet2!$B$4)&gt;1000,(D33*(E33/100)*Sheet2!$B$4),1000)</f>
        <v>27268.121479725476</v>
      </c>
      <c r="M33">
        <f>IF(G33=1000,1000,(F33*Sheet2!$B$8))</f>
        <v>27223.760355274801</v>
      </c>
      <c r="N33">
        <f t="shared" si="3"/>
        <v>27223.760355274801</v>
      </c>
      <c r="O33">
        <f t="shared" si="1"/>
        <v>27223.760355274801</v>
      </c>
      <c r="P33">
        <f t="shared" si="2"/>
        <v>27239</v>
      </c>
    </row>
    <row r="34" spans="1:16" x14ac:dyDescent="0.25">
      <c r="A34">
        <f>'Front Page'!A35</f>
        <v>33</v>
      </c>
      <c r="B34" t="str">
        <f>'Front Page'!B35</f>
        <v xml:space="preserve">20.c.ps.102.564 </v>
      </c>
      <c r="C34" t="str">
        <f>'Front Page'!C35</f>
        <v xml:space="preserve">Ocala Symphony Orchestra, Inc. </v>
      </c>
      <c r="D34">
        <f>'Front Page'!E35</f>
        <v>90000</v>
      </c>
      <c r="E34" s="3">
        <f>ROUND('Front Page'!F35,4)</f>
        <v>95.856999999999999</v>
      </c>
      <c r="F34">
        <f t="shared" si="0"/>
        <v>86271.3</v>
      </c>
      <c r="G34">
        <f>IF((D34*(E34/100)*Sheet2!$B$4)&gt;1000,(D34*(E34/100)*Sheet2!$B$4),1000)</f>
        <v>16360.872887835287</v>
      </c>
      <c r="M34">
        <f>IF(G34=1000,1000,(F34*Sheet2!$B$8))</f>
        <v>16334.256213164881</v>
      </c>
      <c r="N34">
        <f t="shared" si="3"/>
        <v>16334.256213164881</v>
      </c>
      <c r="O34">
        <f t="shared" si="1"/>
        <v>16334.256213164881</v>
      </c>
      <c r="P34">
        <f t="shared" si="2"/>
        <v>16349</v>
      </c>
    </row>
    <row r="35" spans="1:16" x14ac:dyDescent="0.25">
      <c r="A35">
        <f>'Front Page'!A36</f>
        <v>34</v>
      </c>
      <c r="B35" t="str">
        <f>'Front Page'!B36</f>
        <v xml:space="preserve">20.c.ps.170.679 </v>
      </c>
      <c r="C35" t="str">
        <f>'Front Page'!C36</f>
        <v xml:space="preserve">Boca Raton Museum of Art, Inc. </v>
      </c>
      <c r="D35">
        <f>'Front Page'!E36</f>
        <v>150000</v>
      </c>
      <c r="E35" s="3">
        <f>ROUND('Front Page'!F36,4)</f>
        <v>95.832999999999998</v>
      </c>
      <c r="F35">
        <f t="shared" si="0"/>
        <v>143749.5</v>
      </c>
      <c r="G35">
        <f>IF((D35*(E35/100)*Sheet2!$B$4)&gt;1000,(D35*(E35/100)*Sheet2!$B$4),1000)</f>
        <v>27261.294279672133</v>
      </c>
      <c r="M35">
        <f>IF(G35=1000,1000,(F35*Sheet2!$B$8))</f>
        <v>27216.944262047113</v>
      </c>
      <c r="N35">
        <f t="shared" si="3"/>
        <v>27216.944262047113</v>
      </c>
      <c r="O35">
        <f t="shared" si="1"/>
        <v>27216.944262047113</v>
      </c>
      <c r="P35">
        <f t="shared" si="2"/>
        <v>27232</v>
      </c>
    </row>
    <row r="36" spans="1:16" x14ac:dyDescent="0.25">
      <c r="A36">
        <f>'Front Page'!A37</f>
        <v>35</v>
      </c>
      <c r="B36" t="str">
        <f>'Front Page'!B37</f>
        <v xml:space="preserve">20.c.ps.142.343 </v>
      </c>
      <c r="C36" t="str">
        <f>'Front Page'!C37</f>
        <v xml:space="preserve">Maltz Jupiter Theatre, Inc. </v>
      </c>
      <c r="D36">
        <f>'Front Page'!E37</f>
        <v>150000</v>
      </c>
      <c r="E36" s="3">
        <f>ROUND('Front Page'!F37,4)</f>
        <v>95.832999999999998</v>
      </c>
      <c r="F36">
        <f t="shared" si="0"/>
        <v>143749.5</v>
      </c>
      <c r="G36">
        <f>IF((D36*(E36/100)*Sheet2!$B$4)&gt;1000,(D36*(E36/100)*Sheet2!$B$4),1000)</f>
        <v>27261.294279672133</v>
      </c>
      <c r="M36">
        <f>IF(G36=1000,1000,(F36*Sheet2!$B$8))</f>
        <v>27216.944262047113</v>
      </c>
      <c r="N36">
        <f t="shared" si="3"/>
        <v>27216.944262047113</v>
      </c>
      <c r="O36">
        <f t="shared" si="1"/>
        <v>27216.944262047113</v>
      </c>
      <c r="P36">
        <f t="shared" si="2"/>
        <v>27232</v>
      </c>
    </row>
    <row r="37" spans="1:16" x14ac:dyDescent="0.25">
      <c r="A37">
        <f>'Front Page'!A38</f>
        <v>36</v>
      </c>
      <c r="B37" t="str">
        <f>'Front Page'!B38</f>
        <v xml:space="preserve">20.c.ps.170.495 </v>
      </c>
      <c r="C37" t="str">
        <f>'Front Page'!C38</f>
        <v xml:space="preserve">Museum of Discovery and Science, Inc. </v>
      </c>
      <c r="D37">
        <f>'Front Page'!E38</f>
        <v>150000</v>
      </c>
      <c r="E37" s="3">
        <f>ROUND('Front Page'!F38,4)</f>
        <v>95.832999999999998</v>
      </c>
      <c r="F37">
        <f t="shared" si="0"/>
        <v>143749.5</v>
      </c>
      <c r="G37">
        <f>IF((D37*(E37/100)*Sheet2!$B$4)&gt;1000,(D37*(E37/100)*Sheet2!$B$4),1000)</f>
        <v>27261.294279672133</v>
      </c>
      <c r="M37">
        <f>IF(G37=1000,1000,(F37*Sheet2!$B$8))</f>
        <v>27216.944262047113</v>
      </c>
      <c r="N37">
        <f t="shared" si="3"/>
        <v>27216.944262047113</v>
      </c>
      <c r="O37">
        <f t="shared" si="1"/>
        <v>27216.944262047113</v>
      </c>
      <c r="P37">
        <f t="shared" si="2"/>
        <v>27232</v>
      </c>
    </row>
    <row r="38" spans="1:16" x14ac:dyDescent="0.25">
      <c r="A38">
        <f>'Front Page'!A39</f>
        <v>37</v>
      </c>
      <c r="B38" t="str">
        <f>'Front Page'!B39</f>
        <v xml:space="preserve">20.c.ps.141.378 </v>
      </c>
      <c r="C38" t="str">
        <f>'Front Page'!C39</f>
        <v xml:space="preserve">Tallahassee Little Theatre, Inc. </v>
      </c>
      <c r="D38">
        <f>'Front Page'!E39</f>
        <v>70300</v>
      </c>
      <c r="E38" s="3">
        <f>ROUND('Front Page'!F39,4)</f>
        <v>95.713999999999999</v>
      </c>
      <c r="F38">
        <f t="shared" si="0"/>
        <v>67286.941999999995</v>
      </c>
      <c r="G38">
        <f>IF((D38*(E38/100)*Sheet2!$B$4)&gt;1000,(D38*(E38/100)*Sheet2!$B$4),1000)</f>
        <v>12760.594833660156</v>
      </c>
      <c r="M38">
        <f>IF(G38=1000,1000,(F38*Sheet2!$B$8))</f>
        <v>12739.83526883639</v>
      </c>
      <c r="N38">
        <f t="shared" si="3"/>
        <v>12739.83526883639</v>
      </c>
      <c r="O38">
        <f t="shared" si="1"/>
        <v>12739.83526883639</v>
      </c>
      <c r="P38">
        <f t="shared" si="2"/>
        <v>12755</v>
      </c>
    </row>
    <row r="39" spans="1:16" x14ac:dyDescent="0.25">
      <c r="A39">
        <f>'Front Page'!A40</f>
        <v>38</v>
      </c>
      <c r="B39" t="str">
        <f>'Front Page'!B40</f>
        <v xml:space="preserve">20.c.ps.114.151 </v>
      </c>
      <c r="C39" t="str">
        <f>'Front Page'!C40</f>
        <v xml:space="preserve">The Hermitage Artist Retreat, Inc. </v>
      </c>
      <c r="D39">
        <f>'Front Page'!E40</f>
        <v>90000</v>
      </c>
      <c r="E39" s="3">
        <f>ROUND('Front Page'!F40,4)</f>
        <v>95.713999999999999</v>
      </c>
      <c r="F39">
        <f t="shared" si="0"/>
        <v>86142.6</v>
      </c>
      <c r="G39">
        <f>IF((D39*(E39/100)*Sheet2!$B$4)&gt;1000,(D39*(E39/100)*Sheet2!$B$4),1000)</f>
        <v>16336.465647644582</v>
      </c>
      <c r="M39">
        <f>IF(G39=1000,1000,(F39*Sheet2!$B$8))</f>
        <v>16309.888679875894</v>
      </c>
      <c r="N39">
        <f t="shared" si="3"/>
        <v>16309.888679875894</v>
      </c>
      <c r="O39">
        <f t="shared" si="1"/>
        <v>16309.888679875894</v>
      </c>
      <c r="P39">
        <f t="shared" si="2"/>
        <v>16325</v>
      </c>
    </row>
    <row r="40" spans="1:16" x14ac:dyDescent="0.25">
      <c r="A40">
        <f>'Front Page'!A41</f>
        <v>39</v>
      </c>
      <c r="B40" t="str">
        <f>'Front Page'!B41</f>
        <v xml:space="preserve">20.c.ps.180.046 </v>
      </c>
      <c r="C40" t="str">
        <f>'Front Page'!C41</f>
        <v xml:space="preserve">Florida State University Foundation, Inc. </v>
      </c>
      <c r="D40">
        <f>'Front Page'!E41</f>
        <v>150000</v>
      </c>
      <c r="E40" s="3">
        <f>ROUND('Front Page'!F41,4)</f>
        <v>95.713999999999999</v>
      </c>
      <c r="F40">
        <f t="shared" si="0"/>
        <v>143571</v>
      </c>
      <c r="G40">
        <f>IF((D40*(E40/100)*Sheet2!$B$4)&gt;1000,(D40*(E40/100)*Sheet2!$B$4),1000)</f>
        <v>27227.442746074303</v>
      </c>
      <c r="M40">
        <f>IF(G40=1000,1000,(F40*Sheet2!$B$8))</f>
        <v>27183.147799793154</v>
      </c>
      <c r="N40">
        <f t="shared" si="3"/>
        <v>27183.147799793154</v>
      </c>
      <c r="O40">
        <f t="shared" si="1"/>
        <v>27183.147799793154</v>
      </c>
      <c r="P40">
        <f t="shared" si="2"/>
        <v>27198</v>
      </c>
    </row>
    <row r="41" spans="1:16" x14ac:dyDescent="0.25">
      <c r="A41">
        <f>'Front Page'!A42</f>
        <v>40</v>
      </c>
      <c r="B41" t="str">
        <f>'Front Page'!B42</f>
        <v xml:space="preserve">20.c.ps.170.728 </v>
      </c>
      <c r="C41" t="str">
        <f>'Front Page'!C42</f>
        <v xml:space="preserve">Orlando Science Center, Inc. </v>
      </c>
      <c r="D41">
        <f>'Front Page'!E42</f>
        <v>150000</v>
      </c>
      <c r="E41" s="3">
        <f>ROUND('Front Page'!F42,4)</f>
        <v>95.713999999999999</v>
      </c>
      <c r="F41">
        <f t="shared" si="0"/>
        <v>143571</v>
      </c>
      <c r="G41">
        <f>IF((D41*(E41/100)*Sheet2!$B$4)&gt;1000,(D41*(E41/100)*Sheet2!$B$4),1000)</f>
        <v>27227.442746074303</v>
      </c>
      <c r="M41">
        <f>IF(G41=1000,1000,(F41*Sheet2!$B$8))</f>
        <v>27183.147799793154</v>
      </c>
      <c r="N41">
        <f t="shared" si="3"/>
        <v>27183.147799793154</v>
      </c>
      <c r="O41">
        <f t="shared" si="1"/>
        <v>27183.147799793154</v>
      </c>
      <c r="P41">
        <f t="shared" si="2"/>
        <v>27198</v>
      </c>
    </row>
    <row r="42" spans="1:16" x14ac:dyDescent="0.25">
      <c r="A42">
        <f>'Front Page'!A43</f>
        <v>41</v>
      </c>
      <c r="B42" t="str">
        <f>'Front Page'!B43</f>
        <v xml:space="preserve">20.c.ps.142.523 </v>
      </c>
      <c r="C42" t="str">
        <f>'Front Page'!C43</f>
        <v xml:space="preserve">Florida Repertory Company, Inc. </v>
      </c>
      <c r="D42">
        <f>'Front Page'!E43</f>
        <v>150000</v>
      </c>
      <c r="E42" s="3">
        <f>ROUND('Front Page'!F43,4)</f>
        <v>95.667000000000002</v>
      </c>
      <c r="F42">
        <f t="shared" si="0"/>
        <v>143500.5</v>
      </c>
      <c r="G42">
        <f>IF((D42*(E42/100)*Sheet2!$B$4)&gt;1000,(D42*(E42/100)*Sheet2!$B$4),1000)</f>
        <v>27214.072812636503</v>
      </c>
      <c r="M42">
        <f>IF(G42=1000,1000,(F42*Sheet2!$B$8))</f>
        <v>27169.799617222263</v>
      </c>
      <c r="N42">
        <f t="shared" si="3"/>
        <v>27169.799617222263</v>
      </c>
      <c r="O42">
        <f t="shared" si="1"/>
        <v>27169.799617222263</v>
      </c>
      <c r="P42">
        <f t="shared" si="2"/>
        <v>27185</v>
      </c>
    </row>
    <row r="43" spans="1:16" x14ac:dyDescent="0.25">
      <c r="A43">
        <f>'Front Page'!A44</f>
        <v>42</v>
      </c>
      <c r="B43" t="str">
        <f>'Front Page'!B44</f>
        <v xml:space="preserve">20.c.ps.170.552 </v>
      </c>
      <c r="C43" t="str">
        <f>'Front Page'!C44</f>
        <v xml:space="preserve">Great Explorations, Inc. </v>
      </c>
      <c r="D43">
        <f>'Front Page'!E44</f>
        <v>150000</v>
      </c>
      <c r="E43" s="3">
        <f>ROUND('Front Page'!F44,4)</f>
        <v>95.667000000000002</v>
      </c>
      <c r="F43">
        <f t="shared" si="0"/>
        <v>143500.5</v>
      </c>
      <c r="G43">
        <f>IF((D43*(E43/100)*Sheet2!$B$4)&gt;1000,(D43*(E43/100)*Sheet2!$B$4),1000)</f>
        <v>27214.072812636503</v>
      </c>
      <c r="M43">
        <f>IF(G43=1000,1000,(F43*Sheet2!$B$8))</f>
        <v>27169.799617222263</v>
      </c>
      <c r="N43">
        <f t="shared" si="3"/>
        <v>27169.799617222263</v>
      </c>
      <c r="O43">
        <f t="shared" si="1"/>
        <v>27169.799617222263</v>
      </c>
      <c r="P43">
        <f t="shared" si="2"/>
        <v>27185</v>
      </c>
    </row>
    <row r="44" spans="1:16" x14ac:dyDescent="0.25">
      <c r="A44">
        <f>'Front Page'!A45</f>
        <v>43</v>
      </c>
      <c r="B44" t="str">
        <f>'Front Page'!B45</f>
        <v xml:space="preserve">20.c.ps.200.431 </v>
      </c>
      <c r="C44" t="str">
        <f>'Front Page'!C45</f>
        <v xml:space="preserve">Central Florida Vocal Arts </v>
      </c>
      <c r="D44">
        <f>'Front Page'!E45</f>
        <v>15000</v>
      </c>
      <c r="E44" s="3">
        <f>ROUND('Front Page'!F45,4)</f>
        <v>95.6</v>
      </c>
      <c r="F44">
        <f t="shared" si="0"/>
        <v>14340</v>
      </c>
      <c r="G44">
        <f>IF((D44*(E44/100)*Sheet2!$B$4)&gt;1000,(D44*(E44/100)*Sheet2!$B$4),1000)</f>
        <v>2719.5013545820916</v>
      </c>
      <c r="M44">
        <f>IF(G44=1000,1000,(F44*Sheet2!$B$8))</f>
        <v>2715.0771356961632</v>
      </c>
      <c r="N44">
        <f t="shared" si="3"/>
        <v>2715.0771356961632</v>
      </c>
      <c r="O44">
        <f t="shared" si="1"/>
        <v>2715.0771356961632</v>
      </c>
      <c r="P44">
        <f t="shared" si="2"/>
        <v>2730</v>
      </c>
    </row>
    <row r="45" spans="1:16" x14ac:dyDescent="0.25">
      <c r="A45">
        <f>'Front Page'!A46</f>
        <v>44</v>
      </c>
      <c r="B45" t="str">
        <f>'Front Page'!B46</f>
        <v xml:space="preserve">20.c.ps.105.233 </v>
      </c>
      <c r="C45" t="str">
        <f>'Front Page'!C46</f>
        <v xml:space="preserve">Florida Craftsmen </v>
      </c>
      <c r="D45">
        <f>'Front Page'!E46</f>
        <v>90000</v>
      </c>
      <c r="E45" s="3">
        <f>ROUND('Front Page'!F46,4)</f>
        <v>95.6</v>
      </c>
      <c r="F45">
        <f t="shared" si="0"/>
        <v>86040</v>
      </c>
      <c r="G45">
        <f>IF((D45*(E45/100)*Sheet2!$B$4)&gt;1000,(D45*(E45/100)*Sheet2!$B$4),1000)</f>
        <v>16317.008127492551</v>
      </c>
      <c r="M45">
        <f>IF(G45=1000,1000,(F45*Sheet2!$B$8))</f>
        <v>16290.462814176979</v>
      </c>
      <c r="N45">
        <f t="shared" si="3"/>
        <v>16290.462814176979</v>
      </c>
      <c r="O45">
        <f t="shared" si="1"/>
        <v>16290.462814176979</v>
      </c>
      <c r="P45">
        <f t="shared" si="2"/>
        <v>16305</v>
      </c>
    </row>
    <row r="46" spans="1:16" x14ac:dyDescent="0.25">
      <c r="A46">
        <f>'Front Page'!A47</f>
        <v>45</v>
      </c>
      <c r="B46" t="str">
        <f>'Front Page'!B47</f>
        <v xml:space="preserve">20.c.ps.141.607 </v>
      </c>
      <c r="C46" t="str">
        <f>'Front Page'!C47</f>
        <v xml:space="preserve">The Manatee Players, Inc. </v>
      </c>
      <c r="D46">
        <f>'Front Page'!E47</f>
        <v>150000</v>
      </c>
      <c r="E46" s="3">
        <f>ROUND('Front Page'!F47,4)</f>
        <v>95.570999999999998</v>
      </c>
      <c r="F46">
        <f t="shared" si="0"/>
        <v>143356.5</v>
      </c>
      <c r="G46">
        <f>IF((D46*(E46/100)*Sheet2!$B$4)&gt;1000,(D46*(E46/100)*Sheet2!$B$4),1000)</f>
        <v>27186.764012423126</v>
      </c>
      <c r="M46">
        <f>IF(G46=1000,1000,(F46*Sheet2!$B$8))</f>
        <v>27142.535244311508</v>
      </c>
      <c r="N46">
        <f t="shared" si="3"/>
        <v>27142.535244311508</v>
      </c>
      <c r="O46">
        <f t="shared" si="1"/>
        <v>27142.535244311508</v>
      </c>
      <c r="P46">
        <f t="shared" si="2"/>
        <v>27157</v>
      </c>
    </row>
    <row r="47" spans="1:16" x14ac:dyDescent="0.25">
      <c r="A47">
        <f>'Front Page'!A48</f>
        <v>46</v>
      </c>
      <c r="B47" t="str">
        <f>'Front Page'!B48</f>
        <v xml:space="preserve">20.c.ps.102.108 </v>
      </c>
      <c r="C47" t="str">
        <f>'Front Page'!C48</f>
        <v xml:space="preserve">The Imperial Symphony Orchestra, Inc. </v>
      </c>
      <c r="D47">
        <f>'Front Page'!E48</f>
        <v>78937</v>
      </c>
      <c r="E47" s="3">
        <f>ROUND('Front Page'!F48,4)</f>
        <v>95.570999999999998</v>
      </c>
      <c r="F47">
        <f t="shared" si="0"/>
        <v>75440.880269999994</v>
      </c>
      <c r="G47">
        <f>IF((D47*(E47/100)*Sheet2!$B$4)&gt;1000,(D47*(E47/100)*Sheet2!$B$4),1000)</f>
        <v>14306.94393899096</v>
      </c>
      <c r="M47">
        <f>IF(G47=1000,1000,(F47*Sheet2!$B$8))</f>
        <v>14283.668697201449</v>
      </c>
      <c r="N47">
        <f t="shared" si="3"/>
        <v>14283.668697201449</v>
      </c>
      <c r="O47">
        <f t="shared" si="1"/>
        <v>14283.668697201449</v>
      </c>
      <c r="P47">
        <f t="shared" si="2"/>
        <v>14299</v>
      </c>
    </row>
    <row r="48" spans="1:16" x14ac:dyDescent="0.25">
      <c r="A48">
        <f>'Front Page'!A49</f>
        <v>47</v>
      </c>
      <c r="B48" t="str">
        <f>'Front Page'!B49</f>
        <v xml:space="preserve">20.c.ps.170.707 </v>
      </c>
      <c r="C48" t="str">
        <f>'Front Page'!C49</f>
        <v xml:space="preserve">Institute of Contemporary Art, Miami </v>
      </c>
      <c r="D48">
        <f>'Front Page'!E49</f>
        <v>25000</v>
      </c>
      <c r="E48" s="3">
        <f>ROUND('Front Page'!F49,4)</f>
        <v>95.332999999999998</v>
      </c>
      <c r="F48">
        <f t="shared" si="0"/>
        <v>23833.25</v>
      </c>
      <c r="G48">
        <f>IF((D48*(E48/100)*Sheet2!$B$4)&gt;1000,(D48*(E48/100)*Sheet2!$B$4),1000)</f>
        <v>4519.8434908712443</v>
      </c>
      <c r="M48">
        <f>IF(G48=1000,1000,(F48*Sheet2!$B$8))</f>
        <v>4512.4903866339318</v>
      </c>
      <c r="N48">
        <f t="shared" si="3"/>
        <v>4512.4903866339318</v>
      </c>
      <c r="O48">
        <f t="shared" si="1"/>
        <v>4512.4903866339318</v>
      </c>
      <c r="P48">
        <f t="shared" si="2"/>
        <v>4527</v>
      </c>
    </row>
    <row r="49" spans="1:16" x14ac:dyDescent="0.25">
      <c r="A49">
        <f>'Front Page'!A50</f>
        <v>48</v>
      </c>
      <c r="B49" t="str">
        <f>'Front Page'!B50</f>
        <v xml:space="preserve">20.c.ps.170.576 </v>
      </c>
      <c r="C49" t="str">
        <f>'Front Page'!C50</f>
        <v xml:space="preserve">Dunedin Museum, Inc. </v>
      </c>
      <c r="D49">
        <f>'Front Page'!E50</f>
        <v>40000</v>
      </c>
      <c r="E49" s="3">
        <f>ROUND('Front Page'!F50,4)</f>
        <v>95.332999999999998</v>
      </c>
      <c r="F49">
        <f t="shared" si="0"/>
        <v>38133.199999999997</v>
      </c>
      <c r="G49">
        <f>IF((D49*(E49/100)*Sheet2!$B$4)&gt;1000,(D49*(E49/100)*Sheet2!$B$4),1000)</f>
        <v>7231.7495853939899</v>
      </c>
      <c r="M49">
        <f>IF(G49=1000,1000,(F49*Sheet2!$B$8))</f>
        <v>7219.9846186142895</v>
      </c>
      <c r="N49">
        <f t="shared" si="3"/>
        <v>7219.9846186142895</v>
      </c>
      <c r="O49">
        <f t="shared" si="1"/>
        <v>7219.9846186142895</v>
      </c>
      <c r="P49">
        <f t="shared" si="2"/>
        <v>7235</v>
      </c>
    </row>
    <row r="50" spans="1:16" x14ac:dyDescent="0.25">
      <c r="A50">
        <f>'Front Page'!A51</f>
        <v>49</v>
      </c>
      <c r="B50" t="str">
        <f>'Front Page'!B51</f>
        <v xml:space="preserve">20.c.ps.500.507 </v>
      </c>
      <c r="C50" t="str">
        <f>'Front Page'!C51</f>
        <v xml:space="preserve">United Arts of Central Florida </v>
      </c>
      <c r="D50">
        <f>'Front Page'!E51</f>
        <v>150000</v>
      </c>
      <c r="E50" s="3">
        <f>ROUND('Front Page'!F51,4)</f>
        <v>95.332999999999998</v>
      </c>
      <c r="F50">
        <f t="shared" si="0"/>
        <v>142999.5</v>
      </c>
      <c r="G50">
        <f>IF((D50*(E50/100)*Sheet2!$B$4)&gt;1000,(D50*(E50/100)*Sheet2!$B$4),1000)</f>
        <v>27119.060945227462</v>
      </c>
      <c r="M50">
        <f>IF(G50=1000,1000,(F50*Sheet2!$B$8))</f>
        <v>27074.942319803591</v>
      </c>
      <c r="N50">
        <f t="shared" si="3"/>
        <v>27074.942319803591</v>
      </c>
      <c r="O50">
        <f t="shared" si="1"/>
        <v>27074.942319803591</v>
      </c>
      <c r="P50">
        <f t="shared" si="2"/>
        <v>27090</v>
      </c>
    </row>
    <row r="51" spans="1:16" x14ac:dyDescent="0.25">
      <c r="A51">
        <f>'Front Page'!A52</f>
        <v>50</v>
      </c>
      <c r="B51" t="str">
        <f>'Front Page'!B52</f>
        <v xml:space="preserve">20.c.ps.170.641 </v>
      </c>
      <c r="C51" t="str">
        <f>'Front Page'!C52</f>
        <v xml:space="preserve">Vizcaya Museum and Gardens Trust, Inc. </v>
      </c>
      <c r="D51">
        <f>'Front Page'!E52</f>
        <v>150000</v>
      </c>
      <c r="E51" s="3">
        <f>ROUND('Front Page'!F52,4)</f>
        <v>95.286000000000001</v>
      </c>
      <c r="F51">
        <f t="shared" si="0"/>
        <v>142929</v>
      </c>
      <c r="G51">
        <f>IF((D51*(E51/100)*Sheet2!$B$4)&gt;1000,(D51*(E51/100)*Sheet2!$B$4),1000)</f>
        <v>27105.691011789666</v>
      </c>
      <c r="M51">
        <f>IF(G51=1000,1000,(F51*Sheet2!$B$8))</f>
        <v>27061.5941372327</v>
      </c>
      <c r="N51">
        <f t="shared" si="3"/>
        <v>27061.5941372327</v>
      </c>
      <c r="O51">
        <f t="shared" si="1"/>
        <v>27061.5941372327</v>
      </c>
      <c r="P51">
        <f t="shared" si="2"/>
        <v>27077</v>
      </c>
    </row>
    <row r="52" spans="1:16" x14ac:dyDescent="0.25">
      <c r="A52">
        <f>'Front Page'!A53</f>
        <v>51</v>
      </c>
      <c r="B52" t="str">
        <f>'Front Page'!B53</f>
        <v xml:space="preserve">20.c.ps.102.689 </v>
      </c>
      <c r="C52" t="str">
        <f>'Front Page'!C53</f>
        <v xml:space="preserve">Florida Symphony Youth Orchestra, Inc. </v>
      </c>
      <c r="D52">
        <f>'Front Page'!E53</f>
        <v>46100</v>
      </c>
      <c r="E52" s="3">
        <f>ROUND('Front Page'!F53,4)</f>
        <v>95.286000000000001</v>
      </c>
      <c r="F52">
        <f t="shared" si="0"/>
        <v>43926.846000000005</v>
      </c>
      <c r="G52">
        <f>IF((D52*(E52/100)*Sheet2!$B$4)&gt;1000,(D52*(E52/100)*Sheet2!$B$4),1000)</f>
        <v>8330.4823709566917</v>
      </c>
      <c r="M52">
        <f>IF(G52=1000,1000,(F52*Sheet2!$B$8))</f>
        <v>8316.9299315095177</v>
      </c>
      <c r="N52">
        <f t="shared" si="3"/>
        <v>8316.9299315095177</v>
      </c>
      <c r="O52">
        <f t="shared" si="1"/>
        <v>8316.9299315095177</v>
      </c>
      <c r="P52">
        <f t="shared" si="2"/>
        <v>8332</v>
      </c>
    </row>
    <row r="53" spans="1:16" x14ac:dyDescent="0.25">
      <c r="A53">
        <f>'Front Page'!A54</f>
        <v>52</v>
      </c>
      <c r="B53" t="str">
        <f>'Front Page'!B54</f>
        <v xml:space="preserve">20.c.ps.114.176 </v>
      </c>
      <c r="C53" t="str">
        <f>'Front Page'!C54</f>
        <v xml:space="preserve">Hollywood Art and Culture Center, Inc. </v>
      </c>
      <c r="D53">
        <f>'Front Page'!E54</f>
        <v>120000</v>
      </c>
      <c r="E53" s="3">
        <f>ROUND('Front Page'!F54,4)</f>
        <v>95.286000000000001</v>
      </c>
      <c r="F53">
        <f t="shared" si="0"/>
        <v>114343.20000000001</v>
      </c>
      <c r="G53">
        <f>IF((D53*(E53/100)*Sheet2!$B$4)&gt;1000,(D53*(E53/100)*Sheet2!$B$4),1000)</f>
        <v>21684.552809431734</v>
      </c>
      <c r="M53">
        <f>IF(G53=1000,1000,(F53*Sheet2!$B$8))</f>
        <v>21649.275309786161</v>
      </c>
      <c r="N53">
        <f t="shared" si="3"/>
        <v>21649.275309786161</v>
      </c>
      <c r="O53">
        <f t="shared" si="1"/>
        <v>21649.275309786161</v>
      </c>
      <c r="P53">
        <f t="shared" si="2"/>
        <v>21664</v>
      </c>
    </row>
    <row r="54" spans="1:16" x14ac:dyDescent="0.25">
      <c r="A54">
        <f>'Front Page'!A55</f>
        <v>53</v>
      </c>
      <c r="B54" t="str">
        <f>'Front Page'!B55</f>
        <v xml:space="preserve">20.c.ps.109.634 </v>
      </c>
      <c r="C54" t="str">
        <f>'Front Page'!C55</f>
        <v xml:space="preserve">Enzian Theatre, Inc. </v>
      </c>
      <c r="D54">
        <f>'Front Page'!E55</f>
        <v>150000</v>
      </c>
      <c r="E54" s="3">
        <f>ROUND('Front Page'!F55,4)</f>
        <v>95.25</v>
      </c>
      <c r="F54">
        <f t="shared" si="0"/>
        <v>142875</v>
      </c>
      <c r="G54">
        <f>IF((D54*(E54/100)*Sheet2!$B$4)&gt;1000,(D54*(E54/100)*Sheet2!$B$4),1000)</f>
        <v>27095.450211709649</v>
      </c>
      <c r="M54">
        <f>IF(G54=1000,1000,(F54*Sheet2!$B$8))</f>
        <v>27051.369997391164</v>
      </c>
      <c r="N54">
        <f t="shared" si="3"/>
        <v>27051.369997391164</v>
      </c>
      <c r="O54">
        <f t="shared" si="1"/>
        <v>27051.369997391164</v>
      </c>
      <c r="P54">
        <f t="shared" si="2"/>
        <v>27066</v>
      </c>
    </row>
    <row r="55" spans="1:16" x14ac:dyDescent="0.25">
      <c r="A55">
        <f>'Front Page'!A56</f>
        <v>54</v>
      </c>
      <c r="B55" t="str">
        <f>'Front Page'!B56</f>
        <v xml:space="preserve">20.c.ps.102.164 </v>
      </c>
      <c r="C55" t="str">
        <f>'Front Page'!C56</f>
        <v xml:space="preserve">Tallahassee Symphony Orchestra, Inc. </v>
      </c>
      <c r="D55">
        <f>'Front Page'!E56</f>
        <v>100651</v>
      </c>
      <c r="E55" s="3">
        <f>ROUND('Front Page'!F56,4)</f>
        <v>95.25</v>
      </c>
      <c r="F55">
        <f t="shared" si="0"/>
        <v>95870.077499999999</v>
      </c>
      <c r="G55">
        <f>IF((D55*(E55/100)*Sheet2!$B$4)&gt;1000,(D55*(E55/100)*Sheet2!$B$4),1000)</f>
        <v>18181.227728391917</v>
      </c>
      <c r="M55">
        <f>IF(G55=1000,1000,(F55*Sheet2!$B$8))</f>
        <v>18151.649610716122</v>
      </c>
      <c r="N55">
        <f t="shared" si="3"/>
        <v>18151.649610716122</v>
      </c>
      <c r="O55">
        <f t="shared" si="1"/>
        <v>18151.649610716122</v>
      </c>
      <c r="P55">
        <f t="shared" si="2"/>
        <v>18167</v>
      </c>
    </row>
    <row r="56" spans="1:16" x14ac:dyDescent="0.25">
      <c r="A56">
        <f>'Front Page'!A57</f>
        <v>55</v>
      </c>
      <c r="B56" t="str">
        <f>'Front Page'!B57</f>
        <v xml:space="preserve">20.c.ps.170.281 </v>
      </c>
      <c r="C56" t="str">
        <f>'Front Page'!C57</f>
        <v xml:space="preserve">The DeEtte Holden Cummer Museum Foundation, Inc. </v>
      </c>
      <c r="D56">
        <f>'Front Page'!E57</f>
        <v>150000</v>
      </c>
      <c r="E56" s="3">
        <f>ROUND('Front Page'!F57,4)</f>
        <v>95.143000000000001</v>
      </c>
      <c r="F56">
        <f t="shared" si="0"/>
        <v>142714.5</v>
      </c>
      <c r="G56">
        <f>IF((D56*(E56/100)*Sheet2!$B$4)&gt;1000,(D56*(E56/100)*Sheet2!$B$4),1000)</f>
        <v>27065.012278138489</v>
      </c>
      <c r="M56">
        <f>IF(G56=1000,1000,(F56*Sheet2!$B$8))</f>
        <v>27020.98158175105</v>
      </c>
      <c r="N56">
        <f t="shared" si="3"/>
        <v>27020.98158175105</v>
      </c>
      <c r="O56">
        <f t="shared" si="1"/>
        <v>27020.98158175105</v>
      </c>
      <c r="P56">
        <f t="shared" si="2"/>
        <v>27036</v>
      </c>
    </row>
    <row r="57" spans="1:16" x14ac:dyDescent="0.25">
      <c r="A57">
        <f>'Front Page'!A58</f>
        <v>56</v>
      </c>
      <c r="B57" t="str">
        <f>'Front Page'!B58</f>
        <v xml:space="preserve">20.c.ps.114.096 </v>
      </c>
      <c r="C57" t="str">
        <f>'Front Page'!C58</f>
        <v xml:space="preserve">Artis—Naples, Inc. </v>
      </c>
      <c r="D57">
        <f>'Front Page'!E58</f>
        <v>150000</v>
      </c>
      <c r="E57" s="3">
        <f>ROUND('Front Page'!F58,4)</f>
        <v>95.143000000000001</v>
      </c>
      <c r="F57">
        <f t="shared" si="0"/>
        <v>142714.5</v>
      </c>
      <c r="G57">
        <f>IF((D57*(E57/100)*Sheet2!$B$4)&gt;1000,(D57*(E57/100)*Sheet2!$B$4),1000)</f>
        <v>27065.012278138489</v>
      </c>
      <c r="M57">
        <f>IF(G57=1000,1000,(F57*Sheet2!$B$8))</f>
        <v>27020.98158175105</v>
      </c>
      <c r="N57">
        <f t="shared" si="3"/>
        <v>27020.98158175105</v>
      </c>
      <c r="O57">
        <f t="shared" si="1"/>
        <v>27020.98158175105</v>
      </c>
      <c r="P57">
        <f t="shared" si="2"/>
        <v>27036</v>
      </c>
    </row>
    <row r="58" spans="1:16" x14ac:dyDescent="0.25">
      <c r="A58">
        <f>'Front Page'!A59</f>
        <v>57</v>
      </c>
      <c r="B58" t="str">
        <f>'Front Page'!B59</f>
        <v xml:space="preserve">20.c.ps.114.453 </v>
      </c>
      <c r="C58" t="str">
        <f>'Front Page'!C59</f>
        <v xml:space="preserve">ArtServe, Inc. </v>
      </c>
      <c r="D58">
        <f>'Front Page'!E59</f>
        <v>149727</v>
      </c>
      <c r="E58" s="3">
        <f>ROUND('Front Page'!F59,4)</f>
        <v>95</v>
      </c>
      <c r="F58">
        <f t="shared" si="0"/>
        <v>142240.65</v>
      </c>
      <c r="G58">
        <f>IF((D58*(E58/100)*Sheet2!$B$4)&gt;1000,(D58*(E58/100)*Sheet2!$B$4),1000)</f>
        <v>26975.149257436344</v>
      </c>
      <c r="M58">
        <f>IF(G58=1000,1000,(F58*Sheet2!$B$8))</f>
        <v>26931.26475464159</v>
      </c>
      <c r="N58">
        <f t="shared" si="3"/>
        <v>26931.26475464159</v>
      </c>
      <c r="O58">
        <f t="shared" si="1"/>
        <v>26931.26475464159</v>
      </c>
      <c r="P58">
        <f t="shared" si="2"/>
        <v>26946</v>
      </c>
    </row>
    <row r="59" spans="1:16" x14ac:dyDescent="0.25">
      <c r="A59">
        <f>'Front Page'!A60</f>
        <v>58</v>
      </c>
      <c r="B59" t="str">
        <f>'Front Page'!B60</f>
        <v xml:space="preserve">20.c.ps.141.133 </v>
      </c>
      <c r="C59" t="str">
        <f>'Front Page'!C60</f>
        <v xml:space="preserve">The Players, Inc. </v>
      </c>
      <c r="D59">
        <f>'Front Page'!E60</f>
        <v>141228</v>
      </c>
      <c r="E59" s="3">
        <f>ROUND('Front Page'!F60,4)</f>
        <v>95</v>
      </c>
      <c r="F59">
        <f t="shared" si="0"/>
        <v>134166.6</v>
      </c>
      <c r="G59">
        <f>IF((D59*(E59/100)*Sheet2!$B$4)&gt;1000,(D59*(E59/100)*Sheet2!$B$4),1000)</f>
        <v>25443.950518805697</v>
      </c>
      <c r="M59">
        <f>IF(G59=1000,1000,(F59*Sheet2!$B$8))</f>
        <v>25402.557045613168</v>
      </c>
      <c r="N59">
        <f t="shared" si="3"/>
        <v>25402.557045613168</v>
      </c>
      <c r="O59">
        <f t="shared" si="1"/>
        <v>25402.557045613168</v>
      </c>
      <c r="P59">
        <f t="shared" si="2"/>
        <v>25418</v>
      </c>
    </row>
    <row r="60" spans="1:16" x14ac:dyDescent="0.25">
      <c r="A60">
        <f>'Front Page'!A61</f>
        <v>59</v>
      </c>
      <c r="B60" t="str">
        <f>'Front Page'!B61</f>
        <v xml:space="preserve">20.c.ps.170.243 </v>
      </c>
      <c r="C60" t="str">
        <f>'Front Page'!C61</f>
        <v xml:space="preserve">The University of Tampa, Incorporated </v>
      </c>
      <c r="D60">
        <f>'Front Page'!E61</f>
        <v>77912</v>
      </c>
      <c r="E60" s="3">
        <f>ROUND('Front Page'!F61,4)</f>
        <v>95</v>
      </c>
      <c r="F60">
        <f t="shared" si="0"/>
        <v>74016.399999999994</v>
      </c>
      <c r="G60">
        <f>IF((D60*(E60/100)*Sheet2!$B$4)&gt;1000,(D60*(E60/100)*Sheet2!$B$4),1000)</f>
        <v>14036.79916745397</v>
      </c>
      <c r="M60">
        <f>IF(G60=1000,1000,(F60*Sheet2!$B$8))</f>
        <v>14013.96341049801</v>
      </c>
      <c r="N60">
        <f t="shared" si="3"/>
        <v>14013.96341049801</v>
      </c>
      <c r="O60">
        <f t="shared" si="1"/>
        <v>14013.96341049801</v>
      </c>
      <c r="P60">
        <f t="shared" si="2"/>
        <v>14029</v>
      </c>
    </row>
    <row r="61" spans="1:16" x14ac:dyDescent="0.25">
      <c r="A61">
        <f>'Front Page'!A62</f>
        <v>60</v>
      </c>
      <c r="B61" t="str">
        <f>'Front Page'!B62</f>
        <v xml:space="preserve">20.c.ps.102.427 </v>
      </c>
      <c r="C61" t="str">
        <f>'Front Page'!C62</f>
        <v xml:space="preserve">FloriMezzo, Inc. </v>
      </c>
      <c r="D61">
        <f>'Front Page'!E62</f>
        <v>28000</v>
      </c>
      <c r="E61" s="3">
        <f>ROUND('Front Page'!F62,4)</f>
        <v>95</v>
      </c>
      <c r="F61">
        <f t="shared" si="0"/>
        <v>26600</v>
      </c>
      <c r="G61">
        <f>IF((D61*(E61/100)*Sheet2!$B$4)&gt;1000,(D61*(E61/100)*Sheet2!$B$4),1000)</f>
        <v>5044.5422616376318</v>
      </c>
      <c r="M61">
        <f>IF(G61=1000,1000,(F61*Sheet2!$B$8))</f>
        <v>5036.3355515702888</v>
      </c>
      <c r="N61">
        <f t="shared" si="3"/>
        <v>5036.3355515702888</v>
      </c>
      <c r="O61">
        <f t="shared" si="1"/>
        <v>5036.3355515702888</v>
      </c>
      <c r="P61">
        <f t="shared" si="2"/>
        <v>5051</v>
      </c>
    </row>
    <row r="62" spans="1:16" x14ac:dyDescent="0.25">
      <c r="A62">
        <f>'Front Page'!A63</f>
        <v>61</v>
      </c>
      <c r="B62" t="str">
        <f>'Front Page'!B63</f>
        <v xml:space="preserve">20.c.ps.102.602 </v>
      </c>
      <c r="C62" t="str">
        <f>'Front Page'!C63</f>
        <v xml:space="preserve">Seraphic Fire, Inc. </v>
      </c>
      <c r="D62">
        <f>'Front Page'!E63</f>
        <v>150000</v>
      </c>
      <c r="E62" s="3">
        <f>ROUND('Front Page'!F63,4)</f>
        <v>95</v>
      </c>
      <c r="F62">
        <f t="shared" si="0"/>
        <v>142500</v>
      </c>
      <c r="G62">
        <f>IF((D62*(E62/100)*Sheet2!$B$4)&gt;1000,(D62*(E62/100)*Sheet2!$B$4),1000)</f>
        <v>27024.333544487312</v>
      </c>
      <c r="M62">
        <f>IF(G62=1000,1000,(F62*Sheet2!$B$8))</f>
        <v>26980.369026269404</v>
      </c>
      <c r="N62">
        <f t="shared" si="3"/>
        <v>26980.369026269404</v>
      </c>
      <c r="O62">
        <f t="shared" si="1"/>
        <v>26980.369026269404</v>
      </c>
      <c r="P62">
        <f t="shared" si="2"/>
        <v>26995</v>
      </c>
    </row>
    <row r="63" spans="1:16" x14ac:dyDescent="0.25">
      <c r="A63">
        <f>'Front Page'!A64</f>
        <v>62</v>
      </c>
      <c r="B63" t="str">
        <f>'Front Page'!B64</f>
        <v xml:space="preserve">20.c.ps.105.029 </v>
      </c>
      <c r="C63" t="str">
        <f>'Front Page'!C64</f>
        <v xml:space="preserve">Gadsden Arts, Inc. </v>
      </c>
      <c r="D63">
        <f>'Front Page'!E64</f>
        <v>62107</v>
      </c>
      <c r="E63" s="3">
        <f>ROUND('Front Page'!F64,4)</f>
        <v>95</v>
      </c>
      <c r="F63">
        <f t="shared" si="0"/>
        <v>59001.649999999994</v>
      </c>
      <c r="G63">
        <f>IF((D63*(E63/100)*Sheet2!$B$4)&gt;1000,(D63*(E63/100)*Sheet2!$B$4),1000)</f>
        <v>11189.335222983156</v>
      </c>
      <c r="M63">
        <f>IF(G63=1000,1000,(F63*Sheet2!$B$8))</f>
        <v>11171.131860763424</v>
      </c>
      <c r="N63">
        <f t="shared" si="3"/>
        <v>11171.131860763424</v>
      </c>
      <c r="O63">
        <f t="shared" si="1"/>
        <v>11171.131860763424</v>
      </c>
      <c r="P63">
        <f t="shared" si="2"/>
        <v>11186</v>
      </c>
    </row>
    <row r="64" spans="1:16" x14ac:dyDescent="0.25">
      <c r="A64">
        <f>'Front Page'!A65</f>
        <v>63</v>
      </c>
      <c r="B64" t="str">
        <f>'Front Page'!B65</f>
        <v xml:space="preserve">20.c.ps.142.647 </v>
      </c>
      <c r="C64" t="str">
        <f>'Front Page'!C65</f>
        <v xml:space="preserve">Riverside Theatre, Inc. </v>
      </c>
      <c r="D64">
        <f>'Front Page'!E65</f>
        <v>150000</v>
      </c>
      <c r="E64" s="3">
        <f>ROUND('Front Page'!F65,4)</f>
        <v>95</v>
      </c>
      <c r="F64">
        <f t="shared" si="0"/>
        <v>142500</v>
      </c>
      <c r="G64">
        <f>IF((D64*(E64/100)*Sheet2!$B$4)&gt;1000,(D64*(E64/100)*Sheet2!$B$4),1000)</f>
        <v>27024.333544487312</v>
      </c>
      <c r="M64">
        <f>IF(G64=1000,1000,(F64*Sheet2!$B$8))</f>
        <v>26980.369026269404</v>
      </c>
      <c r="N64">
        <f t="shared" si="3"/>
        <v>26980.369026269404</v>
      </c>
      <c r="O64">
        <f t="shared" si="1"/>
        <v>26980.369026269404</v>
      </c>
      <c r="P64">
        <f t="shared" si="2"/>
        <v>26995</v>
      </c>
    </row>
    <row r="65" spans="1:16" x14ac:dyDescent="0.25">
      <c r="A65">
        <f>'Front Page'!A66</f>
        <v>64</v>
      </c>
      <c r="B65" t="str">
        <f>'Front Page'!B66</f>
        <v xml:space="preserve">20.c.ps.102.242 </v>
      </c>
      <c r="C65" t="str">
        <f>'Front Page'!C66</f>
        <v xml:space="preserve">Palm Beach Opera, Inc. </v>
      </c>
      <c r="D65">
        <f>'Front Page'!E66</f>
        <v>150000</v>
      </c>
      <c r="E65" s="3">
        <f>ROUND('Front Page'!F66,4)</f>
        <v>95</v>
      </c>
      <c r="F65">
        <f t="shared" si="0"/>
        <v>142500</v>
      </c>
      <c r="G65">
        <f>IF((D65*(E65/100)*Sheet2!$B$4)&gt;1000,(D65*(E65/100)*Sheet2!$B$4),1000)</f>
        <v>27024.333544487312</v>
      </c>
      <c r="M65">
        <f>IF(G65=1000,1000,(F65*Sheet2!$B$8))</f>
        <v>26980.369026269404</v>
      </c>
      <c r="N65">
        <f t="shared" si="3"/>
        <v>26980.369026269404</v>
      </c>
      <c r="O65">
        <f t="shared" si="1"/>
        <v>26980.369026269404</v>
      </c>
      <c r="P65">
        <f t="shared" si="2"/>
        <v>26995</v>
      </c>
    </row>
    <row r="66" spans="1:16" x14ac:dyDescent="0.25">
      <c r="A66">
        <f>'Front Page'!A67</f>
        <v>65</v>
      </c>
      <c r="B66" t="str">
        <f>'Front Page'!B67</f>
        <v xml:space="preserve">20.c.ps.170.490 </v>
      </c>
      <c r="C66" t="str">
        <f>'Front Page'!C67</f>
        <v xml:space="preserve">Holocaust Memorial Resource and Education Center of Florida, Inc. </v>
      </c>
      <c r="D66">
        <f>'Front Page'!E67</f>
        <v>100950</v>
      </c>
      <c r="E66" s="3">
        <f>ROUND('Front Page'!F67,4)</f>
        <v>94.856999999999999</v>
      </c>
      <c r="F66">
        <f t="shared" si="0"/>
        <v>95758.141499999998</v>
      </c>
      <c r="G66">
        <f>IF((D66*(E66/100)*Sheet2!$B$4)&gt;1000,(D66*(E66/100)*Sheet2!$B$4),1000)</f>
        <v>18159.999687692722</v>
      </c>
      <c r="M66">
        <f>IF(G66=1000,1000,(F66*Sheet2!$B$8))</f>
        <v>18130.456104840159</v>
      </c>
      <c r="N66">
        <f t="shared" si="3"/>
        <v>18130.456104840159</v>
      </c>
      <c r="O66">
        <f t="shared" si="1"/>
        <v>18130.456104840159</v>
      </c>
      <c r="P66">
        <f t="shared" si="2"/>
        <v>18145</v>
      </c>
    </row>
    <row r="67" spans="1:16" x14ac:dyDescent="0.25">
      <c r="A67">
        <f>'Front Page'!A68</f>
        <v>66</v>
      </c>
      <c r="B67" t="str">
        <f>'Front Page'!B68</f>
        <v xml:space="preserve">20.c.ps.141.249 </v>
      </c>
      <c r="C67" t="str">
        <f>'Front Page'!C68</f>
        <v xml:space="preserve">Titusville Playhouse, Inc. </v>
      </c>
      <c r="D67">
        <f>'Front Page'!E68</f>
        <v>110000</v>
      </c>
      <c r="E67" s="3">
        <f>ROUND('Front Page'!F68,4)</f>
        <v>94.856999999999999</v>
      </c>
      <c r="F67">
        <f t="shared" ref="F67:F129" si="4">D67*(E67/100)</f>
        <v>104342.7</v>
      </c>
      <c r="G67">
        <f>IF((D67*(E67/100)*Sheet2!$B$4)&gt;1000,(D67*(E67/100)*Sheet2!$B$4),1000)</f>
        <v>19788.013527946499</v>
      </c>
      <c r="M67">
        <f>IF(G67=1000,1000,(F67*Sheet2!$B$8))</f>
        <v>19755.82141191102</v>
      </c>
      <c r="N67">
        <f t="shared" si="3"/>
        <v>19755.82141191102</v>
      </c>
      <c r="O67">
        <f t="shared" ref="O67:O129" si="5">IF(N67&lt;1000,1000,N67)</f>
        <v>19755.82141191102</v>
      </c>
      <c r="P67">
        <f t="shared" ref="P67:P129" si="6">ROUND(IF(O67=1000,1000,(O67+$J$11)),0)</f>
        <v>19771</v>
      </c>
    </row>
    <row r="68" spans="1:16" x14ac:dyDescent="0.25">
      <c r="A68">
        <f>'Front Page'!A69</f>
        <v>67</v>
      </c>
      <c r="B68" t="str">
        <f>'Front Page'!B69</f>
        <v xml:space="preserve">20.c.ps.114.441 </v>
      </c>
      <c r="C68" t="str">
        <f>'Front Page'!C69</f>
        <v xml:space="preserve">Central Florida Community Arts, Inc. </v>
      </c>
      <c r="D68">
        <f>'Front Page'!E69</f>
        <v>129724</v>
      </c>
      <c r="E68" s="3">
        <f>ROUND('Front Page'!F69,4)</f>
        <v>94.856999999999999</v>
      </c>
      <c r="F68">
        <f t="shared" si="4"/>
        <v>123052.29468000001</v>
      </c>
      <c r="G68">
        <f>IF((D68*(E68/100)*Sheet2!$B$4)&gt;1000,(D68*(E68/100)*Sheet2!$B$4),1000)</f>
        <v>23336.184244539381</v>
      </c>
      <c r="M68">
        <f>IF(G68=1000,1000,(F68*Sheet2!$B$8))</f>
        <v>23298.219789443141</v>
      </c>
      <c r="N68">
        <f t="shared" si="3"/>
        <v>23298.219789443141</v>
      </c>
      <c r="O68">
        <f t="shared" si="5"/>
        <v>23298.219789443141</v>
      </c>
      <c r="P68">
        <f t="shared" si="6"/>
        <v>23313</v>
      </c>
    </row>
    <row r="69" spans="1:16" x14ac:dyDescent="0.25">
      <c r="A69">
        <f>'Front Page'!A70</f>
        <v>68</v>
      </c>
      <c r="B69" t="str">
        <f>'Front Page'!B70</f>
        <v xml:space="preserve">20.c.ps.170.458 </v>
      </c>
      <c r="C69" t="str">
        <f>'Front Page'!C70</f>
        <v xml:space="preserve">Conservancy of Southwest Florida, Inc. </v>
      </c>
      <c r="D69">
        <f>'Front Page'!E70</f>
        <v>150000</v>
      </c>
      <c r="E69" s="3">
        <f>ROUND('Front Page'!F70,4)</f>
        <v>94.856999999999999</v>
      </c>
      <c r="F69">
        <f t="shared" si="4"/>
        <v>142285.5</v>
      </c>
      <c r="G69">
        <f>IF((D69*(E69/100)*Sheet2!$B$4)&gt;1000,(D69*(E69/100)*Sheet2!$B$4),1000)</f>
        <v>26983.654810836138</v>
      </c>
      <c r="M69">
        <f>IF(G69=1000,1000,(F69*Sheet2!$B$8))</f>
        <v>26939.756470787754</v>
      </c>
      <c r="N69">
        <f t="shared" ref="N69:N131" si="7">M69</f>
        <v>26939.756470787754</v>
      </c>
      <c r="O69">
        <f t="shared" si="5"/>
        <v>26939.756470787754</v>
      </c>
      <c r="P69">
        <f t="shared" si="6"/>
        <v>26955</v>
      </c>
    </row>
    <row r="70" spans="1:16" x14ac:dyDescent="0.25">
      <c r="A70">
        <f>'Front Page'!A71</f>
        <v>69</v>
      </c>
      <c r="B70" t="str">
        <f>'Front Page'!B71</f>
        <v xml:space="preserve">20.c.ps.170.398 </v>
      </c>
      <c r="C70" t="str">
        <f>'Front Page'!C71</f>
        <v xml:space="preserve">Zoo Miami Foundation </v>
      </c>
      <c r="D70">
        <f>'Front Page'!E71</f>
        <v>150000</v>
      </c>
      <c r="E70" s="3">
        <f>ROUND('Front Page'!F71,4)</f>
        <v>94.832999999999998</v>
      </c>
      <c r="F70">
        <f t="shared" si="4"/>
        <v>142249.5</v>
      </c>
      <c r="G70">
        <f>IF((D70*(E70/100)*Sheet2!$B$4)&gt;1000,(D70*(E70/100)*Sheet2!$B$4),1000)</f>
        <v>26976.827610782791</v>
      </c>
      <c r="M70">
        <f>IF(G70=1000,1000,(F70*Sheet2!$B$8))</f>
        <v>26932.940377560066</v>
      </c>
      <c r="N70">
        <f t="shared" si="7"/>
        <v>26932.940377560066</v>
      </c>
      <c r="O70">
        <f t="shared" si="5"/>
        <v>26932.940377560066</v>
      </c>
      <c r="P70">
        <f t="shared" si="6"/>
        <v>26948</v>
      </c>
    </row>
    <row r="71" spans="1:16" x14ac:dyDescent="0.25">
      <c r="A71">
        <f>'Front Page'!A72</f>
        <v>70</v>
      </c>
      <c r="B71" t="str">
        <f>'Front Page'!B72</f>
        <v xml:space="preserve">20.c.ps.170.116 </v>
      </c>
      <c r="C71" t="str">
        <f>'Front Page'!C72</f>
        <v xml:space="preserve">University of Florida  </v>
      </c>
      <c r="D71">
        <f>'Front Page'!E72</f>
        <v>150000</v>
      </c>
      <c r="E71" s="3">
        <f>ROUND('Front Page'!F72,4)</f>
        <v>94.832999999999998</v>
      </c>
      <c r="F71">
        <f t="shared" si="4"/>
        <v>142249.5</v>
      </c>
      <c r="G71">
        <f>IF((D71*(E71/100)*Sheet2!$B$4)&gt;1000,(D71*(E71/100)*Sheet2!$B$4),1000)</f>
        <v>26976.827610782791</v>
      </c>
      <c r="M71">
        <f>IF(G71=1000,1000,(F71*Sheet2!$B$8))</f>
        <v>26932.940377560066</v>
      </c>
      <c r="N71">
        <f t="shared" si="7"/>
        <v>26932.940377560066</v>
      </c>
      <c r="O71">
        <f t="shared" si="5"/>
        <v>26932.940377560066</v>
      </c>
      <c r="P71">
        <f t="shared" si="6"/>
        <v>26948</v>
      </c>
    </row>
    <row r="72" spans="1:16" x14ac:dyDescent="0.25">
      <c r="A72">
        <f>'Front Page'!A73</f>
        <v>71</v>
      </c>
      <c r="B72" t="str">
        <f>'Front Page'!B73</f>
        <v xml:space="preserve">20.c.ps.142.527 </v>
      </c>
      <c r="C72" t="str">
        <f>'Front Page'!C73</f>
        <v xml:space="preserve">Palm Beach Dramaworks, Inc. </v>
      </c>
      <c r="D72">
        <f>'Front Page'!E73</f>
        <v>150000</v>
      </c>
      <c r="E72" s="3">
        <f>ROUND('Front Page'!F73,4)</f>
        <v>94.832999999999998</v>
      </c>
      <c r="F72">
        <f t="shared" si="4"/>
        <v>142249.5</v>
      </c>
      <c r="G72">
        <f>IF((D72*(E72/100)*Sheet2!$B$4)&gt;1000,(D72*(E72/100)*Sheet2!$B$4),1000)</f>
        <v>26976.827610782791</v>
      </c>
      <c r="M72">
        <f>IF(G72=1000,1000,(F72*Sheet2!$B$8))</f>
        <v>26932.940377560066</v>
      </c>
      <c r="N72">
        <f t="shared" si="7"/>
        <v>26932.940377560066</v>
      </c>
      <c r="O72">
        <f t="shared" si="5"/>
        <v>26932.940377560066</v>
      </c>
      <c r="P72">
        <f t="shared" si="6"/>
        <v>26948</v>
      </c>
    </row>
    <row r="73" spans="1:16" x14ac:dyDescent="0.25">
      <c r="A73">
        <f>'Front Page'!A74</f>
        <v>72</v>
      </c>
      <c r="B73" t="str">
        <f>'Front Page'!B74</f>
        <v xml:space="preserve">20.c.ps.170.081 </v>
      </c>
      <c r="C73" t="str">
        <f>'Front Page'!C74</f>
        <v xml:space="preserve">City of Lake Wales </v>
      </c>
      <c r="D73">
        <f>'Front Page'!E74</f>
        <v>25000</v>
      </c>
      <c r="E73" s="3">
        <f>ROUND('Front Page'!F74,4)</f>
        <v>94.832999999999998</v>
      </c>
      <c r="F73">
        <f t="shared" si="4"/>
        <v>23708.25</v>
      </c>
      <c r="G73">
        <f>IF((D73*(E73/100)*Sheet2!$B$4)&gt;1000,(D73*(E73/100)*Sheet2!$B$4),1000)</f>
        <v>4496.1379351304658</v>
      </c>
      <c r="M73">
        <f>IF(G73=1000,1000,(F73*Sheet2!$B$8))</f>
        <v>4488.8233962600107</v>
      </c>
      <c r="N73">
        <f t="shared" si="7"/>
        <v>4488.8233962600107</v>
      </c>
      <c r="O73">
        <f t="shared" si="5"/>
        <v>4488.8233962600107</v>
      </c>
      <c r="P73">
        <f t="shared" si="6"/>
        <v>4504</v>
      </c>
    </row>
    <row r="74" spans="1:16" x14ac:dyDescent="0.25">
      <c r="A74">
        <f>'Front Page'!A75</f>
        <v>73</v>
      </c>
      <c r="B74" t="str">
        <f>'Front Page'!B75</f>
        <v xml:space="preserve">20.c.ps.170.092 </v>
      </c>
      <c r="C74" t="str">
        <f>'Front Page'!C75</f>
        <v xml:space="preserve">Museum of Science and History of Jacksonville, Inc. </v>
      </c>
      <c r="D74">
        <f>'Front Page'!E75</f>
        <v>150000</v>
      </c>
      <c r="E74" s="3">
        <f>ROUND('Front Page'!F75,4)</f>
        <v>94.832999999999998</v>
      </c>
      <c r="F74">
        <f t="shared" si="4"/>
        <v>142249.5</v>
      </c>
      <c r="G74">
        <f>IF((D74*(E74/100)*Sheet2!$B$4)&gt;1000,(D74*(E74/100)*Sheet2!$B$4),1000)</f>
        <v>26976.827610782791</v>
      </c>
      <c r="M74">
        <f>IF(G74=1000,1000,(F74*Sheet2!$B$8))</f>
        <v>26932.940377560066</v>
      </c>
      <c r="N74">
        <f t="shared" si="7"/>
        <v>26932.940377560066</v>
      </c>
      <c r="O74">
        <f t="shared" si="5"/>
        <v>26932.940377560066</v>
      </c>
      <c r="P74">
        <f t="shared" si="6"/>
        <v>26948</v>
      </c>
    </row>
    <row r="75" spans="1:16" x14ac:dyDescent="0.25">
      <c r="A75">
        <f>'Front Page'!A76</f>
        <v>74</v>
      </c>
      <c r="B75" t="str">
        <f>'Front Page'!B76</f>
        <v xml:space="preserve">20.c.ps.142.437 </v>
      </c>
      <c r="C75" t="str">
        <f>'Front Page'!C76</f>
        <v xml:space="preserve">Fantasy Theatre Factory, Inc. </v>
      </c>
      <c r="D75">
        <f>'Front Page'!E76</f>
        <v>101805</v>
      </c>
      <c r="E75" s="3">
        <f>ROUND('Front Page'!F76,4)</f>
        <v>94.832999999999998</v>
      </c>
      <c r="F75">
        <f t="shared" si="4"/>
        <v>96544.735650000002</v>
      </c>
      <c r="G75">
        <f>IF((D75*(E75/100)*Sheet2!$B$4)&gt;1000,(D75*(E75/100)*Sheet2!$B$4),1000)</f>
        <v>18309.172899438283</v>
      </c>
      <c r="M75">
        <f>IF(G75=1000,1000,(F75*Sheet2!$B$8))</f>
        <v>18279.386634250019</v>
      </c>
      <c r="N75">
        <f t="shared" si="7"/>
        <v>18279.386634250019</v>
      </c>
      <c r="O75">
        <f t="shared" si="5"/>
        <v>18279.386634250019</v>
      </c>
      <c r="P75">
        <f t="shared" si="6"/>
        <v>18294</v>
      </c>
    </row>
    <row r="76" spans="1:16" x14ac:dyDescent="0.25">
      <c r="A76">
        <f>'Front Page'!A77</f>
        <v>75</v>
      </c>
      <c r="B76" t="str">
        <f>'Front Page'!B77</f>
        <v xml:space="preserve">20.c.ps.180.195 </v>
      </c>
      <c r="C76" t="str">
        <f>'Front Page'!C77</f>
        <v xml:space="preserve">Gold Coast Jazz Society, Inc. </v>
      </c>
      <c r="D76">
        <f>'Front Page'!E77</f>
        <v>50000</v>
      </c>
      <c r="E76" s="3">
        <f>ROUND('Front Page'!F77,4)</f>
        <v>94.832999999999998</v>
      </c>
      <c r="F76">
        <f t="shared" si="4"/>
        <v>47416.5</v>
      </c>
      <c r="G76">
        <f>IF((D76*(E76/100)*Sheet2!$B$4)&gt;1000,(D76*(E76/100)*Sheet2!$B$4),1000)</f>
        <v>8992.2758702609317</v>
      </c>
      <c r="M76">
        <f>IF(G76=1000,1000,(F76*Sheet2!$B$8))</f>
        <v>8977.6467925200213</v>
      </c>
      <c r="N76">
        <f t="shared" si="7"/>
        <v>8977.6467925200213</v>
      </c>
      <c r="O76">
        <f t="shared" si="5"/>
        <v>8977.6467925200213</v>
      </c>
      <c r="P76">
        <f t="shared" si="6"/>
        <v>8993</v>
      </c>
    </row>
    <row r="77" spans="1:16" x14ac:dyDescent="0.25">
      <c r="A77">
        <f>'Front Page'!A78</f>
        <v>76</v>
      </c>
      <c r="B77" t="str">
        <f>'Front Page'!B78</f>
        <v xml:space="preserve">20.c.ps.170.158 </v>
      </c>
      <c r="C77" t="str">
        <f>'Front Page'!C78</f>
        <v xml:space="preserve">Friends of the Mennello Museum of American Art, Inc. </v>
      </c>
      <c r="D77">
        <f>'Front Page'!E78</f>
        <v>65000</v>
      </c>
      <c r="E77" s="3">
        <f>ROUND('Front Page'!F78,4)</f>
        <v>94.713999999999999</v>
      </c>
      <c r="F77">
        <f t="shared" si="4"/>
        <v>61564.1</v>
      </c>
      <c r="G77">
        <f>IF((D77*(E77/100)*Sheet2!$B$4)&gt;1000,(D77*(E77/100)*Sheet2!$B$4),1000)</f>
        <v>11675.289633446817</v>
      </c>
      <c r="M77">
        <f>IF(G77=1000,1000,(F77*Sheet2!$B$8))</f>
        <v>11656.295696632646</v>
      </c>
      <c r="N77">
        <f t="shared" si="7"/>
        <v>11656.295696632646</v>
      </c>
      <c r="O77">
        <f t="shared" si="5"/>
        <v>11656.295696632646</v>
      </c>
      <c r="P77">
        <f t="shared" si="6"/>
        <v>11671</v>
      </c>
    </row>
    <row r="78" spans="1:16" x14ac:dyDescent="0.25">
      <c r="A78">
        <f>'Front Page'!A79</f>
        <v>77</v>
      </c>
      <c r="B78" t="str">
        <f>'Front Page'!B79</f>
        <v xml:space="preserve">20.c.ps.114.207 </v>
      </c>
      <c r="C78" t="str">
        <f>'Front Page'!C79</f>
        <v xml:space="preserve">University of Florida  </v>
      </c>
      <c r="D78">
        <f>'Front Page'!E79</f>
        <v>132500</v>
      </c>
      <c r="E78" s="3">
        <f>ROUND('Front Page'!F79,4)</f>
        <v>94.713999999999999</v>
      </c>
      <c r="F78">
        <f t="shared" si="4"/>
        <v>125496.05</v>
      </c>
      <c r="G78">
        <f>IF((D78*(E78/100)*Sheet2!$B$4)&gt;1000,(D78*(E78/100)*Sheet2!$B$4),1000)</f>
        <v>23799.628868180051</v>
      </c>
      <c r="M78">
        <f>IF(G78=1000,1000,(F78*Sheet2!$B$8))</f>
        <v>23760.910458520397</v>
      </c>
      <c r="N78">
        <f t="shared" si="7"/>
        <v>23760.910458520397</v>
      </c>
      <c r="O78">
        <f t="shared" si="5"/>
        <v>23760.910458520397</v>
      </c>
      <c r="P78">
        <f t="shared" si="6"/>
        <v>23776</v>
      </c>
    </row>
    <row r="79" spans="1:16" x14ac:dyDescent="0.25">
      <c r="A79">
        <f>'Front Page'!A80</f>
        <v>78</v>
      </c>
      <c r="B79" t="str">
        <f>'Front Page'!B80</f>
        <v xml:space="preserve">20.c.ps.170.345 </v>
      </c>
      <c r="C79" t="str">
        <f>'Front Page'!C80</f>
        <v xml:space="preserve">The Henry Morrison Flagler Museum </v>
      </c>
      <c r="D79">
        <f>'Front Page'!E80</f>
        <v>150000</v>
      </c>
      <c r="E79" s="3">
        <f>ROUND('Front Page'!F80,4)</f>
        <v>94.713999999999999</v>
      </c>
      <c r="F79">
        <f t="shared" si="4"/>
        <v>142071</v>
      </c>
      <c r="G79">
        <f>IF((D79*(E79/100)*Sheet2!$B$4)&gt;1000,(D79*(E79/100)*Sheet2!$B$4),1000)</f>
        <v>26942.976077184961</v>
      </c>
      <c r="M79">
        <f>IF(G79=1000,1000,(F79*Sheet2!$B$8))</f>
        <v>26899.143915306107</v>
      </c>
      <c r="N79">
        <f t="shared" si="7"/>
        <v>26899.143915306107</v>
      </c>
      <c r="O79">
        <f t="shared" si="5"/>
        <v>26899.143915306107</v>
      </c>
      <c r="P79">
        <f t="shared" si="6"/>
        <v>26914</v>
      </c>
    </row>
    <row r="80" spans="1:16" x14ac:dyDescent="0.25">
      <c r="A80">
        <f>'Front Page'!A81</f>
        <v>79</v>
      </c>
      <c r="B80" t="str">
        <f>'Front Page'!B81</f>
        <v xml:space="preserve">20.c.ps.114.410 </v>
      </c>
      <c r="C80" t="str">
        <f>'Front Page'!C81</f>
        <v xml:space="preserve">City of Pembroke Pines </v>
      </c>
      <c r="D80">
        <f>'Front Page'!E81</f>
        <v>150000</v>
      </c>
      <c r="E80" s="3">
        <f>ROUND('Front Page'!F81,4)</f>
        <v>94.713999999999999</v>
      </c>
      <c r="F80">
        <f t="shared" si="4"/>
        <v>142071</v>
      </c>
      <c r="G80">
        <f>IF((D80*(E80/100)*Sheet2!$B$4)&gt;1000,(D80*(E80/100)*Sheet2!$B$4),1000)</f>
        <v>26942.976077184961</v>
      </c>
      <c r="M80">
        <f>IF(G80=1000,1000,(F80*Sheet2!$B$8))</f>
        <v>26899.143915306107</v>
      </c>
      <c r="N80">
        <f t="shared" si="7"/>
        <v>26899.143915306107</v>
      </c>
      <c r="O80">
        <f t="shared" si="5"/>
        <v>26899.143915306107</v>
      </c>
      <c r="P80">
        <f t="shared" si="6"/>
        <v>26914</v>
      </c>
    </row>
    <row r="81" spans="1:16" x14ac:dyDescent="0.25">
      <c r="A81">
        <f>'Front Page'!A82</f>
        <v>80</v>
      </c>
      <c r="B81" t="str">
        <f>'Front Page'!B82</f>
        <v xml:space="preserve">20.c.ps.142.554 </v>
      </c>
      <c r="C81" t="str">
        <f>'Front Page'!C82</f>
        <v xml:space="preserve">Orlando Repertory Theatre, Inc. </v>
      </c>
      <c r="D81">
        <f>'Front Page'!E82</f>
        <v>150000</v>
      </c>
      <c r="E81" s="3">
        <f>ROUND('Front Page'!F82,4)</f>
        <v>94.667000000000002</v>
      </c>
      <c r="F81">
        <f t="shared" si="4"/>
        <v>142000.5</v>
      </c>
      <c r="G81">
        <f>IF((D81*(E81/100)*Sheet2!$B$4)&gt;1000,(D81*(E81/100)*Sheet2!$B$4),1000)</f>
        <v>26929.606143747162</v>
      </c>
      <c r="M81">
        <f>IF(G81=1000,1000,(F81*Sheet2!$B$8))</f>
        <v>26885.795732735216</v>
      </c>
      <c r="N81">
        <f t="shared" si="7"/>
        <v>26885.795732735216</v>
      </c>
      <c r="O81">
        <f t="shared" si="5"/>
        <v>26885.795732735216</v>
      </c>
      <c r="P81">
        <f t="shared" si="6"/>
        <v>26901</v>
      </c>
    </row>
    <row r="82" spans="1:16" x14ac:dyDescent="0.25">
      <c r="A82">
        <f>'Front Page'!A83</f>
        <v>81</v>
      </c>
      <c r="B82" t="str">
        <f>'Front Page'!B83</f>
        <v xml:space="preserve">20.c.ps.102.659 </v>
      </c>
      <c r="C82" t="str">
        <f>'Front Page'!C83</f>
        <v xml:space="preserve">Gulf Coast Symphony Orchestra, Inc. </v>
      </c>
      <c r="D82">
        <f>'Front Page'!E83</f>
        <v>126450</v>
      </c>
      <c r="E82" s="3">
        <f>ROUND('Front Page'!F83,4)</f>
        <v>94.625</v>
      </c>
      <c r="F82">
        <f t="shared" si="4"/>
        <v>119653.3125</v>
      </c>
      <c r="G82">
        <f>IF((D82*(E82/100)*Sheet2!$B$4)&gt;1000,(D82*(E82/100)*Sheet2!$B$4),1000)</f>
        <v>22691.586152300162</v>
      </c>
      <c r="M82">
        <f>IF(G82=1000,1000,(F82*Sheet2!$B$8))</f>
        <v>22654.670361161639</v>
      </c>
      <c r="N82">
        <f t="shared" si="7"/>
        <v>22654.670361161639</v>
      </c>
      <c r="O82">
        <f t="shared" si="5"/>
        <v>22654.670361161639</v>
      </c>
      <c r="P82">
        <f t="shared" si="6"/>
        <v>22670</v>
      </c>
    </row>
    <row r="83" spans="1:16" x14ac:dyDescent="0.25">
      <c r="A83">
        <f>'Front Page'!A84</f>
        <v>82</v>
      </c>
      <c r="B83" t="str">
        <f>'Front Page'!B84</f>
        <v xml:space="preserve">20.c.ps.105.344 </v>
      </c>
      <c r="C83" t="str">
        <f>'Front Page'!C84</f>
        <v xml:space="preserve">Images, A Festival of the Arts, Inc. </v>
      </c>
      <c r="D83">
        <f>'Front Page'!E84</f>
        <v>42011</v>
      </c>
      <c r="E83" s="3">
        <f>ROUND('Front Page'!F84,4)</f>
        <v>94.6</v>
      </c>
      <c r="F83">
        <f t="shared" si="4"/>
        <v>39742.405999999995</v>
      </c>
      <c r="G83">
        <f>IF((D83*(E83/100)*Sheet2!$B$4)&gt;1000,(D83*(E83/100)*Sheet2!$B$4),1000)</f>
        <v>7536.9265656451489</v>
      </c>
      <c r="M83">
        <f>IF(G83=1000,1000,(F83*Sheet2!$B$8))</f>
        <v>7524.6651219075311</v>
      </c>
      <c r="N83">
        <f t="shared" si="7"/>
        <v>7524.6651219075311</v>
      </c>
      <c r="O83">
        <f t="shared" si="5"/>
        <v>7524.6651219075311</v>
      </c>
      <c r="P83">
        <f t="shared" si="6"/>
        <v>7540</v>
      </c>
    </row>
    <row r="84" spans="1:16" x14ac:dyDescent="0.25">
      <c r="A84">
        <f>'Front Page'!A85</f>
        <v>83</v>
      </c>
      <c r="B84" t="str">
        <f>'Front Page'!B85</f>
        <v xml:space="preserve">20.c.ps.114.254 </v>
      </c>
      <c r="C84" t="str">
        <f>'Front Page'!C85</f>
        <v xml:space="preserve">Village of Pinecrest </v>
      </c>
      <c r="D84">
        <f>'Front Page'!E85</f>
        <v>150000</v>
      </c>
      <c r="E84" s="3">
        <f>ROUND('Front Page'!F85,4)</f>
        <v>94.570999999999998</v>
      </c>
      <c r="F84">
        <f t="shared" si="4"/>
        <v>141856.5</v>
      </c>
      <c r="G84">
        <f>IF((D84*(E84/100)*Sheet2!$B$4)&gt;1000,(D84*(E84/100)*Sheet2!$B$4),1000)</f>
        <v>26902.297343533784</v>
      </c>
      <c r="M84">
        <f>IF(G84=1000,1000,(F84*Sheet2!$B$8))</f>
        <v>26858.531359824461</v>
      </c>
      <c r="N84">
        <f t="shared" si="7"/>
        <v>26858.531359824461</v>
      </c>
      <c r="O84">
        <f t="shared" si="5"/>
        <v>26858.531359824461</v>
      </c>
      <c r="P84">
        <f t="shared" si="6"/>
        <v>26873</v>
      </c>
    </row>
    <row r="85" spans="1:16" x14ac:dyDescent="0.25">
      <c r="A85">
        <f>'Front Page'!A86</f>
        <v>84</v>
      </c>
      <c r="B85" t="str">
        <f>'Front Page'!B86</f>
        <v xml:space="preserve">20.c.ps.101.089 </v>
      </c>
      <c r="C85" t="str">
        <f>'Front Page'!C86</f>
        <v xml:space="preserve">The Tallahassee Ballet, Inc. </v>
      </c>
      <c r="D85">
        <f>'Front Page'!E86</f>
        <v>90000</v>
      </c>
      <c r="E85" s="3">
        <f>ROUND('Front Page'!F86,4)</f>
        <v>94.570999999999998</v>
      </c>
      <c r="F85">
        <f t="shared" si="4"/>
        <v>85113.9</v>
      </c>
      <c r="G85">
        <f>IF((D85*(E85/100)*Sheet2!$B$4)&gt;1000,(D85*(E85/100)*Sheet2!$B$4),1000)</f>
        <v>16141.37840612027</v>
      </c>
      <c r="M85">
        <f>IF(G85=1000,1000,(F85*Sheet2!$B$8))</f>
        <v>16115.118815894675</v>
      </c>
      <c r="N85">
        <f t="shared" si="7"/>
        <v>16115.118815894675</v>
      </c>
      <c r="O85">
        <f t="shared" si="5"/>
        <v>16115.118815894675</v>
      </c>
      <c r="P85">
        <f t="shared" si="6"/>
        <v>16130</v>
      </c>
    </row>
    <row r="86" spans="1:16" x14ac:dyDescent="0.25">
      <c r="A86">
        <f>'Front Page'!A87</f>
        <v>85</v>
      </c>
      <c r="B86" t="str">
        <f>'Front Page'!B87</f>
        <v xml:space="preserve">20.c.ps.170.664 </v>
      </c>
      <c r="C86" t="str">
        <f>'Front Page'!C87</f>
        <v xml:space="preserve">Tallahassee Museum of History and Natural Science, Inc. </v>
      </c>
      <c r="D86">
        <f>'Front Page'!E87</f>
        <v>150000</v>
      </c>
      <c r="E86" s="3">
        <f>ROUND('Front Page'!F87,4)</f>
        <v>94.570999999999998</v>
      </c>
      <c r="F86">
        <f t="shared" si="4"/>
        <v>141856.5</v>
      </c>
      <c r="G86">
        <f>IF((D86*(E86/100)*Sheet2!$B$4)&gt;1000,(D86*(E86/100)*Sheet2!$B$4),1000)</f>
        <v>26902.297343533784</v>
      </c>
      <c r="M86">
        <f>IF(G86=1000,1000,(F86*Sheet2!$B$8))</f>
        <v>26858.531359824461</v>
      </c>
      <c r="N86">
        <f t="shared" si="7"/>
        <v>26858.531359824461</v>
      </c>
      <c r="O86">
        <f t="shared" si="5"/>
        <v>26858.531359824461</v>
      </c>
      <c r="P86">
        <f t="shared" si="6"/>
        <v>26873</v>
      </c>
    </row>
    <row r="87" spans="1:16" x14ac:dyDescent="0.25">
      <c r="A87">
        <f>'Front Page'!A88</f>
        <v>86</v>
      </c>
      <c r="B87" t="str">
        <f>'Front Page'!B88</f>
        <v xml:space="preserve">20.c.ps.110.299 </v>
      </c>
      <c r="C87" t="str">
        <f>'Front Page'!C88</f>
        <v xml:space="preserve">Miami Dade College </v>
      </c>
      <c r="D87">
        <f>'Front Page'!E88</f>
        <v>96000</v>
      </c>
      <c r="E87" s="3">
        <f>ROUND('Front Page'!F88,4)</f>
        <v>94.5</v>
      </c>
      <c r="F87">
        <f t="shared" si="4"/>
        <v>90720</v>
      </c>
      <c r="G87">
        <f>IF((D87*(E87/100)*Sheet2!$B$4)&gt;1000,(D87*(E87/100)*Sheet2!$B$4),1000)</f>
        <v>17204.544134427291</v>
      </c>
      <c r="M87">
        <f>IF(G87=1000,1000,(F87*Sheet2!$B$8))</f>
        <v>17176.554933776562</v>
      </c>
      <c r="N87">
        <f t="shared" si="7"/>
        <v>17176.554933776562</v>
      </c>
      <c r="O87">
        <f t="shared" si="5"/>
        <v>17176.554933776562</v>
      </c>
      <c r="P87">
        <f t="shared" si="6"/>
        <v>17192</v>
      </c>
    </row>
    <row r="88" spans="1:16" x14ac:dyDescent="0.25">
      <c r="A88">
        <f>'Front Page'!A89</f>
        <v>87</v>
      </c>
      <c r="B88" t="str">
        <f>'Front Page'!B89</f>
        <v xml:space="preserve">20.c.ps.101.131 </v>
      </c>
      <c r="C88" t="str">
        <f>'Front Page'!C89</f>
        <v xml:space="preserve">Orlando Ballet, Inc. </v>
      </c>
      <c r="D88">
        <f>'Front Page'!E89</f>
        <v>150000</v>
      </c>
      <c r="E88" s="3">
        <f>ROUND('Front Page'!F89,4)</f>
        <v>94.5</v>
      </c>
      <c r="F88">
        <f t="shared" si="4"/>
        <v>141750</v>
      </c>
      <c r="G88">
        <f>IF((D88*(E88/100)*Sheet2!$B$4)&gt;1000,(D88*(E88/100)*Sheet2!$B$4),1000)</f>
        <v>26882.100210042641</v>
      </c>
      <c r="M88">
        <f>IF(G88=1000,1000,(F88*Sheet2!$B$8))</f>
        <v>26838.367084025878</v>
      </c>
      <c r="N88">
        <f t="shared" si="7"/>
        <v>26838.367084025878</v>
      </c>
      <c r="O88">
        <f t="shared" si="5"/>
        <v>26838.367084025878</v>
      </c>
      <c r="P88">
        <f t="shared" si="6"/>
        <v>26853</v>
      </c>
    </row>
    <row r="89" spans="1:16" x14ac:dyDescent="0.25">
      <c r="A89">
        <f>'Front Page'!A90</f>
        <v>88</v>
      </c>
      <c r="B89" t="str">
        <f>'Front Page'!B90</f>
        <v xml:space="preserve">20.c.ps.200.199 </v>
      </c>
      <c r="C89" t="str">
        <f>'Front Page'!C90</f>
        <v xml:space="preserve">Musicall, Inc. </v>
      </c>
      <c r="D89">
        <f>'Front Page'!E90</f>
        <v>46330</v>
      </c>
      <c r="E89" s="3">
        <f>ROUND('Front Page'!F90,4)</f>
        <v>94.5</v>
      </c>
      <c r="F89">
        <f t="shared" si="4"/>
        <v>43781.85</v>
      </c>
      <c r="G89">
        <f>IF((D89*(E89/100)*Sheet2!$B$4)&gt;1000,(D89*(E89/100)*Sheet2!$B$4),1000)</f>
        <v>8302.9846848751713</v>
      </c>
      <c r="M89">
        <f>IF(G89=1000,1000,(F89*Sheet2!$B$8))</f>
        <v>8289.476980019459</v>
      </c>
      <c r="N89">
        <f t="shared" si="7"/>
        <v>8289.476980019459</v>
      </c>
      <c r="O89">
        <f t="shared" si="5"/>
        <v>8289.476980019459</v>
      </c>
      <c r="P89">
        <f t="shared" si="6"/>
        <v>8304</v>
      </c>
    </row>
    <row r="90" spans="1:16" x14ac:dyDescent="0.25">
      <c r="A90">
        <f>'Front Page'!A91</f>
        <v>89</v>
      </c>
      <c r="B90" t="str">
        <f>'Front Page'!B91</f>
        <v xml:space="preserve">20.c.ps.142.517 </v>
      </c>
      <c r="C90" t="str">
        <f>'Front Page'!C91</f>
        <v xml:space="preserve">FreeFall Theatre, Inc. </v>
      </c>
      <c r="D90">
        <f>'Front Page'!E91</f>
        <v>136000</v>
      </c>
      <c r="E90" s="3">
        <f>ROUND('Front Page'!F91,4)</f>
        <v>94.5</v>
      </c>
      <c r="F90">
        <f t="shared" si="4"/>
        <v>128520</v>
      </c>
      <c r="G90">
        <f>IF((D90*(E90/100)*Sheet2!$B$4)&gt;1000,(D90*(E90/100)*Sheet2!$B$4),1000)</f>
        <v>24373.104190438662</v>
      </c>
      <c r="M90">
        <f>IF(G90=1000,1000,(F90*Sheet2!$B$8))</f>
        <v>24333.452822850129</v>
      </c>
      <c r="N90">
        <f t="shared" si="7"/>
        <v>24333.452822850129</v>
      </c>
      <c r="O90">
        <f t="shared" si="5"/>
        <v>24333.452822850129</v>
      </c>
      <c r="P90">
        <f t="shared" si="6"/>
        <v>24348</v>
      </c>
    </row>
    <row r="91" spans="1:16" x14ac:dyDescent="0.25">
      <c r="A91">
        <f>'Front Page'!A92</f>
        <v>90</v>
      </c>
      <c r="B91" t="str">
        <f>'Front Page'!B92</f>
        <v xml:space="preserve">20.c.ps.200.446 </v>
      </c>
      <c r="C91" t="str">
        <f>'Front Page'!C92</f>
        <v xml:space="preserve">Miami Theater Center, Inc. </v>
      </c>
      <c r="D91">
        <f>'Front Page'!E92</f>
        <v>115102</v>
      </c>
      <c r="E91" s="3">
        <f>ROUND('Front Page'!F92,4)</f>
        <v>94.5</v>
      </c>
      <c r="F91">
        <f t="shared" si="4"/>
        <v>108771.39</v>
      </c>
      <c r="G91">
        <f>IF((D91*(E91/100)*Sheet2!$B$4)&gt;1000,(D91*(E91/100)*Sheet2!$B$4),1000)</f>
        <v>20627.889989175521</v>
      </c>
      <c r="M91">
        <f>IF(G91=1000,1000,(F91*Sheet2!$B$8))</f>
        <v>20594.331520703647</v>
      </c>
      <c r="N91">
        <f t="shared" si="7"/>
        <v>20594.331520703647</v>
      </c>
      <c r="O91">
        <f t="shared" si="5"/>
        <v>20594.331520703647</v>
      </c>
      <c r="P91">
        <f t="shared" si="6"/>
        <v>20609</v>
      </c>
    </row>
    <row r="92" spans="1:16" x14ac:dyDescent="0.25">
      <c r="A92">
        <f>'Front Page'!A93</f>
        <v>91</v>
      </c>
      <c r="B92" t="str">
        <f>'Front Page'!B93</f>
        <v xml:space="preserve">20.c.ps.114.733 </v>
      </c>
      <c r="C92" t="str">
        <f>'Front Page'!C93</f>
        <v xml:space="preserve">National Foundation for Advancement in the Arts, Inc. </v>
      </c>
      <c r="D92">
        <f>'Front Page'!E93</f>
        <v>150000</v>
      </c>
      <c r="E92" s="3">
        <f>ROUND('Front Page'!F93,4)</f>
        <v>94.429000000000002</v>
      </c>
      <c r="F92">
        <f t="shared" si="4"/>
        <v>141643.5</v>
      </c>
      <c r="G92">
        <f>IF((D92*(E92/100)*Sheet2!$B$4)&gt;1000,(D92*(E92/100)*Sheet2!$B$4),1000)</f>
        <v>26861.903076551498</v>
      </c>
      <c r="M92">
        <f>IF(G92=1000,1000,(F92*Sheet2!$B$8))</f>
        <v>26818.202808227299</v>
      </c>
      <c r="N92">
        <f t="shared" si="7"/>
        <v>26818.202808227299</v>
      </c>
      <c r="O92">
        <f t="shared" si="5"/>
        <v>26818.202808227299</v>
      </c>
      <c r="P92">
        <f t="shared" si="6"/>
        <v>26833</v>
      </c>
    </row>
    <row r="93" spans="1:16" x14ac:dyDescent="0.25">
      <c r="A93">
        <f>'Front Page'!A94</f>
        <v>92</v>
      </c>
      <c r="B93" t="str">
        <f>'Front Page'!B94</f>
        <v xml:space="preserve">20.c.ps.102.475 </v>
      </c>
      <c r="C93" t="str">
        <f>'Front Page'!C94</f>
        <v xml:space="preserve">The Perlman Music Program/Suncoast, Inc. </v>
      </c>
      <c r="D93">
        <f>'Front Page'!E94</f>
        <v>90000</v>
      </c>
      <c r="E93" s="3">
        <f>ROUND('Front Page'!F94,4)</f>
        <v>94.429000000000002</v>
      </c>
      <c r="F93">
        <f t="shared" si="4"/>
        <v>84986.1</v>
      </c>
      <c r="G93">
        <f>IF((D93*(E93/100)*Sheet2!$B$4)&gt;1000,(D93*(E93/100)*Sheet2!$B$4),1000)</f>
        <v>16117.141845930901</v>
      </c>
      <c r="M93">
        <f>IF(G93=1000,1000,(F93*Sheet2!$B$8))</f>
        <v>16090.92168493638</v>
      </c>
      <c r="N93">
        <f t="shared" si="7"/>
        <v>16090.92168493638</v>
      </c>
      <c r="O93">
        <f t="shared" si="5"/>
        <v>16090.92168493638</v>
      </c>
      <c r="P93">
        <f t="shared" si="6"/>
        <v>16106</v>
      </c>
    </row>
    <row r="94" spans="1:16" x14ac:dyDescent="0.25">
      <c r="A94">
        <f>'Front Page'!A95</f>
        <v>93</v>
      </c>
      <c r="B94" t="str">
        <f>'Front Page'!B95</f>
        <v xml:space="preserve">20.c.ps.180.584 </v>
      </c>
      <c r="C94" t="str">
        <f>'Front Page'!C95</f>
        <v xml:space="preserve">Dr. Phillips Center for the Performing Arts, Inc. </v>
      </c>
      <c r="D94">
        <f>'Front Page'!E95</f>
        <v>150000</v>
      </c>
      <c r="E94" s="3">
        <f>ROUND('Front Page'!F95,4)</f>
        <v>94.429000000000002</v>
      </c>
      <c r="F94">
        <f t="shared" si="4"/>
        <v>141643.5</v>
      </c>
      <c r="G94">
        <f>IF((D94*(E94/100)*Sheet2!$B$4)&gt;1000,(D94*(E94/100)*Sheet2!$B$4),1000)</f>
        <v>26861.903076551498</v>
      </c>
      <c r="M94">
        <f>IF(G94=1000,1000,(F94*Sheet2!$B$8))</f>
        <v>26818.202808227299</v>
      </c>
      <c r="N94">
        <f t="shared" si="7"/>
        <v>26818.202808227299</v>
      </c>
      <c r="O94">
        <f t="shared" si="5"/>
        <v>26818.202808227299</v>
      </c>
      <c r="P94">
        <f t="shared" si="6"/>
        <v>26833</v>
      </c>
    </row>
    <row r="95" spans="1:16" x14ac:dyDescent="0.25">
      <c r="A95">
        <f>'Front Page'!A96</f>
        <v>94</v>
      </c>
      <c r="B95" t="str">
        <f>'Front Page'!B96</f>
        <v xml:space="preserve">20.c.ps.101.464 </v>
      </c>
      <c r="C95" t="str">
        <f>'Front Page'!C96</f>
        <v xml:space="preserve">Dimensions Dance Theater of Miami Inc. </v>
      </c>
      <c r="D95">
        <f>'Front Page'!E96</f>
        <v>16000</v>
      </c>
      <c r="E95" s="3">
        <f>ROUND('Front Page'!F96,4)</f>
        <v>94.4</v>
      </c>
      <c r="F95">
        <f t="shared" si="4"/>
        <v>15104.000000000002</v>
      </c>
      <c r="G95">
        <f>IF((D95*(E95/100)*Sheet2!$B$4)&gt;1000,(D95*(E95/100)*Sheet2!$B$4),1000)</f>
        <v>2864.3897112697291</v>
      </c>
      <c r="M95">
        <f>IF(G95=1000,1000,(F95*Sheet2!$B$8))</f>
        <v>2859.7297808615658</v>
      </c>
      <c r="N95">
        <f t="shared" si="7"/>
        <v>2859.7297808615658</v>
      </c>
      <c r="O95">
        <f t="shared" si="5"/>
        <v>2859.7297808615658</v>
      </c>
      <c r="P95">
        <f t="shared" si="6"/>
        <v>2875</v>
      </c>
    </row>
    <row r="96" spans="1:16" x14ac:dyDescent="0.25">
      <c r="A96">
        <f>'Front Page'!A97</f>
        <v>95</v>
      </c>
      <c r="B96" t="str">
        <f>'Front Page'!B97</f>
        <v xml:space="preserve">20.c.ps.105.487 </v>
      </c>
      <c r="C96" t="str">
        <f>'Front Page'!C97</f>
        <v xml:space="preserve">ArtCenter Manatee </v>
      </c>
      <c r="D96">
        <f>'Front Page'!E97</f>
        <v>90000</v>
      </c>
      <c r="E96" s="3">
        <f>ROUND('Front Page'!F97,4)</f>
        <v>94.4</v>
      </c>
      <c r="F96">
        <f t="shared" si="4"/>
        <v>84960</v>
      </c>
      <c r="G96">
        <f>IF((D96*(E96/100)*Sheet2!$B$4)&gt;1000,(D96*(E96/100)*Sheet2!$B$4),1000)</f>
        <v>16112.192125892225</v>
      </c>
      <c r="M96">
        <f>IF(G96=1000,1000,(F96*Sheet2!$B$8))</f>
        <v>16085.980017346305</v>
      </c>
      <c r="N96">
        <f t="shared" si="7"/>
        <v>16085.980017346305</v>
      </c>
      <c r="O96">
        <f t="shared" si="5"/>
        <v>16085.980017346305</v>
      </c>
      <c r="P96">
        <f t="shared" si="6"/>
        <v>16101</v>
      </c>
    </row>
    <row r="97" spans="1:16" x14ac:dyDescent="0.25">
      <c r="A97">
        <f>'Front Page'!A98</f>
        <v>96</v>
      </c>
      <c r="B97" t="str">
        <f>'Front Page'!B98</f>
        <v xml:space="preserve">20.c.ps.170.770 </v>
      </c>
      <c r="C97" t="str">
        <f>'Front Page'!C98</f>
        <v xml:space="preserve">Norton Museum of Art, Inc. </v>
      </c>
      <c r="D97">
        <f>'Front Page'!E98</f>
        <v>150000</v>
      </c>
      <c r="E97" s="3">
        <f>ROUND('Front Page'!F98,4)</f>
        <v>94.332999999999998</v>
      </c>
      <c r="F97">
        <f t="shared" si="4"/>
        <v>141499.5</v>
      </c>
      <c r="G97">
        <f>IF((D97*(E97/100)*Sheet2!$B$4)&gt;1000,(D97*(E97/100)*Sheet2!$B$4),1000)</f>
        <v>26834.594276338124</v>
      </c>
      <c r="M97">
        <f>IF(G97=1000,1000,(F97*Sheet2!$B$8))</f>
        <v>26790.938435316544</v>
      </c>
      <c r="N97">
        <f t="shared" si="7"/>
        <v>26790.938435316544</v>
      </c>
      <c r="O97">
        <f t="shared" si="5"/>
        <v>26790.938435316544</v>
      </c>
      <c r="P97">
        <f t="shared" si="6"/>
        <v>26806</v>
      </c>
    </row>
    <row r="98" spans="1:16" x14ac:dyDescent="0.25">
      <c r="A98">
        <f>'Front Page'!A99</f>
        <v>97</v>
      </c>
      <c r="B98" t="str">
        <f>'Front Page'!B99</f>
        <v xml:space="preserve">20.c.ps.180.349 </v>
      </c>
      <c r="C98" t="str">
        <f>'Front Page'!C99</f>
        <v xml:space="preserve">Chopin Foundation of the United States, Inc. </v>
      </c>
      <c r="D98">
        <f>'Front Page'!E99</f>
        <v>50000</v>
      </c>
      <c r="E98" s="3">
        <f>ROUND('Front Page'!F99,4)</f>
        <v>94.332999999999998</v>
      </c>
      <c r="F98">
        <f t="shared" si="4"/>
        <v>47166.5</v>
      </c>
      <c r="G98">
        <f>IF((D98*(E98/100)*Sheet2!$B$4)&gt;1000,(D98*(E98/100)*Sheet2!$B$4),1000)</f>
        <v>8944.8647587793748</v>
      </c>
      <c r="M98">
        <f>IF(G98=1000,1000,(F98*Sheet2!$B$8))</f>
        <v>8930.3128117721808</v>
      </c>
      <c r="N98">
        <f t="shared" si="7"/>
        <v>8930.3128117721808</v>
      </c>
      <c r="O98">
        <f t="shared" si="5"/>
        <v>8930.3128117721808</v>
      </c>
      <c r="P98">
        <f t="shared" si="6"/>
        <v>8945</v>
      </c>
    </row>
    <row r="99" spans="1:16" x14ac:dyDescent="0.25">
      <c r="A99">
        <f>'Front Page'!A100</f>
        <v>98</v>
      </c>
      <c r="B99" t="str">
        <f>'Front Page'!B100</f>
        <v xml:space="preserve">20.c.ps.170.268 </v>
      </c>
      <c r="C99" t="str">
        <f>'Front Page'!C100</f>
        <v xml:space="preserve">Explorations V Children's Museum, Inc. </v>
      </c>
      <c r="D99">
        <f>'Front Page'!E100</f>
        <v>87407</v>
      </c>
      <c r="E99" s="3">
        <f>ROUND('Front Page'!F100,4)</f>
        <v>94.286000000000001</v>
      </c>
      <c r="F99">
        <f t="shared" si="4"/>
        <v>82412.564020000005</v>
      </c>
      <c r="G99">
        <f>IF((D99*(E99/100)*Sheet2!$B$4)&gt;1000,(D99*(E99/100)*Sheet2!$B$4),1000)</f>
        <v>15629.085040932592</v>
      </c>
      <c r="M99">
        <f>IF(G99=1000,1000,(F99*Sheet2!$B$8))</f>
        <v>15603.658874811596</v>
      </c>
      <c r="N99">
        <f t="shared" si="7"/>
        <v>15603.658874811596</v>
      </c>
      <c r="O99">
        <f t="shared" si="5"/>
        <v>15603.658874811596</v>
      </c>
      <c r="P99">
        <f t="shared" si="6"/>
        <v>15619</v>
      </c>
    </row>
    <row r="100" spans="1:16" x14ac:dyDescent="0.25">
      <c r="A100">
        <f>'Front Page'!A101</f>
        <v>99</v>
      </c>
      <c r="B100" t="str">
        <f>'Front Page'!B101</f>
        <v xml:space="preserve">20.c.ps.180.572 </v>
      </c>
      <c r="C100" t="str">
        <f>'Front Page'!C101</f>
        <v xml:space="preserve">Florida State College at Jacksonville Foundation, Inc. </v>
      </c>
      <c r="D100">
        <f>'Front Page'!E101</f>
        <v>150000</v>
      </c>
      <c r="E100" s="3">
        <f>ROUND('Front Page'!F101,4)</f>
        <v>94.286000000000001</v>
      </c>
      <c r="F100">
        <f t="shared" si="4"/>
        <v>141429</v>
      </c>
      <c r="G100">
        <f>IF((D100*(E100/100)*Sheet2!$B$4)&gt;1000,(D100*(E100/100)*Sheet2!$B$4),1000)</f>
        <v>26821.224342900325</v>
      </c>
      <c r="M100">
        <f>IF(G100=1000,1000,(F100*Sheet2!$B$8))</f>
        <v>26777.590252745653</v>
      </c>
      <c r="N100">
        <f t="shared" si="7"/>
        <v>26777.590252745653</v>
      </c>
      <c r="O100">
        <f t="shared" si="5"/>
        <v>26777.590252745653</v>
      </c>
      <c r="P100">
        <f t="shared" si="6"/>
        <v>26793</v>
      </c>
    </row>
    <row r="101" spans="1:16" x14ac:dyDescent="0.25">
      <c r="A101">
        <f>'Front Page'!A102</f>
        <v>100</v>
      </c>
      <c r="B101" t="str">
        <f>'Front Page'!B102</f>
        <v xml:space="preserve">20.c.ps.142.506 </v>
      </c>
      <c r="C101" t="str">
        <f>'Front Page'!C102</f>
        <v xml:space="preserve">Orlando Shakespeare Theater, Inc. </v>
      </c>
      <c r="D101">
        <f>'Front Page'!E102</f>
        <v>150000</v>
      </c>
      <c r="E101" s="3">
        <f>ROUND('Front Page'!F102,4)</f>
        <v>94.167000000000002</v>
      </c>
      <c r="F101">
        <f t="shared" si="4"/>
        <v>141250.5</v>
      </c>
      <c r="G101">
        <f>IF((D101*(E101/100)*Sheet2!$B$4)&gt;1000,(D101*(E101/100)*Sheet2!$B$4),1000)</f>
        <v>26787.372809302491</v>
      </c>
      <c r="M101">
        <f>IF(G101=1000,1000,(F101*Sheet2!$B$8))</f>
        <v>26743.793790491694</v>
      </c>
      <c r="N101">
        <f t="shared" si="7"/>
        <v>26743.793790491694</v>
      </c>
      <c r="O101">
        <f t="shared" si="5"/>
        <v>26743.793790491694</v>
      </c>
      <c r="P101">
        <f t="shared" si="6"/>
        <v>26759</v>
      </c>
    </row>
    <row r="102" spans="1:16" x14ac:dyDescent="0.25">
      <c r="A102">
        <f>'Front Page'!A103</f>
        <v>101</v>
      </c>
      <c r="B102" t="str">
        <f>'Front Page'!B103</f>
        <v xml:space="preserve">20.c.ps.114.357 </v>
      </c>
      <c r="C102" t="str">
        <f>'Front Page'!C103</f>
        <v xml:space="preserve">Ruth Eckerd Hall, Inc. </v>
      </c>
      <c r="D102">
        <f>'Front Page'!E103</f>
        <v>150000</v>
      </c>
      <c r="E102" s="3">
        <f>ROUND('Front Page'!F103,4)</f>
        <v>94.167000000000002</v>
      </c>
      <c r="F102">
        <f t="shared" si="4"/>
        <v>141250.5</v>
      </c>
      <c r="G102">
        <f>IF((D102*(E102/100)*Sheet2!$B$4)&gt;1000,(D102*(E102/100)*Sheet2!$B$4),1000)</f>
        <v>26787.372809302491</v>
      </c>
      <c r="M102">
        <f>IF(G102=1000,1000,(F102*Sheet2!$B$8))</f>
        <v>26743.793790491694</v>
      </c>
      <c r="N102">
        <f t="shared" si="7"/>
        <v>26743.793790491694</v>
      </c>
      <c r="O102">
        <f t="shared" si="5"/>
        <v>26743.793790491694</v>
      </c>
      <c r="P102">
        <f t="shared" si="6"/>
        <v>26759</v>
      </c>
    </row>
    <row r="103" spans="1:16" x14ac:dyDescent="0.25">
      <c r="A103">
        <f>'Front Page'!A104</f>
        <v>102</v>
      </c>
      <c r="B103" t="str">
        <f>'Front Page'!B104</f>
        <v xml:space="preserve">20.c.ps.170.337 </v>
      </c>
      <c r="C103" t="str">
        <f>'Front Page'!C104</f>
        <v xml:space="preserve">Young At Art of Broward, Inc. </v>
      </c>
      <c r="D103">
        <f>'Front Page'!E104</f>
        <v>150000</v>
      </c>
      <c r="E103" s="3">
        <f>ROUND('Front Page'!F104,4)</f>
        <v>94.143000000000001</v>
      </c>
      <c r="F103">
        <f t="shared" si="4"/>
        <v>141214.5</v>
      </c>
      <c r="G103">
        <f>IF((D103*(E103/100)*Sheet2!$B$4)&gt;1000,(D103*(E103/100)*Sheet2!$B$4),1000)</f>
        <v>26780.545609249148</v>
      </c>
      <c r="M103">
        <f>IF(G103=1000,1000,(F103*Sheet2!$B$8))</f>
        <v>26736.977697264003</v>
      </c>
      <c r="N103">
        <f t="shared" si="7"/>
        <v>26736.977697264003</v>
      </c>
      <c r="O103">
        <f t="shared" si="5"/>
        <v>26736.977697264003</v>
      </c>
      <c r="P103">
        <f t="shared" si="6"/>
        <v>26752</v>
      </c>
    </row>
    <row r="104" spans="1:16" x14ac:dyDescent="0.25">
      <c r="A104">
        <f>'Front Page'!A105</f>
        <v>103</v>
      </c>
      <c r="B104" t="str">
        <f>'Front Page'!B105</f>
        <v xml:space="preserve">20.c.ps.105.477 </v>
      </c>
      <c r="C104" t="str">
        <f>'Front Page'!C105</f>
        <v xml:space="preserve">Florida Atlantic University </v>
      </c>
      <c r="D104">
        <f>'Front Page'!E105</f>
        <v>59350</v>
      </c>
      <c r="E104" s="3">
        <f>ROUND('Front Page'!F105,4)</f>
        <v>94</v>
      </c>
      <c r="F104">
        <f t="shared" si="4"/>
        <v>55789</v>
      </c>
      <c r="G104">
        <f>IF((D104*(E104/100)*Sheet2!$B$4)&gt;1000,(D104*(E104/100)*Sheet2!$B$4),1000)</f>
        <v>10580.073993778264</v>
      </c>
      <c r="M104">
        <f>IF(G104=1000,1000,(F104*Sheet2!$B$8))</f>
        <v>10562.861807765219</v>
      </c>
      <c r="N104">
        <f t="shared" si="7"/>
        <v>10562.861807765219</v>
      </c>
      <c r="O104">
        <f t="shared" si="5"/>
        <v>10562.861807765219</v>
      </c>
      <c r="P104">
        <f t="shared" si="6"/>
        <v>10578</v>
      </c>
    </row>
    <row r="105" spans="1:16" x14ac:dyDescent="0.25">
      <c r="A105">
        <f>'Front Page'!A106</f>
        <v>104</v>
      </c>
      <c r="B105" t="str">
        <f>'Front Page'!B106</f>
        <v xml:space="preserve">20.c.ps.170.113 </v>
      </c>
      <c r="C105" t="str">
        <f>'Front Page'!C106</f>
        <v xml:space="preserve">University of Florida  </v>
      </c>
      <c r="D105">
        <f>'Front Page'!E106</f>
        <v>150000</v>
      </c>
      <c r="E105" s="3">
        <f>ROUND('Front Page'!F106,4)</f>
        <v>94</v>
      </c>
      <c r="F105">
        <f t="shared" si="4"/>
        <v>141000</v>
      </c>
      <c r="G105">
        <f>IF((D105*(E105/100)*Sheet2!$B$4)&gt;1000,(D105*(E105/100)*Sheet2!$B$4),1000)</f>
        <v>26739.866875597974</v>
      </c>
      <c r="M105">
        <f>IF(G105=1000,1000,(F105*Sheet2!$B$8))</f>
        <v>26696.365141782357</v>
      </c>
      <c r="N105">
        <f t="shared" si="7"/>
        <v>26696.365141782357</v>
      </c>
      <c r="O105">
        <f t="shared" si="5"/>
        <v>26696.365141782357</v>
      </c>
      <c r="P105">
        <f t="shared" si="6"/>
        <v>26711</v>
      </c>
    </row>
    <row r="106" spans="1:16" x14ac:dyDescent="0.25">
      <c r="A106">
        <f>'Front Page'!A107</f>
        <v>105</v>
      </c>
      <c r="B106" t="str">
        <f>'Front Page'!B107</f>
        <v xml:space="preserve">20.c.ps.170.418 </v>
      </c>
      <c r="C106" t="str">
        <f>'Front Page'!C107</f>
        <v xml:space="preserve">The Stranahan House, Inc. </v>
      </c>
      <c r="D106">
        <f>'Front Page'!E107</f>
        <v>78250</v>
      </c>
      <c r="E106" s="3">
        <f>ROUND('Front Page'!F107,4)</f>
        <v>94</v>
      </c>
      <c r="F106">
        <f t="shared" si="4"/>
        <v>73555</v>
      </c>
      <c r="G106">
        <f>IF((D106*(E106/100)*Sheet2!$B$4)&gt;1000,(D106*(E106/100)*Sheet2!$B$4),1000)</f>
        <v>13949.297220103608</v>
      </c>
      <c r="M106">
        <f>IF(G106=1000,1000,(F106*Sheet2!$B$8))</f>
        <v>13926.603815629796</v>
      </c>
      <c r="N106">
        <f t="shared" si="7"/>
        <v>13926.603815629796</v>
      </c>
      <c r="O106">
        <f t="shared" si="5"/>
        <v>13926.603815629796</v>
      </c>
      <c r="P106">
        <f t="shared" si="6"/>
        <v>13942</v>
      </c>
    </row>
    <row r="107" spans="1:16" x14ac:dyDescent="0.25">
      <c r="A107">
        <f>'Front Page'!A108</f>
        <v>106</v>
      </c>
      <c r="B107" t="str">
        <f>'Front Page'!B108</f>
        <v xml:space="preserve">20.c.ps.180.264 </v>
      </c>
      <c r="C107" t="str">
        <f>'Front Page'!C108</f>
        <v xml:space="preserve">Broward Performing Arts Foundation, Inc. </v>
      </c>
      <c r="D107">
        <f>'Front Page'!E108</f>
        <v>150000</v>
      </c>
      <c r="E107" s="3">
        <f>ROUND('Front Page'!F108,4)</f>
        <v>94</v>
      </c>
      <c r="F107">
        <f t="shared" si="4"/>
        <v>141000</v>
      </c>
      <c r="G107">
        <f>IF((D107*(E107/100)*Sheet2!$B$4)&gt;1000,(D107*(E107/100)*Sheet2!$B$4),1000)</f>
        <v>26739.866875597974</v>
      </c>
      <c r="M107">
        <f>IF(G107=1000,1000,(F107*Sheet2!$B$8))</f>
        <v>26696.365141782357</v>
      </c>
      <c r="N107">
        <f t="shared" si="7"/>
        <v>26696.365141782357</v>
      </c>
      <c r="O107">
        <f t="shared" si="5"/>
        <v>26696.365141782357</v>
      </c>
      <c r="P107">
        <f t="shared" si="6"/>
        <v>26711</v>
      </c>
    </row>
    <row r="108" spans="1:16" x14ac:dyDescent="0.25">
      <c r="A108">
        <f>'Front Page'!A109</f>
        <v>107</v>
      </c>
      <c r="B108" t="str">
        <f>'Front Page'!B109</f>
        <v xml:space="preserve">20.c.ps.102.383 </v>
      </c>
      <c r="C108" t="str">
        <f>'Front Page'!C109</f>
        <v xml:space="preserve">The Jacksonville Children's Chorus, Inc. </v>
      </c>
      <c r="D108">
        <f>'Front Page'!E109</f>
        <v>100086</v>
      </c>
      <c r="E108" s="3">
        <f>ROUND('Front Page'!F109,4)</f>
        <v>94</v>
      </c>
      <c r="F108">
        <f t="shared" si="4"/>
        <v>94080.84</v>
      </c>
      <c r="G108">
        <f>IF((D108*(E108/100)*Sheet2!$B$4)&gt;1000,(D108*(E108/100)*Sheet2!$B$4),1000)</f>
        <v>17841.908774073992</v>
      </c>
      <c r="M108">
        <f>IF(G108=1000,1000,(F108*Sheet2!$B$8))</f>
        <v>17812.882677202859</v>
      </c>
      <c r="N108">
        <f t="shared" si="7"/>
        <v>17812.882677202859</v>
      </c>
      <c r="O108">
        <f t="shared" si="5"/>
        <v>17812.882677202859</v>
      </c>
      <c r="P108">
        <f t="shared" si="6"/>
        <v>17828</v>
      </c>
    </row>
    <row r="109" spans="1:16" x14ac:dyDescent="0.25">
      <c r="A109">
        <f>'Front Page'!A110</f>
        <v>108</v>
      </c>
      <c r="B109" t="str">
        <f>'Front Page'!B110</f>
        <v xml:space="preserve">20.c.ps.114.339 </v>
      </c>
      <c r="C109" t="str">
        <f>'Front Page'!C110</f>
        <v xml:space="preserve">Community Stepping Stones, Inc. </v>
      </c>
      <c r="D109">
        <f>'Front Page'!E110</f>
        <v>25000</v>
      </c>
      <c r="E109" s="3">
        <f>ROUND('Front Page'!F110,4)</f>
        <v>94</v>
      </c>
      <c r="F109">
        <f t="shared" si="4"/>
        <v>23500</v>
      </c>
      <c r="G109">
        <f>IF((D109*(E109/100)*Sheet2!$B$4)&gt;1000,(D109*(E109/100)*Sheet2!$B$4),1000)</f>
        <v>4456.6444792663287</v>
      </c>
      <c r="M109">
        <f>IF(G109=1000,1000,(F109*Sheet2!$B$8))</f>
        <v>4449.3941902970591</v>
      </c>
      <c r="N109">
        <f t="shared" si="7"/>
        <v>4449.3941902970591</v>
      </c>
      <c r="O109">
        <f t="shared" si="5"/>
        <v>4449.3941902970591</v>
      </c>
      <c r="P109">
        <f t="shared" si="6"/>
        <v>4464</v>
      </c>
    </row>
    <row r="110" spans="1:16" x14ac:dyDescent="0.25">
      <c r="A110">
        <f>'Front Page'!A111</f>
        <v>109</v>
      </c>
      <c r="B110" t="str">
        <f>'Front Page'!B111</f>
        <v xml:space="preserve">20.c.ps.102.162 </v>
      </c>
      <c r="C110" t="str">
        <f>'Front Page'!C111</f>
        <v xml:space="preserve">Brevard Symphony Orchestra, Inc. </v>
      </c>
      <c r="D110">
        <f>'Front Page'!E111</f>
        <v>90208</v>
      </c>
      <c r="E110" s="3">
        <f>ROUND('Front Page'!F111,4)</f>
        <v>93.875</v>
      </c>
      <c r="F110">
        <f t="shared" si="4"/>
        <v>84682.76</v>
      </c>
      <c r="G110">
        <f>IF((D110*(E110/100)*Sheet2!$B$4)&gt;1000,(D110*(E110/100)*Sheet2!$B$4),1000)</f>
        <v>16059.615099703637</v>
      </c>
      <c r="M110">
        <f>IF(G110=1000,1000,(F110*Sheet2!$B$8))</f>
        <v>16033.488526056179</v>
      </c>
      <c r="N110">
        <f t="shared" si="7"/>
        <v>16033.488526056179</v>
      </c>
      <c r="O110">
        <f t="shared" si="5"/>
        <v>16033.488526056179</v>
      </c>
      <c r="P110">
        <f t="shared" si="6"/>
        <v>16048</v>
      </c>
    </row>
    <row r="111" spans="1:16" x14ac:dyDescent="0.25">
      <c r="A111">
        <f>'Front Page'!A112</f>
        <v>110</v>
      </c>
      <c r="B111" t="str">
        <f>'Front Page'!B112</f>
        <v xml:space="preserve">20.c.ps.102.174 </v>
      </c>
      <c r="C111" t="str">
        <f>'Front Page'!C112</f>
        <v xml:space="preserve">Key Chorale, Inc. </v>
      </c>
      <c r="D111">
        <f>'Front Page'!E112</f>
        <v>60534</v>
      </c>
      <c r="E111" s="3">
        <f>ROUND('Front Page'!F112,4)</f>
        <v>93.856999999999999</v>
      </c>
      <c r="F111">
        <f t="shared" si="4"/>
        <v>56815.396379999998</v>
      </c>
      <c r="G111">
        <f>IF((D111*(E111/100)*Sheet2!$B$4)&gt;1000,(D111*(E111/100)*Sheet2!$B$4),1000)</f>
        <v>10774.724366564049</v>
      </c>
      <c r="M111">
        <f>IF(G111=1000,1000,(F111*Sheet2!$B$8))</f>
        <v>10757.195513727514</v>
      </c>
      <c r="N111">
        <f t="shared" si="7"/>
        <v>10757.195513727514</v>
      </c>
      <c r="O111">
        <f t="shared" si="5"/>
        <v>10757.195513727514</v>
      </c>
      <c r="P111">
        <f t="shared" si="6"/>
        <v>10772</v>
      </c>
    </row>
    <row r="112" spans="1:16" x14ac:dyDescent="0.25">
      <c r="A112">
        <f>'Front Page'!A113</f>
        <v>111</v>
      </c>
      <c r="B112" t="str">
        <f>'Front Page'!B113</f>
        <v xml:space="preserve">20.c.ps.102.421 </v>
      </c>
      <c r="C112" t="str">
        <f>'Front Page'!C113</f>
        <v xml:space="preserve">Boca Raton Philharmonic Symphonia, Inc. </v>
      </c>
      <c r="D112">
        <f>'Front Page'!E113</f>
        <v>90000</v>
      </c>
      <c r="E112" s="3">
        <f>ROUND('Front Page'!F113,4)</f>
        <v>93.856999999999999</v>
      </c>
      <c r="F112">
        <f t="shared" si="4"/>
        <v>84471.3</v>
      </c>
      <c r="G112">
        <f>IF((D112*(E112/100)*Sheet2!$B$4)&gt;1000,(D112*(E112/100)*Sheet2!$B$4),1000)</f>
        <v>16019.512885168078</v>
      </c>
      <c r="M112">
        <f>IF(G112=1000,1000,(F112*Sheet2!$B$8))</f>
        <v>15993.451551780427</v>
      </c>
      <c r="N112">
        <f t="shared" si="7"/>
        <v>15993.451551780427</v>
      </c>
      <c r="O112">
        <f t="shared" si="5"/>
        <v>15993.451551780427</v>
      </c>
      <c r="P112">
        <f t="shared" si="6"/>
        <v>16008</v>
      </c>
    </row>
    <row r="113" spans="1:16" x14ac:dyDescent="0.25">
      <c r="A113">
        <f>'Front Page'!A114</f>
        <v>112</v>
      </c>
      <c r="B113" t="str">
        <f>'Front Page'!B114</f>
        <v xml:space="preserve">20.c.ps.170.115 </v>
      </c>
      <c r="C113" t="str">
        <f>'Front Page'!C114</f>
        <v xml:space="preserve">Museum of Science, Inc. </v>
      </c>
      <c r="D113">
        <f>'Front Page'!E114</f>
        <v>150000</v>
      </c>
      <c r="E113" s="3">
        <f>ROUND('Front Page'!F114,4)</f>
        <v>93.856999999999999</v>
      </c>
      <c r="F113">
        <f t="shared" si="4"/>
        <v>140785.5</v>
      </c>
      <c r="G113">
        <f>IF((D113*(E113/100)*Sheet2!$B$4)&gt;1000,(D113*(E113/100)*Sheet2!$B$4),1000)</f>
        <v>26699.188141946797</v>
      </c>
      <c r="M113">
        <f>IF(G113=1000,1000,(F113*Sheet2!$B$8))</f>
        <v>26655.75258630071</v>
      </c>
      <c r="N113">
        <f t="shared" si="7"/>
        <v>26655.75258630071</v>
      </c>
      <c r="O113">
        <f t="shared" si="5"/>
        <v>26655.75258630071</v>
      </c>
      <c r="P113">
        <f t="shared" si="6"/>
        <v>26671</v>
      </c>
    </row>
    <row r="114" spans="1:16" x14ac:dyDescent="0.25">
      <c r="A114">
        <f>'Front Page'!A115</f>
        <v>113</v>
      </c>
      <c r="B114" t="str">
        <f>'Front Page'!B115</f>
        <v xml:space="preserve">20.c.ps.102.732 </v>
      </c>
      <c r="C114" t="str">
        <f>'Front Page'!C115</f>
        <v xml:space="preserve">Gay Men's Chorus of South Florida </v>
      </c>
      <c r="D114">
        <f>'Front Page'!E115</f>
        <v>88175</v>
      </c>
      <c r="E114" s="3">
        <f>ROUND('Front Page'!F115,4)</f>
        <v>93.856999999999999</v>
      </c>
      <c r="F114">
        <f t="shared" si="4"/>
        <v>82758.409750000006</v>
      </c>
      <c r="G114">
        <f>IF((D114*(E114/100)*Sheet2!$B$4)&gt;1000,(D114*(E114/100)*Sheet2!$B$4),1000)</f>
        <v>15694.672762774393</v>
      </c>
      <c r="M114">
        <f>IF(G114=1000,1000,(F114*Sheet2!$B$8))</f>
        <v>15669.139895313769</v>
      </c>
      <c r="N114">
        <f t="shared" si="7"/>
        <v>15669.139895313769</v>
      </c>
      <c r="O114">
        <f t="shared" si="5"/>
        <v>15669.139895313769</v>
      </c>
      <c r="P114">
        <f t="shared" si="6"/>
        <v>15684</v>
      </c>
    </row>
    <row r="115" spans="1:16" x14ac:dyDescent="0.25">
      <c r="A115">
        <f>'Front Page'!A116</f>
        <v>114</v>
      </c>
      <c r="B115" t="str">
        <f>'Front Page'!B116</f>
        <v xml:space="preserve">20.c.ps.101.417 </v>
      </c>
      <c r="C115" t="str">
        <f>'Front Page'!C116</f>
        <v xml:space="preserve">Sarasota Ballet of Florida, Inc. </v>
      </c>
      <c r="D115">
        <f>'Front Page'!E116</f>
        <v>150000</v>
      </c>
      <c r="E115" s="3">
        <f>ROUND('Front Page'!F116,4)</f>
        <v>93.832999999999998</v>
      </c>
      <c r="F115">
        <f t="shared" si="4"/>
        <v>140749.5</v>
      </c>
      <c r="G115">
        <f>IF((D115*(E115/100)*Sheet2!$B$4)&gt;1000,(D115*(E115/100)*Sheet2!$B$4),1000)</f>
        <v>26692.360941893454</v>
      </c>
      <c r="M115">
        <f>IF(G115=1000,1000,(F115*Sheet2!$B$8))</f>
        <v>26648.936493073019</v>
      </c>
      <c r="N115">
        <f t="shared" si="7"/>
        <v>26648.936493073019</v>
      </c>
      <c r="O115">
        <f t="shared" si="5"/>
        <v>26648.936493073019</v>
      </c>
      <c r="P115">
        <f t="shared" si="6"/>
        <v>26664</v>
      </c>
    </row>
    <row r="116" spans="1:16" x14ac:dyDescent="0.25">
      <c r="A116">
        <f>'Front Page'!A117</f>
        <v>115</v>
      </c>
      <c r="B116" t="str">
        <f>'Front Page'!B117</f>
        <v xml:space="preserve">20.c.ps.200.035 </v>
      </c>
      <c r="C116" t="str">
        <f>'Front Page'!C117</f>
        <v xml:space="preserve">All Florida Youth Orchestra, Incorporated </v>
      </c>
      <c r="D116">
        <f>'Front Page'!E117</f>
        <v>70500</v>
      </c>
      <c r="E116" s="3">
        <f>ROUND('Front Page'!F117,4)</f>
        <v>93.832999999999998</v>
      </c>
      <c r="F116">
        <f t="shared" si="4"/>
        <v>66152.264999999999</v>
      </c>
      <c r="G116">
        <f>IF((D116*(E116/100)*Sheet2!$B$4)&gt;1000,(D116*(E116/100)*Sheet2!$B$4),1000)</f>
        <v>12545.409642689923</v>
      </c>
      <c r="M116">
        <f>IF(G116=1000,1000,(F116*Sheet2!$B$8))</f>
        <v>12525.00015174432</v>
      </c>
      <c r="N116">
        <f t="shared" si="7"/>
        <v>12525.00015174432</v>
      </c>
      <c r="O116">
        <f t="shared" si="5"/>
        <v>12525.00015174432</v>
      </c>
      <c r="P116">
        <f t="shared" si="6"/>
        <v>12540</v>
      </c>
    </row>
    <row r="117" spans="1:16" x14ac:dyDescent="0.25">
      <c r="A117">
        <f>'Front Page'!A118</f>
        <v>116</v>
      </c>
      <c r="B117" t="str">
        <f>'Front Page'!B118</f>
        <v xml:space="preserve">20.c.ps.105.384 </v>
      </c>
      <c r="C117" t="str">
        <f>'Front Page'!C118</f>
        <v xml:space="preserve">Crealde School of Art </v>
      </c>
      <c r="D117">
        <f>'Front Page'!E118</f>
        <v>105754</v>
      </c>
      <c r="E117" s="3">
        <f>ROUND('Front Page'!F118,4)</f>
        <v>93.8</v>
      </c>
      <c r="F117">
        <f t="shared" si="4"/>
        <v>99197.251999999993</v>
      </c>
      <c r="G117">
        <f>IF((D117*(E117/100)*Sheet2!$B$4)&gt;1000,(D117*(E117/100)*Sheet2!$B$4),1000)</f>
        <v>18812.207892944287</v>
      </c>
      <c r="M117">
        <f>IF(G117=1000,1000,(F117*Sheet2!$B$8))</f>
        <v>18781.603265626949</v>
      </c>
      <c r="N117">
        <f t="shared" si="7"/>
        <v>18781.603265626949</v>
      </c>
      <c r="O117">
        <f t="shared" si="5"/>
        <v>18781.603265626949</v>
      </c>
      <c r="P117">
        <f t="shared" si="6"/>
        <v>18797</v>
      </c>
    </row>
    <row r="118" spans="1:16" x14ac:dyDescent="0.25">
      <c r="A118">
        <f>'Front Page'!A119</f>
        <v>117</v>
      </c>
      <c r="B118" t="str">
        <f>'Front Page'!B119</f>
        <v xml:space="preserve">20.c.ps.105.239 </v>
      </c>
      <c r="C118" t="str">
        <f>'Front Page'!C119</f>
        <v xml:space="preserve">Bakehouse Art Complex, Inc. </v>
      </c>
      <c r="D118">
        <f>'Front Page'!E119</f>
        <v>90000</v>
      </c>
      <c r="E118" s="3">
        <f>ROUND('Front Page'!F119,4)</f>
        <v>93.8</v>
      </c>
      <c r="F118">
        <f t="shared" si="4"/>
        <v>84420</v>
      </c>
      <c r="G118">
        <f>IF((D118*(E118/100)*Sheet2!$B$4)&gt;1000,(D118*(E118/100)*Sheet2!$B$4),1000)</f>
        <v>16009.784125092063</v>
      </c>
      <c r="M118">
        <f>IF(G118=1000,1000,(F118*Sheet2!$B$8))</f>
        <v>15983.738618930969</v>
      </c>
      <c r="N118">
        <f t="shared" si="7"/>
        <v>15983.738618930969</v>
      </c>
      <c r="O118">
        <f t="shared" si="5"/>
        <v>15983.738618930969</v>
      </c>
      <c r="P118">
        <f t="shared" si="6"/>
        <v>15999</v>
      </c>
    </row>
    <row r="119" spans="1:16" x14ac:dyDescent="0.25">
      <c r="A119">
        <f>'Front Page'!A120</f>
        <v>118</v>
      </c>
      <c r="B119" t="str">
        <f>'Front Page'!B120</f>
        <v xml:space="preserve">20.c.ps.170.039 </v>
      </c>
      <c r="C119" t="str">
        <f>'Front Page'!C120</f>
        <v xml:space="preserve">Albin Polasek Museum and Sculpture Gardens, Inc. </v>
      </c>
      <c r="D119">
        <f>'Front Page'!E120</f>
        <v>90000</v>
      </c>
      <c r="E119" s="3">
        <f>ROUND('Front Page'!F120,4)</f>
        <v>93.713999999999999</v>
      </c>
      <c r="F119">
        <f t="shared" si="4"/>
        <v>84342.599999999991</v>
      </c>
      <c r="G119">
        <f>IF((D119*(E119/100)*Sheet2!$B$4)&gt;1000,(D119*(E119/100)*Sheet2!$B$4),1000)</f>
        <v>15995.105644977371</v>
      </c>
      <c r="M119">
        <f>IF(G119=1000,1000,(F119*Sheet2!$B$8))</f>
        <v>15969.084018491436</v>
      </c>
      <c r="N119">
        <f t="shared" si="7"/>
        <v>15969.084018491436</v>
      </c>
      <c r="O119">
        <f t="shared" si="5"/>
        <v>15969.084018491436</v>
      </c>
      <c r="P119">
        <f t="shared" si="6"/>
        <v>15984</v>
      </c>
    </row>
    <row r="120" spans="1:16" x14ac:dyDescent="0.25">
      <c r="A120">
        <f>'Front Page'!A121</f>
        <v>119</v>
      </c>
      <c r="B120" t="str">
        <f>'Front Page'!B121</f>
        <v xml:space="preserve">20.c.ps.170.630 </v>
      </c>
      <c r="C120" t="str">
        <f>'Front Page'!C121</f>
        <v xml:space="preserve">The Pensacola Mess Hall, Inc. </v>
      </c>
      <c r="D120">
        <f>'Front Page'!E121</f>
        <v>48332</v>
      </c>
      <c r="E120" s="3">
        <f>ROUND('Front Page'!F121,4)</f>
        <v>93.713999999999999</v>
      </c>
      <c r="F120">
        <f t="shared" si="4"/>
        <v>45293.850480000001</v>
      </c>
      <c r="G120">
        <f>IF((D120*(E120/100)*Sheet2!$B$4)&gt;1000,(D120*(E120/100)*Sheet2!$B$4),1000)</f>
        <v>8589.7271781449599</v>
      </c>
      <c r="M120">
        <f>IF(G120=1000,1000,(F120*Sheet2!$B$8))</f>
        <v>8575.7529864636454</v>
      </c>
      <c r="N120">
        <f t="shared" si="7"/>
        <v>8575.7529864636454</v>
      </c>
      <c r="O120">
        <f t="shared" si="5"/>
        <v>8575.7529864636454</v>
      </c>
      <c r="P120">
        <f t="shared" si="6"/>
        <v>8591</v>
      </c>
    </row>
    <row r="121" spans="1:16" x14ac:dyDescent="0.25">
      <c r="A121">
        <f>'Front Page'!A122</f>
        <v>120</v>
      </c>
      <c r="B121" t="str">
        <f>'Front Page'!B122</f>
        <v xml:space="preserve">20.c.ps.170.286 </v>
      </c>
      <c r="C121" t="str">
        <f>'Front Page'!C122</f>
        <v xml:space="preserve">Historical Society of Central Florida, Inc. </v>
      </c>
      <c r="D121">
        <f>'Front Page'!E122</f>
        <v>150000</v>
      </c>
      <c r="E121" s="3">
        <f>ROUND('Front Page'!F122,4)</f>
        <v>93.667000000000002</v>
      </c>
      <c r="F121">
        <f t="shared" si="4"/>
        <v>140500.5</v>
      </c>
      <c r="G121">
        <f>IF((D121*(E121/100)*Sheet2!$B$4)&gt;1000,(D121*(E121/100)*Sheet2!$B$4),1000)</f>
        <v>26645.139474857824</v>
      </c>
      <c r="M121">
        <f>IF(G121=1000,1000,(F121*Sheet2!$B$8))</f>
        <v>26601.791848248169</v>
      </c>
      <c r="N121">
        <f t="shared" si="7"/>
        <v>26601.791848248169</v>
      </c>
      <c r="O121">
        <f t="shared" si="5"/>
        <v>26601.791848248169</v>
      </c>
      <c r="P121">
        <f t="shared" si="6"/>
        <v>26617</v>
      </c>
    </row>
    <row r="122" spans="1:16" x14ac:dyDescent="0.25">
      <c r="A122">
        <f>'Front Page'!A123</f>
        <v>121</v>
      </c>
      <c r="B122" t="str">
        <f>'Front Page'!B123</f>
        <v xml:space="preserve">20.c.ps.142.057 </v>
      </c>
      <c r="C122" t="str">
        <f>'Front Page'!C123</f>
        <v xml:space="preserve">Key West Players, Inc. </v>
      </c>
      <c r="D122">
        <f>'Front Page'!E123</f>
        <v>117788</v>
      </c>
      <c r="E122" s="3">
        <f>ROUND('Front Page'!F123,4)</f>
        <v>93.667000000000002</v>
      </c>
      <c r="F122">
        <f t="shared" si="4"/>
        <v>110328.48596000001</v>
      </c>
      <c r="G122">
        <f>IF((D122*(E122/100)*Sheet2!$B$4)&gt;1000,(D122*(E122/100)*Sheet2!$B$4),1000)</f>
        <v>20923.184589763689</v>
      </c>
      <c r="M122">
        <f>IF(G122=1000,1000,(F122*Sheet2!$B$8))</f>
        <v>20889.145721476372</v>
      </c>
      <c r="N122">
        <f t="shared" si="7"/>
        <v>20889.145721476372</v>
      </c>
      <c r="O122">
        <f t="shared" si="5"/>
        <v>20889.145721476372</v>
      </c>
      <c r="P122">
        <f t="shared" si="6"/>
        <v>20904</v>
      </c>
    </row>
    <row r="123" spans="1:16" x14ac:dyDescent="0.25">
      <c r="A123">
        <f>'Front Page'!A124</f>
        <v>122</v>
      </c>
      <c r="B123" t="str">
        <f>'Front Page'!B124</f>
        <v xml:space="preserve">20.c.ps.142.537 </v>
      </c>
      <c r="C123" t="str">
        <f>'Front Page'!C124</f>
        <v xml:space="preserve">City Theatre </v>
      </c>
      <c r="D123">
        <f>'Front Page'!E124</f>
        <v>50000</v>
      </c>
      <c r="E123" s="3">
        <f>ROUND('Front Page'!F124,4)</f>
        <v>93.667000000000002</v>
      </c>
      <c r="F123">
        <f t="shared" si="4"/>
        <v>46833.5</v>
      </c>
      <c r="G123">
        <f>IF((D123*(E123/100)*Sheet2!$B$4)&gt;1000,(D123*(E123/100)*Sheet2!$B$4),1000)</f>
        <v>8881.7131582859402</v>
      </c>
      <c r="M123">
        <f>IF(G123=1000,1000,(F123*Sheet2!$B$8))</f>
        <v>8867.2639494160576</v>
      </c>
      <c r="N123">
        <f t="shared" si="7"/>
        <v>8867.2639494160576</v>
      </c>
      <c r="O123">
        <f t="shared" si="5"/>
        <v>8867.2639494160576</v>
      </c>
      <c r="P123">
        <f t="shared" si="6"/>
        <v>8882</v>
      </c>
    </row>
    <row r="124" spans="1:16" x14ac:dyDescent="0.25">
      <c r="A124">
        <f>'Front Page'!A125</f>
        <v>123</v>
      </c>
      <c r="B124" t="str">
        <f>'Front Page'!B125</f>
        <v xml:space="preserve">20.c.ps.102.394 </v>
      </c>
      <c r="C124" t="str">
        <f>'Front Page'!C125</f>
        <v xml:space="preserve">Florida West Coast Symphony, Inc. </v>
      </c>
      <c r="D124">
        <f>'Front Page'!E125</f>
        <v>150000</v>
      </c>
      <c r="E124" s="3">
        <f>ROUND('Front Page'!F125,4)</f>
        <v>93.625</v>
      </c>
      <c r="F124">
        <f t="shared" si="4"/>
        <v>140437.5</v>
      </c>
      <c r="G124">
        <f>IF((D124*(E124/100)*Sheet2!$B$4)&gt;1000,(D124*(E124/100)*Sheet2!$B$4),1000)</f>
        <v>26633.19187476447</v>
      </c>
      <c r="M124">
        <f>IF(G124=1000,1000,(F124*Sheet2!$B$8))</f>
        <v>26589.863685099714</v>
      </c>
      <c r="N124">
        <f t="shared" si="7"/>
        <v>26589.863685099714</v>
      </c>
      <c r="O124">
        <f t="shared" si="5"/>
        <v>26589.863685099714</v>
      </c>
      <c r="P124">
        <f t="shared" si="6"/>
        <v>26605</v>
      </c>
    </row>
    <row r="125" spans="1:16" x14ac:dyDescent="0.25">
      <c r="A125">
        <f>'Front Page'!A126</f>
        <v>124</v>
      </c>
      <c r="B125" t="str">
        <f>'Front Page'!B126</f>
        <v xml:space="preserve">20.c.ps.102.628 </v>
      </c>
      <c r="C125" t="str">
        <f>'Front Page'!C126</f>
        <v xml:space="preserve">Choral Masterworks Festival, Inc.  </v>
      </c>
      <c r="D125">
        <f>'Front Page'!E126</f>
        <v>40000</v>
      </c>
      <c r="E125" s="3">
        <f>ROUND('Front Page'!F126,4)</f>
        <v>93.6</v>
      </c>
      <c r="F125">
        <f t="shared" si="4"/>
        <v>37440</v>
      </c>
      <c r="G125">
        <f>IF((D125*(E125/100)*Sheet2!$B$4)&gt;1000,(D125*(E125/100)*Sheet2!$B$4),1000)</f>
        <v>7100.2880554779294</v>
      </c>
      <c r="M125">
        <f>IF(G125=1000,1000,(F125*Sheet2!$B$8))</f>
        <v>7088.7369567966771</v>
      </c>
      <c r="N125">
        <f t="shared" si="7"/>
        <v>7088.7369567966771</v>
      </c>
      <c r="O125">
        <f t="shared" si="5"/>
        <v>7088.7369567966771</v>
      </c>
      <c r="P125">
        <f t="shared" si="6"/>
        <v>7104</v>
      </c>
    </row>
    <row r="126" spans="1:16" x14ac:dyDescent="0.25">
      <c r="A126">
        <f>'Front Page'!A127</f>
        <v>125</v>
      </c>
      <c r="B126" t="str">
        <f>'Front Page'!B127</f>
        <v xml:space="preserve">20.c.ps.105.657 </v>
      </c>
      <c r="C126" t="str">
        <f>'Front Page'!C127</f>
        <v xml:space="preserve">South Florida Art Center, Inc. </v>
      </c>
      <c r="D126">
        <f>'Front Page'!E127</f>
        <v>150000</v>
      </c>
      <c r="E126" s="3">
        <f>ROUND('Front Page'!F127,4)</f>
        <v>93.6</v>
      </c>
      <c r="F126">
        <f t="shared" si="4"/>
        <v>140400</v>
      </c>
      <c r="G126">
        <f>IF((D126*(E126/100)*Sheet2!$B$4)&gt;1000,(D126*(E126/100)*Sheet2!$B$4),1000)</f>
        <v>26626.080208042236</v>
      </c>
      <c r="M126">
        <f>IF(G126=1000,1000,(F126*Sheet2!$B$8))</f>
        <v>26582.763587987538</v>
      </c>
      <c r="N126">
        <f t="shared" si="7"/>
        <v>26582.763587987538</v>
      </c>
      <c r="O126">
        <f t="shared" si="5"/>
        <v>26582.763587987538</v>
      </c>
      <c r="P126">
        <f t="shared" si="6"/>
        <v>26598</v>
      </c>
    </row>
    <row r="127" spans="1:16" x14ac:dyDescent="0.25">
      <c r="A127">
        <f>'Front Page'!A128</f>
        <v>126</v>
      </c>
      <c r="B127" t="str">
        <f>'Front Page'!B128</f>
        <v xml:space="preserve">20.c.ps.102.619 </v>
      </c>
      <c r="C127" t="str">
        <f>'Front Page'!C128</f>
        <v xml:space="preserve">Gainesville Youth Chorus, Inc. </v>
      </c>
      <c r="D127">
        <f>'Front Page'!E128</f>
        <v>35000</v>
      </c>
      <c r="E127" s="3">
        <f>ROUND('Front Page'!F128,4)</f>
        <v>93.6</v>
      </c>
      <c r="F127">
        <f t="shared" si="4"/>
        <v>32759.999999999996</v>
      </c>
      <c r="G127">
        <f>IF((D127*(E127/100)*Sheet2!$B$4)&gt;1000,(D127*(E127/100)*Sheet2!$B$4),1000)</f>
        <v>6212.7520485431878</v>
      </c>
      <c r="M127">
        <f>IF(G127=1000,1000,(F127*Sheet2!$B$8))</f>
        <v>6202.6448371970919</v>
      </c>
      <c r="N127">
        <f t="shared" si="7"/>
        <v>6202.6448371970919</v>
      </c>
      <c r="O127">
        <f t="shared" si="5"/>
        <v>6202.6448371970919</v>
      </c>
      <c r="P127">
        <f t="shared" si="6"/>
        <v>6218</v>
      </c>
    </row>
    <row r="128" spans="1:16" x14ac:dyDescent="0.25">
      <c r="A128">
        <f>'Front Page'!A129</f>
        <v>127</v>
      </c>
      <c r="B128" t="str">
        <f>'Front Page'!B129</f>
        <v xml:space="preserve">20.c.ps.102.250 </v>
      </c>
      <c r="C128" t="str">
        <f>'Front Page'!C129</f>
        <v xml:space="preserve">The Tallahassee Bach Parley, Inc. </v>
      </c>
      <c r="D128">
        <f>'Front Page'!E129</f>
        <v>40000</v>
      </c>
      <c r="E128" s="3">
        <f>ROUND('Front Page'!F129,4)</f>
        <v>93.6</v>
      </c>
      <c r="F128">
        <f t="shared" si="4"/>
        <v>37440</v>
      </c>
      <c r="G128">
        <f>IF((D128*(E128/100)*Sheet2!$B$4)&gt;1000,(D128*(E128/100)*Sheet2!$B$4),1000)</f>
        <v>7100.2880554779294</v>
      </c>
      <c r="M128">
        <f>IF(G128=1000,1000,(F128*Sheet2!$B$8))</f>
        <v>7088.7369567966771</v>
      </c>
      <c r="N128">
        <f t="shared" si="7"/>
        <v>7088.7369567966771</v>
      </c>
      <c r="O128">
        <f t="shared" si="5"/>
        <v>7088.7369567966771</v>
      </c>
      <c r="P128">
        <f t="shared" si="6"/>
        <v>7104</v>
      </c>
    </row>
    <row r="129" spans="1:16" x14ac:dyDescent="0.25">
      <c r="A129">
        <f>'Front Page'!A130</f>
        <v>128</v>
      </c>
      <c r="B129" t="str">
        <f>'Front Page'!B130</f>
        <v xml:space="preserve">20.c.ps.180.461 </v>
      </c>
      <c r="C129" t="str">
        <f>'Front Page'!C130</f>
        <v xml:space="preserve">International Fringe Festival of Central Florida, Inc. </v>
      </c>
      <c r="D129">
        <f>'Front Page'!E130</f>
        <v>137268</v>
      </c>
      <c r="E129" s="3">
        <f>ROUND('Front Page'!F130,4)</f>
        <v>93.570999999999998</v>
      </c>
      <c r="F129">
        <f t="shared" si="4"/>
        <v>128443.04027999999</v>
      </c>
      <c r="G129">
        <f>IF((D129*(E129/100)*Sheet2!$B$4)&gt;1000,(D129*(E129/100)*Sheet2!$B$4),1000)</f>
        <v>24358.509206980623</v>
      </c>
      <c r="M129">
        <f>IF(G129=1000,1000,(F129*Sheet2!$B$8))</f>
        <v>24318.88158323077</v>
      </c>
      <c r="N129">
        <f t="shared" si="7"/>
        <v>24318.88158323077</v>
      </c>
      <c r="O129">
        <f t="shared" si="5"/>
        <v>24318.88158323077</v>
      </c>
      <c r="P129">
        <f t="shared" si="6"/>
        <v>24334</v>
      </c>
    </row>
    <row r="130" spans="1:16" x14ac:dyDescent="0.25">
      <c r="A130">
        <f>'Front Page'!A131</f>
        <v>129</v>
      </c>
      <c r="B130" t="str">
        <f>'Front Page'!B131</f>
        <v xml:space="preserve">20.c.ps.170.763 </v>
      </c>
      <c r="C130" t="str">
        <f>'Front Page'!C131</f>
        <v xml:space="preserve">Central Florida Zoological Society, Inc. </v>
      </c>
      <c r="D130">
        <f>'Front Page'!E131</f>
        <v>150000</v>
      </c>
      <c r="E130" s="3">
        <f>ROUND('Front Page'!F131,4)</f>
        <v>93.570999999999998</v>
      </c>
      <c r="F130">
        <f t="shared" ref="F130:F193" si="8">D130*(E130/100)</f>
        <v>140356.5</v>
      </c>
      <c r="G130">
        <f>IF((D130*(E130/100)*Sheet2!$B$4)&gt;1000,(D130*(E130/100)*Sheet2!$B$4),1000)</f>
        <v>26617.830674644447</v>
      </c>
      <c r="M130">
        <f>IF(G130=1000,1000,(F130*Sheet2!$B$8))</f>
        <v>26574.527475337414</v>
      </c>
      <c r="N130">
        <f t="shared" si="7"/>
        <v>26574.527475337414</v>
      </c>
      <c r="O130">
        <f t="shared" ref="O130:O193" si="9">IF(N130&lt;1000,1000,N130)</f>
        <v>26574.527475337414</v>
      </c>
      <c r="P130">
        <f t="shared" ref="P130:P193" si="10">ROUND(IF(O130=1000,1000,(O130+$J$11)),0)</f>
        <v>26589</v>
      </c>
    </row>
    <row r="131" spans="1:16" x14ac:dyDescent="0.25">
      <c r="A131">
        <f>'Front Page'!A132</f>
        <v>130</v>
      </c>
      <c r="B131" t="str">
        <f>'Front Page'!B132</f>
        <v xml:space="preserve">20.c.ps.180.356 </v>
      </c>
      <c r="C131" t="str">
        <f>'Front Page'!C132</f>
        <v xml:space="preserve">Palm Beach State College </v>
      </c>
      <c r="D131">
        <f>'Front Page'!E132</f>
        <v>150000</v>
      </c>
      <c r="E131" s="3">
        <f>ROUND('Front Page'!F132,4)</f>
        <v>93.570999999999998</v>
      </c>
      <c r="F131">
        <f t="shared" si="8"/>
        <v>140356.5</v>
      </c>
      <c r="G131">
        <f>IF((D131*(E131/100)*Sheet2!$B$4)&gt;1000,(D131*(E131/100)*Sheet2!$B$4),1000)</f>
        <v>26617.830674644447</v>
      </c>
      <c r="M131">
        <f>IF(G131=1000,1000,(F131*Sheet2!$B$8))</f>
        <v>26574.527475337414</v>
      </c>
      <c r="N131">
        <f t="shared" si="7"/>
        <v>26574.527475337414</v>
      </c>
      <c r="O131">
        <f t="shared" si="9"/>
        <v>26574.527475337414</v>
      </c>
      <c r="P131">
        <f t="shared" si="10"/>
        <v>26589</v>
      </c>
    </row>
    <row r="132" spans="1:16" x14ac:dyDescent="0.25">
      <c r="A132">
        <f>'Front Page'!A133</f>
        <v>131</v>
      </c>
      <c r="B132" t="str">
        <f>'Front Page'!B133</f>
        <v xml:space="preserve">20.c.ps.102.668 </v>
      </c>
      <c r="C132" t="str">
        <f>'Front Page'!C133</f>
        <v xml:space="preserve">The Orlando Philharmonic Orchestra, Inc. </v>
      </c>
      <c r="D132">
        <f>'Front Page'!E133</f>
        <v>150000</v>
      </c>
      <c r="E132" s="3">
        <f>ROUND('Front Page'!F133,4)</f>
        <v>93.570999999999998</v>
      </c>
      <c r="F132">
        <f t="shared" si="8"/>
        <v>140356.5</v>
      </c>
      <c r="G132">
        <f>IF((D132*(E132/100)*Sheet2!$B$4)&gt;1000,(D132*(E132/100)*Sheet2!$B$4),1000)</f>
        <v>26617.830674644447</v>
      </c>
      <c r="M132">
        <f>IF(G132=1000,1000,(F132*Sheet2!$B$8))</f>
        <v>26574.527475337414</v>
      </c>
      <c r="N132">
        <f t="shared" ref="N132:N195" si="11">M132</f>
        <v>26574.527475337414</v>
      </c>
      <c r="O132">
        <f t="shared" si="9"/>
        <v>26574.527475337414</v>
      </c>
      <c r="P132">
        <f t="shared" si="10"/>
        <v>26589</v>
      </c>
    </row>
    <row r="133" spans="1:16" x14ac:dyDescent="0.25">
      <c r="A133">
        <f>'Front Page'!A134</f>
        <v>132</v>
      </c>
      <c r="B133" t="str">
        <f>'Front Page'!B134</f>
        <v xml:space="preserve">20.c.ps.170.203 </v>
      </c>
      <c r="C133" t="str">
        <f>'Front Page'!C134</f>
        <v xml:space="preserve">East Coast Zoological Society of Florida, Inc. </v>
      </c>
      <c r="D133">
        <f>'Front Page'!E134</f>
        <v>150000</v>
      </c>
      <c r="E133" s="3">
        <f>ROUND('Front Page'!F134,4)</f>
        <v>93.5</v>
      </c>
      <c r="F133">
        <f t="shared" si="8"/>
        <v>140250</v>
      </c>
      <c r="G133">
        <f>IF((D133*(E133/100)*Sheet2!$B$4)&gt;1000,(D133*(E133/100)*Sheet2!$B$4),1000)</f>
        <v>26597.633541153304</v>
      </c>
      <c r="M133">
        <f>IF(G133=1000,1000,(F133*Sheet2!$B$8))</f>
        <v>26554.363199538835</v>
      </c>
      <c r="N133">
        <f t="shared" si="11"/>
        <v>26554.363199538835</v>
      </c>
      <c r="O133">
        <f t="shared" si="9"/>
        <v>26554.363199538835</v>
      </c>
      <c r="P133">
        <f t="shared" si="10"/>
        <v>26569</v>
      </c>
    </row>
    <row r="134" spans="1:16" x14ac:dyDescent="0.25">
      <c r="A134">
        <f>'Front Page'!A135</f>
        <v>133</v>
      </c>
      <c r="B134" t="str">
        <f>'Front Page'!B135</f>
        <v xml:space="preserve">20.c.ps.500.731 </v>
      </c>
      <c r="C134" t="str">
        <f>'Front Page'!C135</f>
        <v xml:space="preserve">Miami-Dade County </v>
      </c>
      <c r="D134">
        <f>'Front Page'!E135</f>
        <v>150000</v>
      </c>
      <c r="E134" s="3">
        <f>ROUND('Front Page'!F135,4)</f>
        <v>93.5</v>
      </c>
      <c r="F134">
        <f t="shared" si="8"/>
        <v>140250</v>
      </c>
      <c r="G134">
        <f>IF((D134*(E134/100)*Sheet2!$B$4)&gt;1000,(D134*(E134/100)*Sheet2!$B$4),1000)</f>
        <v>26597.633541153304</v>
      </c>
      <c r="M134">
        <f>IF(G134=1000,1000,(F134*Sheet2!$B$8))</f>
        <v>26554.363199538835</v>
      </c>
      <c r="N134">
        <f t="shared" si="11"/>
        <v>26554.363199538835</v>
      </c>
      <c r="O134">
        <f t="shared" si="9"/>
        <v>26554.363199538835</v>
      </c>
      <c r="P134">
        <f t="shared" si="10"/>
        <v>26569</v>
      </c>
    </row>
    <row r="135" spans="1:16" x14ac:dyDescent="0.25">
      <c r="A135">
        <f>'Front Page'!A136</f>
        <v>134</v>
      </c>
      <c r="B135" t="str">
        <f>'Front Page'!B136</f>
        <v xml:space="preserve">20.c.ps.142.022 </v>
      </c>
      <c r="C135" t="str">
        <f>'Front Page'!C136</f>
        <v xml:space="preserve">The Winter Park Playhouse, Inc. </v>
      </c>
      <c r="D135">
        <f>'Front Page'!E136</f>
        <v>91000</v>
      </c>
      <c r="E135" s="3">
        <f>ROUND('Front Page'!F136,4)</f>
        <v>93.5</v>
      </c>
      <c r="F135">
        <f t="shared" si="8"/>
        <v>85085</v>
      </c>
      <c r="G135">
        <f>IF((D135*(E135/100)*Sheet2!$B$4)&gt;1000,(D135*(E135/100)*Sheet2!$B$4),1000)</f>
        <v>16135.897681633003</v>
      </c>
      <c r="M135">
        <f>IF(G135=1000,1000,(F135*Sheet2!$B$8))</f>
        <v>16109.647007720225</v>
      </c>
      <c r="N135">
        <f t="shared" si="11"/>
        <v>16109.647007720225</v>
      </c>
      <c r="O135">
        <f t="shared" si="9"/>
        <v>16109.647007720225</v>
      </c>
      <c r="P135">
        <f t="shared" si="10"/>
        <v>16125</v>
      </c>
    </row>
    <row r="136" spans="1:16" x14ac:dyDescent="0.25">
      <c r="A136">
        <f>'Front Page'!A137</f>
        <v>135</v>
      </c>
      <c r="B136" t="str">
        <f>'Front Page'!B137</f>
        <v xml:space="preserve">20.c.ps.170.725 </v>
      </c>
      <c r="C136" t="str">
        <f>'Front Page'!C137</f>
        <v xml:space="preserve">Matheson History Museum </v>
      </c>
      <c r="D136">
        <f>'Front Page'!E137</f>
        <v>40000</v>
      </c>
      <c r="E136" s="3">
        <f>ROUND('Front Page'!F137,4)</f>
        <v>93.5</v>
      </c>
      <c r="F136">
        <f t="shared" si="8"/>
        <v>37400</v>
      </c>
      <c r="G136">
        <f>IF((D136*(E136/100)*Sheet2!$B$4)&gt;1000,(D136*(E136/100)*Sheet2!$B$4),1000)</f>
        <v>7092.7022776408803</v>
      </c>
      <c r="M136">
        <f>IF(G136=1000,1000,(F136*Sheet2!$B$8))</f>
        <v>7081.1635198770218</v>
      </c>
      <c r="N136">
        <f t="shared" si="11"/>
        <v>7081.1635198770218</v>
      </c>
      <c r="O136">
        <f t="shared" si="9"/>
        <v>7081.1635198770218</v>
      </c>
      <c r="P136">
        <f t="shared" si="10"/>
        <v>7096</v>
      </c>
    </row>
    <row r="137" spans="1:16" x14ac:dyDescent="0.25">
      <c r="A137">
        <f>'Front Page'!A138</f>
        <v>136</v>
      </c>
      <c r="B137" t="str">
        <f>'Front Page'!B138</f>
        <v xml:space="preserve">20.c.ps.142.306 </v>
      </c>
      <c r="C137" t="str">
        <f>'Front Page'!C138</f>
        <v xml:space="preserve">Westcoast Black Theatre Troupe of Florida, Inc. </v>
      </c>
      <c r="D137">
        <f>'Front Page'!E138</f>
        <v>75000</v>
      </c>
      <c r="E137" s="3">
        <f>ROUND('Front Page'!F138,4)</f>
        <v>93.5</v>
      </c>
      <c r="F137">
        <f t="shared" si="8"/>
        <v>70125</v>
      </c>
      <c r="G137">
        <f>IF((D137*(E137/100)*Sheet2!$B$4)&gt;1000,(D137*(E137/100)*Sheet2!$B$4),1000)</f>
        <v>13298.816770576652</v>
      </c>
      <c r="M137">
        <f>IF(G137=1000,1000,(F137*Sheet2!$B$8))</f>
        <v>13277.181599769418</v>
      </c>
      <c r="N137">
        <f t="shared" si="11"/>
        <v>13277.181599769418</v>
      </c>
      <c r="O137">
        <f t="shared" si="9"/>
        <v>13277.181599769418</v>
      </c>
      <c r="P137">
        <f t="shared" si="10"/>
        <v>13292</v>
      </c>
    </row>
    <row r="138" spans="1:16" x14ac:dyDescent="0.25">
      <c r="A138">
        <f>'Front Page'!A139</f>
        <v>137</v>
      </c>
      <c r="B138" t="str">
        <f>'Front Page'!B139</f>
        <v xml:space="preserve">20.c.ps.142.748 </v>
      </c>
      <c r="C138" t="str">
        <f>'Front Page'!C139</f>
        <v xml:space="preserve">American Stage Company, Inc. </v>
      </c>
      <c r="D138">
        <f>'Front Page'!E139</f>
        <v>150000</v>
      </c>
      <c r="E138" s="3">
        <f>ROUND('Front Page'!F139,4)</f>
        <v>93.5</v>
      </c>
      <c r="F138">
        <f t="shared" si="8"/>
        <v>140250</v>
      </c>
      <c r="G138">
        <f>IF((D138*(E138/100)*Sheet2!$B$4)&gt;1000,(D138*(E138/100)*Sheet2!$B$4),1000)</f>
        <v>26597.633541153304</v>
      </c>
      <c r="M138">
        <f>IF(G138=1000,1000,(F138*Sheet2!$B$8))</f>
        <v>26554.363199538835</v>
      </c>
      <c r="N138">
        <f t="shared" si="11"/>
        <v>26554.363199538835</v>
      </c>
      <c r="O138">
        <f t="shared" si="9"/>
        <v>26554.363199538835</v>
      </c>
      <c r="P138">
        <f t="shared" si="10"/>
        <v>26569</v>
      </c>
    </row>
    <row r="139" spans="1:16" x14ac:dyDescent="0.25">
      <c r="A139">
        <f>'Front Page'!A140</f>
        <v>138</v>
      </c>
      <c r="B139" t="str">
        <f>'Front Page'!B140</f>
        <v xml:space="preserve">20.c.ps.141.666 </v>
      </c>
      <c r="C139" t="str">
        <f>'Front Page'!C140</f>
        <v xml:space="preserve">Spanish Lyric Theatre, Inc. </v>
      </c>
      <c r="D139">
        <f>'Front Page'!E140</f>
        <v>4647</v>
      </c>
      <c r="E139" s="3">
        <f>ROUND('Front Page'!F140,4)</f>
        <v>93.429000000000002</v>
      </c>
      <c r="F139">
        <f t="shared" si="8"/>
        <v>4341.64563</v>
      </c>
      <c r="G139">
        <f>IF((D139*(E139/100)*Sheet2!$B$4)&gt;1000,(D139*(E139/100)*Sheet2!$B$4),1000)</f>
        <v>1000</v>
      </c>
      <c r="M139">
        <f>IF(G139=1000,1000,(F139*Sheet2!$B$8))</f>
        <v>1000</v>
      </c>
      <c r="N139">
        <f t="shared" si="11"/>
        <v>1000</v>
      </c>
      <c r="O139">
        <f t="shared" si="9"/>
        <v>1000</v>
      </c>
      <c r="P139">
        <f t="shared" si="10"/>
        <v>1000</v>
      </c>
    </row>
    <row r="140" spans="1:16" x14ac:dyDescent="0.25">
      <c r="A140">
        <f>'Front Page'!A141</f>
        <v>139</v>
      </c>
      <c r="B140" t="str">
        <f>'Front Page'!B141</f>
        <v xml:space="preserve">20.c.ps.102.392 </v>
      </c>
      <c r="C140" t="str">
        <f>'Front Page'!C141</f>
        <v xml:space="preserve">Florida Singing Sons, Inc. </v>
      </c>
      <c r="D140">
        <f>'Front Page'!E141</f>
        <v>70599</v>
      </c>
      <c r="E140" s="3">
        <f>ROUND('Front Page'!F141,4)</f>
        <v>93.429000000000002</v>
      </c>
      <c r="F140">
        <f t="shared" si="8"/>
        <v>65959.939710000006</v>
      </c>
      <c r="G140">
        <f>IF((D140*(E140/100)*Sheet2!$B$4)&gt;1000,(D140*(E140/100)*Sheet2!$B$4),1000)</f>
        <v>12508.936219630274</v>
      </c>
      <c r="M140">
        <f>IF(G140=1000,1000,(F140*Sheet2!$B$8))</f>
        <v>12488.586065447589</v>
      </c>
      <c r="N140">
        <f t="shared" si="11"/>
        <v>12488.586065447589</v>
      </c>
      <c r="O140">
        <f t="shared" si="9"/>
        <v>12488.586065447589</v>
      </c>
      <c r="P140">
        <f t="shared" si="10"/>
        <v>12504</v>
      </c>
    </row>
    <row r="141" spans="1:16" x14ac:dyDescent="0.25">
      <c r="A141">
        <f>'Front Page'!A142</f>
        <v>140</v>
      </c>
      <c r="B141" t="str">
        <f>'Front Page'!B142</f>
        <v xml:space="preserve">20.c.ps.180.156 </v>
      </c>
      <c r="C141" t="str">
        <f>'Front Page'!C142</f>
        <v xml:space="preserve">Florida Theatre Performing Arts Center, Inc. </v>
      </c>
      <c r="D141">
        <f>'Front Page'!E142</f>
        <v>150000</v>
      </c>
      <c r="E141" s="3">
        <f>ROUND('Front Page'!F142,4)</f>
        <v>93.429000000000002</v>
      </c>
      <c r="F141">
        <f t="shared" si="8"/>
        <v>140143.5</v>
      </c>
      <c r="G141">
        <f>IF((D141*(E141/100)*Sheet2!$B$4)&gt;1000,(D141*(E141/100)*Sheet2!$B$4),1000)</f>
        <v>26577.43640766216</v>
      </c>
      <c r="M141">
        <f>IF(G141=1000,1000,(F141*Sheet2!$B$8))</f>
        <v>26534.198923740252</v>
      </c>
      <c r="N141">
        <f t="shared" si="11"/>
        <v>26534.198923740252</v>
      </c>
      <c r="O141">
        <f t="shared" si="9"/>
        <v>26534.198923740252</v>
      </c>
      <c r="P141">
        <f t="shared" si="10"/>
        <v>26549</v>
      </c>
    </row>
    <row r="142" spans="1:16" x14ac:dyDescent="0.25">
      <c r="A142">
        <f>'Front Page'!A143</f>
        <v>141</v>
      </c>
      <c r="B142" t="str">
        <f>'Front Page'!B143</f>
        <v xml:space="preserve">20.c.ps.114.419 </v>
      </c>
      <c r="C142" t="str">
        <f>'Front Page'!C143</f>
        <v xml:space="preserve">The Studios of Key West, Inc. </v>
      </c>
      <c r="D142">
        <f>'Front Page'!E143</f>
        <v>150000</v>
      </c>
      <c r="E142" s="3">
        <f>ROUND('Front Page'!F143,4)</f>
        <v>93.429000000000002</v>
      </c>
      <c r="F142">
        <f t="shared" si="8"/>
        <v>140143.5</v>
      </c>
      <c r="G142">
        <f>IF((D142*(E142/100)*Sheet2!$B$4)&gt;1000,(D142*(E142/100)*Sheet2!$B$4),1000)</f>
        <v>26577.43640766216</v>
      </c>
      <c r="M142">
        <f>IF(G142=1000,1000,(F142*Sheet2!$B$8))</f>
        <v>26534.198923740252</v>
      </c>
      <c r="N142">
        <f t="shared" si="11"/>
        <v>26534.198923740252</v>
      </c>
      <c r="O142">
        <f t="shared" si="9"/>
        <v>26534.198923740252</v>
      </c>
      <c r="P142">
        <f t="shared" si="10"/>
        <v>26549</v>
      </c>
    </row>
    <row r="143" spans="1:16" x14ac:dyDescent="0.25">
      <c r="A143">
        <f>'Front Page'!A144</f>
        <v>142</v>
      </c>
      <c r="B143" t="str">
        <f>'Front Page'!B144</f>
        <v xml:space="preserve">20.c.ps.105.340 </v>
      </c>
      <c r="C143" t="str">
        <f>'Front Page'!C144</f>
        <v xml:space="preserve">Nova Southeastern University </v>
      </c>
      <c r="D143">
        <f>'Front Page'!E144</f>
        <v>150000</v>
      </c>
      <c r="E143" s="3">
        <f>ROUND('Front Page'!F144,4)</f>
        <v>93.4</v>
      </c>
      <c r="F143">
        <f t="shared" si="8"/>
        <v>140100</v>
      </c>
      <c r="G143">
        <f>IF((D143*(E143/100)*Sheet2!$B$4)&gt;1000,(D143*(E143/100)*Sheet2!$B$4),1000)</f>
        <v>26569.186874264367</v>
      </c>
      <c r="M143">
        <f>IF(G143=1000,1000,(F143*Sheet2!$B$8))</f>
        <v>26525.962811090129</v>
      </c>
      <c r="N143">
        <f t="shared" si="11"/>
        <v>26525.962811090129</v>
      </c>
      <c r="O143">
        <f t="shared" si="9"/>
        <v>26525.962811090129</v>
      </c>
      <c r="P143">
        <f t="shared" si="10"/>
        <v>26541</v>
      </c>
    </row>
    <row r="144" spans="1:16" x14ac:dyDescent="0.25">
      <c r="A144">
        <f>'Front Page'!A145</f>
        <v>143</v>
      </c>
      <c r="B144" t="str">
        <f>'Front Page'!B145</f>
        <v xml:space="preserve">20.c.ps.142.135 </v>
      </c>
      <c r="C144" t="str">
        <f>'Front Page'!C145</f>
        <v xml:space="preserve">Mad Cow Theatre, Inc. </v>
      </c>
      <c r="D144">
        <f>'Front Page'!E145</f>
        <v>108775</v>
      </c>
      <c r="E144" s="3">
        <f>ROUND('Front Page'!F145,4)</f>
        <v>93.332999999999998</v>
      </c>
      <c r="F144">
        <f t="shared" si="8"/>
        <v>101522.97074999999</v>
      </c>
      <c r="G144">
        <f>IF((D144*(E144/100)*Sheet2!$B$4)&gt;1000,(D144*(E144/100)*Sheet2!$B$4),1000)</f>
        <v>19253.267536668274</v>
      </c>
      <c r="M144">
        <f>IF(G144=1000,1000,(F144*Sheet2!$B$8))</f>
        <v>19221.945371776521</v>
      </c>
      <c r="N144">
        <f t="shared" si="11"/>
        <v>19221.945371776521</v>
      </c>
      <c r="O144">
        <f t="shared" si="9"/>
        <v>19221.945371776521</v>
      </c>
      <c r="P144">
        <f t="shared" si="10"/>
        <v>19237</v>
      </c>
    </row>
    <row r="145" spans="1:16" x14ac:dyDescent="0.25">
      <c r="A145">
        <f>'Front Page'!A146</f>
        <v>144</v>
      </c>
      <c r="B145" t="str">
        <f>'Front Page'!B146</f>
        <v xml:space="preserve">20.c.ps.142.240 </v>
      </c>
      <c r="C145" t="str">
        <f>'Front Page'!C146</f>
        <v xml:space="preserve">MicheLee Puppets, Inc. </v>
      </c>
      <c r="D145">
        <f>'Front Page'!E146</f>
        <v>55323</v>
      </c>
      <c r="E145" s="3">
        <f>ROUND('Front Page'!F146,4)</f>
        <v>93.332999999999998</v>
      </c>
      <c r="F145">
        <f t="shared" si="8"/>
        <v>51634.615590000001</v>
      </c>
      <c r="G145">
        <f>IF((D145*(E145/100)*Sheet2!$B$4)&gt;1000,(D145*(E145/100)*Sheet2!$B$4),1000)</f>
        <v>9792.2180641792602</v>
      </c>
      <c r="M145">
        <f>IF(G145=1000,1000,(F145*Sheet2!$B$8))</f>
        <v>9776.2876010369346</v>
      </c>
      <c r="N145">
        <f t="shared" si="11"/>
        <v>9776.2876010369346</v>
      </c>
      <c r="O145">
        <f t="shared" si="9"/>
        <v>9776.2876010369346</v>
      </c>
      <c r="P145">
        <f t="shared" si="10"/>
        <v>9791</v>
      </c>
    </row>
    <row r="146" spans="1:16" x14ac:dyDescent="0.25">
      <c r="A146">
        <f>'Front Page'!A147</f>
        <v>145</v>
      </c>
      <c r="B146" t="str">
        <f>'Front Page'!B147</f>
        <v xml:space="preserve">20.c.ps.142.083 </v>
      </c>
      <c r="C146" t="str">
        <f>'Front Page'!C147</f>
        <v xml:space="preserve">Actors' Playhouse Productions </v>
      </c>
      <c r="D146">
        <f>'Front Page'!E147</f>
        <v>150000</v>
      </c>
      <c r="E146" s="3">
        <f>ROUND('Front Page'!F147,4)</f>
        <v>93.332999999999998</v>
      </c>
      <c r="F146">
        <f t="shared" si="8"/>
        <v>139999.5</v>
      </c>
      <c r="G146">
        <f>IF((D146*(E146/100)*Sheet2!$B$4)&gt;1000,(D146*(E146/100)*Sheet2!$B$4),1000)</f>
        <v>26550.127607448783</v>
      </c>
      <c r="M146">
        <f>IF(G146=1000,1000,(F146*Sheet2!$B$8))</f>
        <v>26506.934550829497</v>
      </c>
      <c r="N146">
        <f t="shared" si="11"/>
        <v>26506.934550829497</v>
      </c>
      <c r="O146">
        <f t="shared" si="9"/>
        <v>26506.934550829497</v>
      </c>
      <c r="P146">
        <f t="shared" si="10"/>
        <v>26522</v>
      </c>
    </row>
    <row r="147" spans="1:16" x14ac:dyDescent="0.25">
      <c r="A147">
        <f>'Front Page'!A148</f>
        <v>146</v>
      </c>
      <c r="B147" t="str">
        <f>'Front Page'!B148</f>
        <v xml:space="preserve">20.c.ps.170.165 </v>
      </c>
      <c r="C147" t="str">
        <f>'Front Page'!C148</f>
        <v xml:space="preserve">Museum of Fine Arts of St. Petersburg, Florida, Inc. </v>
      </c>
      <c r="D147">
        <f>'Front Page'!E148</f>
        <v>150000</v>
      </c>
      <c r="E147" s="3">
        <f>ROUND('Front Page'!F148,4)</f>
        <v>93.332999999999998</v>
      </c>
      <c r="F147">
        <f t="shared" si="8"/>
        <v>139999.5</v>
      </c>
      <c r="G147">
        <f>IF((D147*(E147/100)*Sheet2!$B$4)&gt;1000,(D147*(E147/100)*Sheet2!$B$4),1000)</f>
        <v>26550.127607448783</v>
      </c>
      <c r="M147">
        <f>IF(G147=1000,1000,(F147*Sheet2!$B$8))</f>
        <v>26506.934550829497</v>
      </c>
      <c r="N147">
        <f t="shared" si="11"/>
        <v>26506.934550829497</v>
      </c>
      <c r="O147">
        <f t="shared" si="9"/>
        <v>26506.934550829497</v>
      </c>
      <c r="P147">
        <f t="shared" si="10"/>
        <v>26522</v>
      </c>
    </row>
    <row r="148" spans="1:16" x14ac:dyDescent="0.25">
      <c r="A148">
        <f>'Front Page'!A149</f>
        <v>147</v>
      </c>
      <c r="B148" t="str">
        <f>'Front Page'!B149</f>
        <v xml:space="preserve">20.c.ps.170.631 </v>
      </c>
      <c r="C148" t="str">
        <f>'Front Page'!C149</f>
        <v xml:space="preserve">Naples Botanical Garden, Inc. </v>
      </c>
      <c r="D148">
        <f>'Front Page'!E149</f>
        <v>150000</v>
      </c>
      <c r="E148" s="3">
        <f>ROUND('Front Page'!F149,4)</f>
        <v>93.332999999999998</v>
      </c>
      <c r="F148">
        <f t="shared" si="8"/>
        <v>139999.5</v>
      </c>
      <c r="G148">
        <f>IF((D148*(E148/100)*Sheet2!$B$4)&gt;1000,(D148*(E148/100)*Sheet2!$B$4),1000)</f>
        <v>26550.127607448783</v>
      </c>
      <c r="M148">
        <f>IF(G148=1000,1000,(F148*Sheet2!$B$8))</f>
        <v>26506.934550829497</v>
      </c>
      <c r="N148">
        <f t="shared" si="11"/>
        <v>26506.934550829497</v>
      </c>
      <c r="O148">
        <f t="shared" si="9"/>
        <v>26506.934550829497</v>
      </c>
      <c r="P148">
        <f t="shared" si="10"/>
        <v>26522</v>
      </c>
    </row>
    <row r="149" spans="1:16" x14ac:dyDescent="0.25">
      <c r="A149">
        <f>'Front Page'!A150</f>
        <v>148</v>
      </c>
      <c r="B149" t="str">
        <f>'Front Page'!B150</f>
        <v xml:space="preserve">20.c.ps.114.144 </v>
      </c>
      <c r="C149" t="str">
        <f>'Front Page'!C150</f>
        <v xml:space="preserve">The Dave and Mary Alper Jewish Community Center, Inc. </v>
      </c>
      <c r="D149">
        <f>'Front Page'!E150</f>
        <v>150000</v>
      </c>
      <c r="E149" s="3">
        <f>ROUND('Front Page'!F150,4)</f>
        <v>93.286000000000001</v>
      </c>
      <c r="F149">
        <f t="shared" si="8"/>
        <v>139929</v>
      </c>
      <c r="G149">
        <f>IF((D149*(E149/100)*Sheet2!$B$4)&gt;1000,(D149*(E149/100)*Sheet2!$B$4),1000)</f>
        <v>26536.757674010983</v>
      </c>
      <c r="M149">
        <f>IF(G149=1000,1000,(F149*Sheet2!$B$8))</f>
        <v>26493.586368258606</v>
      </c>
      <c r="N149">
        <f t="shared" si="11"/>
        <v>26493.586368258606</v>
      </c>
      <c r="O149">
        <f t="shared" si="9"/>
        <v>26493.586368258606</v>
      </c>
      <c r="P149">
        <f t="shared" si="10"/>
        <v>26509</v>
      </c>
    </row>
    <row r="150" spans="1:16" x14ac:dyDescent="0.25">
      <c r="A150">
        <f>'Front Page'!A151</f>
        <v>149</v>
      </c>
      <c r="B150" t="str">
        <f>'Front Page'!B151</f>
        <v xml:space="preserve">20.c.ps.141.493 </v>
      </c>
      <c r="C150" t="str">
        <f>'Front Page'!C151</f>
        <v xml:space="preserve">Theatre Winter Haven, Inc. </v>
      </c>
      <c r="D150">
        <f>'Front Page'!E151</f>
        <v>103006</v>
      </c>
      <c r="E150" s="3">
        <f>ROUND('Front Page'!F151,4)</f>
        <v>93.286000000000001</v>
      </c>
      <c r="F150">
        <f t="shared" si="8"/>
        <v>96090.177160000007</v>
      </c>
      <c r="G150">
        <f>IF((D150*(E150/100)*Sheet2!$B$4)&gt;1000,(D150*(E150/100)*Sheet2!$B$4),1000)</f>
        <v>18222.968406461172</v>
      </c>
      <c r="M150">
        <f>IF(G150=1000,1000,(F150*Sheet2!$B$8))</f>
        <v>18193.322382992308</v>
      </c>
      <c r="N150">
        <f t="shared" si="11"/>
        <v>18193.322382992308</v>
      </c>
      <c r="O150">
        <f t="shared" si="9"/>
        <v>18193.322382992308</v>
      </c>
      <c r="P150">
        <f t="shared" si="10"/>
        <v>18208</v>
      </c>
    </row>
    <row r="151" spans="1:16" x14ac:dyDescent="0.25">
      <c r="A151">
        <f>'Front Page'!A152</f>
        <v>150</v>
      </c>
      <c r="B151" t="str">
        <f>'Front Page'!B152</f>
        <v xml:space="preserve">20.c.ps.102.504 </v>
      </c>
      <c r="C151" t="str">
        <f>'Front Page'!C152</f>
        <v xml:space="preserve">Opera Orlando, Inc. </v>
      </c>
      <c r="D151">
        <f>'Front Page'!E152</f>
        <v>50000</v>
      </c>
      <c r="E151" s="3">
        <f>ROUND('Front Page'!F152,4)</f>
        <v>93.286000000000001</v>
      </c>
      <c r="F151">
        <f t="shared" si="8"/>
        <v>46643</v>
      </c>
      <c r="G151">
        <f>IF((D151*(E151/100)*Sheet2!$B$4)&gt;1000,(D151*(E151/100)*Sheet2!$B$4),1000)</f>
        <v>8845.5858913369939</v>
      </c>
      <c r="M151">
        <f>IF(G151=1000,1000,(F151*Sheet2!$B$8))</f>
        <v>8831.1954560862014</v>
      </c>
      <c r="N151">
        <f t="shared" si="11"/>
        <v>8831.1954560862014</v>
      </c>
      <c r="O151">
        <f t="shared" si="9"/>
        <v>8831.1954560862014</v>
      </c>
      <c r="P151">
        <f t="shared" si="10"/>
        <v>8846</v>
      </c>
    </row>
    <row r="152" spans="1:16" x14ac:dyDescent="0.25">
      <c r="A152">
        <f>'Front Page'!A153</f>
        <v>151</v>
      </c>
      <c r="B152" t="str">
        <f>'Front Page'!B153</f>
        <v xml:space="preserve">20.c.ps.170.599 </v>
      </c>
      <c r="C152" t="str">
        <f>'Front Page'!C153</f>
        <v xml:space="preserve">Lowry Park Zoological Society of Tampa, Inc. </v>
      </c>
      <c r="D152">
        <f>'Front Page'!E153</f>
        <v>150000</v>
      </c>
      <c r="E152" s="3">
        <f>ROUND('Front Page'!F153,4)</f>
        <v>93.286000000000001</v>
      </c>
      <c r="F152">
        <f t="shared" si="8"/>
        <v>139929</v>
      </c>
      <c r="G152">
        <f>IF((D152*(E152/100)*Sheet2!$B$4)&gt;1000,(D152*(E152/100)*Sheet2!$B$4),1000)</f>
        <v>26536.757674010983</v>
      </c>
      <c r="M152">
        <f>IF(G152=1000,1000,(F152*Sheet2!$B$8))</f>
        <v>26493.586368258606</v>
      </c>
      <c r="N152">
        <f t="shared" si="11"/>
        <v>26493.586368258606</v>
      </c>
      <c r="O152">
        <f t="shared" si="9"/>
        <v>26493.586368258606</v>
      </c>
      <c r="P152">
        <f t="shared" si="10"/>
        <v>26509</v>
      </c>
    </row>
    <row r="153" spans="1:16" x14ac:dyDescent="0.25">
      <c r="A153">
        <f>'Front Page'!A154</f>
        <v>152</v>
      </c>
      <c r="B153" t="str">
        <f>'Front Page'!B154</f>
        <v xml:space="preserve">20.c.ps.170.078 </v>
      </c>
      <c r="C153" t="str">
        <f>'Front Page'!C154</f>
        <v xml:space="preserve">Jacksonville Zoological Society, Inc. </v>
      </c>
      <c r="D153">
        <f>'Front Page'!E154</f>
        <v>150000</v>
      </c>
      <c r="E153" s="3">
        <f>ROUND('Front Page'!F154,4)</f>
        <v>93.286000000000001</v>
      </c>
      <c r="F153">
        <f t="shared" si="8"/>
        <v>139929</v>
      </c>
      <c r="G153">
        <f>IF((D153*(E153/100)*Sheet2!$B$4)&gt;1000,(D153*(E153/100)*Sheet2!$B$4),1000)</f>
        <v>26536.757674010983</v>
      </c>
      <c r="M153">
        <f>IF(G153=1000,1000,(F153*Sheet2!$B$8))</f>
        <v>26493.586368258606</v>
      </c>
      <c r="N153">
        <f t="shared" si="11"/>
        <v>26493.586368258606</v>
      </c>
      <c r="O153">
        <f t="shared" si="9"/>
        <v>26493.586368258606</v>
      </c>
      <c r="P153">
        <f t="shared" si="10"/>
        <v>26509</v>
      </c>
    </row>
    <row r="154" spans="1:16" x14ac:dyDescent="0.25">
      <c r="A154">
        <f>'Front Page'!A155</f>
        <v>153</v>
      </c>
      <c r="B154" t="str">
        <f>'Front Page'!B155</f>
        <v xml:space="preserve">20.c.ps.105.208 </v>
      </c>
      <c r="C154" t="str">
        <f>'Front Page'!C155</f>
        <v xml:space="preserve">Lighthouse ArtCenter, Inc. </v>
      </c>
      <c r="D154">
        <f>'Front Page'!E155</f>
        <v>130000</v>
      </c>
      <c r="E154" s="3">
        <f>ROUND('Front Page'!F155,4)</f>
        <v>93.2</v>
      </c>
      <c r="F154">
        <f t="shared" si="8"/>
        <v>121160</v>
      </c>
      <c r="G154">
        <f>IF((D154*(E154/100)*Sheet2!$B$4)&gt;1000,(D154*(E154/100)*Sheet2!$B$4),1000)</f>
        <v>22977.321068421636</v>
      </c>
      <c r="M154">
        <f>IF(G154=1000,1000,(F154*Sheet2!$B$8))</f>
        <v>22939.940429633691</v>
      </c>
      <c r="N154">
        <f t="shared" si="11"/>
        <v>22939.940429633691</v>
      </c>
      <c r="O154">
        <f t="shared" si="9"/>
        <v>22939.940429633691</v>
      </c>
      <c r="P154">
        <f t="shared" si="10"/>
        <v>22955</v>
      </c>
    </row>
    <row r="155" spans="1:16" x14ac:dyDescent="0.25">
      <c r="A155">
        <f>'Front Page'!A156</f>
        <v>154</v>
      </c>
      <c r="B155" t="str">
        <f>'Front Page'!B156</f>
        <v xml:space="preserve">20.c.ps.170.319 </v>
      </c>
      <c r="C155" t="str">
        <f>'Front Page'!C156</f>
        <v xml:space="preserve">World AIDS Museum, Incorporated </v>
      </c>
      <c r="D155">
        <f>'Front Page'!E156</f>
        <v>40000</v>
      </c>
      <c r="E155" s="3">
        <f>ROUND('Front Page'!F156,4)</f>
        <v>93.167000000000002</v>
      </c>
      <c r="F155">
        <f t="shared" si="8"/>
        <v>37266.800000000003</v>
      </c>
      <c r="G155">
        <f>IF((D155*(E155/100)*Sheet2!$B$4)&gt;1000,(D155*(E155/100)*Sheet2!$B$4),1000)</f>
        <v>7067.4416374435077</v>
      </c>
      <c r="M155">
        <f>IF(G155=1000,1000,(F155*Sheet2!$B$8))</f>
        <v>7055.9439749345729</v>
      </c>
      <c r="N155">
        <f t="shared" si="11"/>
        <v>7055.9439749345729</v>
      </c>
      <c r="O155">
        <f t="shared" si="9"/>
        <v>7055.9439749345729</v>
      </c>
      <c r="P155">
        <f t="shared" si="10"/>
        <v>7071</v>
      </c>
    </row>
    <row r="156" spans="1:16" x14ac:dyDescent="0.25">
      <c r="A156">
        <f>'Front Page'!A157</f>
        <v>155</v>
      </c>
      <c r="B156" t="str">
        <f>'Front Page'!B157</f>
        <v xml:space="preserve">20.c.ps.170.624 </v>
      </c>
      <c r="C156" t="str">
        <f>'Front Page'!C157</f>
        <v xml:space="preserve">Clearwater Marine Aquarium </v>
      </c>
      <c r="D156">
        <f>'Front Page'!E157</f>
        <v>150000</v>
      </c>
      <c r="E156" s="3">
        <f>ROUND('Front Page'!F157,4)</f>
        <v>93.167000000000002</v>
      </c>
      <c r="F156">
        <f t="shared" si="8"/>
        <v>139750.5</v>
      </c>
      <c r="G156">
        <f>IF((D156*(E156/100)*Sheet2!$B$4)&gt;1000,(D156*(E156/100)*Sheet2!$B$4),1000)</f>
        <v>26502.906140413153</v>
      </c>
      <c r="M156">
        <f>IF(G156=1000,1000,(F156*Sheet2!$B$8))</f>
        <v>26459.789906004647</v>
      </c>
      <c r="N156">
        <f t="shared" si="11"/>
        <v>26459.789906004647</v>
      </c>
      <c r="O156">
        <f t="shared" si="9"/>
        <v>26459.789906004647</v>
      </c>
      <c r="P156">
        <f t="shared" si="10"/>
        <v>26475</v>
      </c>
    </row>
    <row r="157" spans="1:16" x14ac:dyDescent="0.25">
      <c r="A157">
        <f>'Front Page'!A158</f>
        <v>156</v>
      </c>
      <c r="B157" t="str">
        <f>'Front Page'!B158</f>
        <v xml:space="preserve">20.c.ps.101.257 </v>
      </c>
      <c r="C157" t="str">
        <f>'Front Page'!C158</f>
        <v xml:space="preserve">Northwest Florida Ballet, Inc. </v>
      </c>
      <c r="D157">
        <f>'Front Page'!E158</f>
        <v>105856</v>
      </c>
      <c r="E157" s="3">
        <f>ROUND('Front Page'!F158,4)</f>
        <v>93.167000000000002</v>
      </c>
      <c r="F157">
        <f t="shared" si="8"/>
        <v>98622.859519999998</v>
      </c>
      <c r="G157">
        <f>IF((D157*(E157/100)*Sheet2!$B$4)&gt;1000,(D157*(E157/100)*Sheet2!$B$4),1000)</f>
        <v>18703.277549330498</v>
      </c>
      <c r="M157">
        <f>IF(G157=1000,1000,(F157*Sheet2!$B$8))</f>
        <v>18672.850135266854</v>
      </c>
      <c r="N157">
        <f t="shared" si="11"/>
        <v>18672.850135266854</v>
      </c>
      <c r="O157">
        <f t="shared" si="9"/>
        <v>18672.850135266854</v>
      </c>
      <c r="P157">
        <f t="shared" si="10"/>
        <v>18688</v>
      </c>
    </row>
    <row r="158" spans="1:16" x14ac:dyDescent="0.25">
      <c r="A158">
        <f>'Front Page'!A159</f>
        <v>157</v>
      </c>
      <c r="B158" t="str">
        <f>'Front Page'!B159</f>
        <v xml:space="preserve">20.c.ps.114.644 </v>
      </c>
      <c r="C158" t="str">
        <f>'Front Page'!C159</f>
        <v xml:space="preserve">Downtown Arts District, Inc. </v>
      </c>
      <c r="D158">
        <f>'Front Page'!E159</f>
        <v>102500</v>
      </c>
      <c r="E158" s="3">
        <f>ROUND('Front Page'!F159,4)</f>
        <v>93.143000000000001</v>
      </c>
      <c r="F158">
        <f t="shared" si="8"/>
        <v>95471.574999999997</v>
      </c>
      <c r="G158">
        <f>IF((D158*(E158/100)*Sheet2!$B$4)&gt;1000,(D158*(E158/100)*Sheet2!$B$4),1000)</f>
        <v>18105.653942579203</v>
      </c>
      <c r="M158">
        <f>IF(G158=1000,1000,(F158*Sheet2!$B$8))</f>
        <v>18076.198772064254</v>
      </c>
      <c r="N158">
        <f t="shared" si="11"/>
        <v>18076.198772064254</v>
      </c>
      <c r="O158">
        <f t="shared" si="9"/>
        <v>18076.198772064254</v>
      </c>
      <c r="P158">
        <f t="shared" si="10"/>
        <v>18091</v>
      </c>
    </row>
    <row r="159" spans="1:16" x14ac:dyDescent="0.25">
      <c r="A159">
        <f>'Front Page'!A160</f>
        <v>158</v>
      </c>
      <c r="B159" t="str">
        <f>'Front Page'!B160</f>
        <v xml:space="preserve">20.c.ps.180.593 </v>
      </c>
      <c r="C159" t="str">
        <f>'Front Page'!C160</f>
        <v xml:space="preserve">The Rhythm Foundation, Inc. </v>
      </c>
      <c r="D159">
        <f>'Front Page'!E160</f>
        <v>97000</v>
      </c>
      <c r="E159" s="3">
        <f>ROUND('Front Page'!F160,4)</f>
        <v>93.143000000000001</v>
      </c>
      <c r="F159">
        <f t="shared" si="8"/>
        <v>90348.709999999992</v>
      </c>
      <c r="G159">
        <f>IF((D159*(E159/100)*Sheet2!$B$4)&gt;1000,(D159*(E159/100)*Sheet2!$B$4),1000)</f>
        <v>17134.131048099342</v>
      </c>
      <c r="M159">
        <f>IF(G159=1000,1000,(F159*Sheet2!$B$8))</f>
        <v>17106.256398929097</v>
      </c>
      <c r="N159">
        <f t="shared" si="11"/>
        <v>17106.256398929097</v>
      </c>
      <c r="O159">
        <f t="shared" si="9"/>
        <v>17106.256398929097</v>
      </c>
      <c r="P159">
        <f t="shared" si="10"/>
        <v>17121</v>
      </c>
    </row>
    <row r="160" spans="1:16" x14ac:dyDescent="0.25">
      <c r="A160">
        <f>'Front Page'!A161</f>
        <v>159</v>
      </c>
      <c r="B160" t="str">
        <f>'Front Page'!B161</f>
        <v xml:space="preserve">20.c.ps.114.496 </v>
      </c>
      <c r="C160" t="str">
        <f>'Front Page'!C161</f>
        <v xml:space="preserve">City of Gainesville </v>
      </c>
      <c r="D160">
        <f>'Front Page'!E161</f>
        <v>150000</v>
      </c>
      <c r="E160" s="3">
        <f>ROUND('Front Page'!F161,4)</f>
        <v>93.143000000000001</v>
      </c>
      <c r="F160">
        <f t="shared" si="8"/>
        <v>139714.5</v>
      </c>
      <c r="G160">
        <f>IF((D160*(E160/100)*Sheet2!$B$4)&gt;1000,(D160*(E160/100)*Sheet2!$B$4),1000)</f>
        <v>26496.078940359806</v>
      </c>
      <c r="M160">
        <f>IF(G160=1000,1000,(F160*Sheet2!$B$8))</f>
        <v>26452.973812776956</v>
      </c>
      <c r="N160">
        <f t="shared" si="11"/>
        <v>26452.973812776956</v>
      </c>
      <c r="O160">
        <f t="shared" si="9"/>
        <v>26452.973812776956</v>
      </c>
      <c r="P160">
        <f t="shared" si="10"/>
        <v>26468</v>
      </c>
    </row>
    <row r="161" spans="1:16" x14ac:dyDescent="0.25">
      <c r="A161">
        <f>'Front Page'!A162</f>
        <v>160</v>
      </c>
      <c r="B161" t="str">
        <f>'Front Page'!B162</f>
        <v xml:space="preserve">20.c.ps.170.234 </v>
      </c>
      <c r="C161" t="str">
        <f>'Front Page'!C162</f>
        <v xml:space="preserve">Rollins College </v>
      </c>
      <c r="D161">
        <f>'Front Page'!E162</f>
        <v>143592</v>
      </c>
      <c r="E161" s="3">
        <f>ROUND('Front Page'!F162,4)</f>
        <v>93</v>
      </c>
      <c r="F161">
        <f t="shared" si="8"/>
        <v>133540.56</v>
      </c>
      <c r="G161">
        <f>IF((D161*(E161/100)*Sheet2!$B$4)&gt;1000,(D161*(E161/100)*Sheet2!$B$4),1000)</f>
        <v>25325.225509878041</v>
      </c>
      <c r="M161">
        <f>IF(G161=1000,1000,(F161*Sheet2!$B$8))</f>
        <v>25284.025184383656</v>
      </c>
      <c r="N161">
        <f t="shared" si="11"/>
        <v>25284.025184383656</v>
      </c>
      <c r="O161">
        <f t="shared" si="9"/>
        <v>25284.025184383656</v>
      </c>
      <c r="P161">
        <f t="shared" si="10"/>
        <v>25299</v>
      </c>
    </row>
    <row r="162" spans="1:16" x14ac:dyDescent="0.25">
      <c r="A162">
        <f>'Front Page'!A163</f>
        <v>161</v>
      </c>
      <c r="B162" t="str">
        <f>'Front Page'!B163</f>
        <v xml:space="preserve">20.c.ps.105.782 </v>
      </c>
      <c r="C162" t="str">
        <f>'Front Page'!C163</f>
        <v xml:space="preserve">Locust Projects, Inc. </v>
      </c>
      <c r="D162">
        <f>'Front Page'!E163</f>
        <v>90000</v>
      </c>
      <c r="E162" s="3">
        <f>ROUND('Front Page'!F163,4)</f>
        <v>93</v>
      </c>
      <c r="F162">
        <f t="shared" si="8"/>
        <v>83700</v>
      </c>
      <c r="G162">
        <f>IF((D162*(E162/100)*Sheet2!$B$4)&gt;1000,(D162*(E162/100)*Sheet2!$B$4),1000)</f>
        <v>15873.24012402518</v>
      </c>
      <c r="M162">
        <f>IF(G162=1000,1000,(F162*Sheet2!$B$8))</f>
        <v>15847.416754377185</v>
      </c>
      <c r="N162">
        <f t="shared" si="11"/>
        <v>15847.416754377185</v>
      </c>
      <c r="O162">
        <f t="shared" si="9"/>
        <v>15847.416754377185</v>
      </c>
      <c r="P162">
        <f t="shared" si="10"/>
        <v>15862</v>
      </c>
    </row>
    <row r="163" spans="1:16" x14ac:dyDescent="0.25">
      <c r="A163">
        <f>'Front Page'!A164</f>
        <v>162</v>
      </c>
      <c r="B163" t="str">
        <f>'Front Page'!B164</f>
        <v xml:space="preserve">20.c.ps.102.228 </v>
      </c>
      <c r="C163" t="str">
        <f>'Front Page'!C164</f>
        <v xml:space="preserve">Pensacola Opera </v>
      </c>
      <c r="D163">
        <f>'Front Page'!E164</f>
        <v>103387</v>
      </c>
      <c r="E163" s="3">
        <f>ROUND('Front Page'!F164,4)</f>
        <v>93</v>
      </c>
      <c r="F163">
        <f t="shared" si="8"/>
        <v>96149.91</v>
      </c>
      <c r="G163">
        <f>IF((D163*(E163/100)*Sheet2!$B$4)&gt;1000,(D163*(E163/100)*Sheet2!$B$4),1000)</f>
        <v>18234.296407806571</v>
      </c>
      <c r="M163">
        <f>IF(G163=1000,1000,(F163*Sheet2!$B$8))</f>
        <v>18204.631955386601</v>
      </c>
      <c r="N163">
        <f t="shared" si="11"/>
        <v>18204.631955386601</v>
      </c>
      <c r="O163">
        <f t="shared" si="9"/>
        <v>18204.631955386601</v>
      </c>
      <c r="P163">
        <f t="shared" si="10"/>
        <v>18220</v>
      </c>
    </row>
    <row r="164" spans="1:16" x14ac:dyDescent="0.25">
      <c r="A164">
        <f>'Front Page'!A165</f>
        <v>163</v>
      </c>
      <c r="B164" t="str">
        <f>'Front Page'!B165</f>
        <v xml:space="preserve">20.c.ps.170.555 </v>
      </c>
      <c r="C164" t="str">
        <f>'Front Page'!C165</f>
        <v xml:space="preserve">The Marie Selby Botanical Gardens, Inc. </v>
      </c>
      <c r="D164">
        <f>'Front Page'!E165</f>
        <v>150000</v>
      </c>
      <c r="E164" s="3">
        <f>ROUND('Front Page'!F165,4)</f>
        <v>93</v>
      </c>
      <c r="F164">
        <f t="shared" si="8"/>
        <v>139500</v>
      </c>
      <c r="G164">
        <f>IF((D164*(E164/100)*Sheet2!$B$4)&gt;1000,(D164*(E164/100)*Sheet2!$B$4),1000)</f>
        <v>26455.400206708633</v>
      </c>
      <c r="M164">
        <f>IF(G164=1000,1000,(F164*Sheet2!$B$8))</f>
        <v>26412.36125729531</v>
      </c>
      <c r="N164">
        <f t="shared" si="11"/>
        <v>26412.36125729531</v>
      </c>
      <c r="O164">
        <f t="shared" si="9"/>
        <v>26412.36125729531</v>
      </c>
      <c r="P164">
        <f t="shared" si="10"/>
        <v>26427</v>
      </c>
    </row>
    <row r="165" spans="1:16" x14ac:dyDescent="0.25">
      <c r="A165">
        <f>'Front Page'!A166</f>
        <v>164</v>
      </c>
      <c r="B165" t="str">
        <f>'Front Page'!B166</f>
        <v xml:space="preserve">20.c.ps.142.704 </v>
      </c>
      <c r="C165" t="str">
        <f>'Front Page'!C166</f>
        <v xml:space="preserve">Garden Theatre, Inc. </v>
      </c>
      <c r="D165">
        <f>'Front Page'!E166</f>
        <v>148964</v>
      </c>
      <c r="E165" s="3">
        <f>ROUND('Front Page'!F166,4)</f>
        <v>93</v>
      </c>
      <c r="F165">
        <f t="shared" si="8"/>
        <v>138536.52000000002</v>
      </c>
      <c r="G165">
        <f>IF((D165*(E165/100)*Sheet2!$B$4)&gt;1000,(D165*(E165/100)*Sheet2!$B$4),1000)</f>
        <v>26272.681575947634</v>
      </c>
      <c r="M165">
        <f>IF(G165=1000,1000,(F165*Sheet2!$B$8))</f>
        <v>26229.939882211595</v>
      </c>
      <c r="N165">
        <f t="shared" si="11"/>
        <v>26229.939882211595</v>
      </c>
      <c r="O165">
        <f t="shared" si="9"/>
        <v>26229.939882211595</v>
      </c>
      <c r="P165">
        <f t="shared" si="10"/>
        <v>26245</v>
      </c>
    </row>
    <row r="166" spans="1:16" x14ac:dyDescent="0.25">
      <c r="A166">
        <f>'Front Page'!A167</f>
        <v>165</v>
      </c>
      <c r="B166" t="str">
        <f>'Front Page'!B167</f>
        <v xml:space="preserve">20.c.ps.170.374 </v>
      </c>
      <c r="C166" t="str">
        <f>'Front Page'!C167</f>
        <v xml:space="preserve">Stonewall Library &amp; Archives, Inc. </v>
      </c>
      <c r="D166">
        <f>'Front Page'!E167</f>
        <v>90000</v>
      </c>
      <c r="E166" s="3">
        <f>ROUND('Front Page'!F167,4)</f>
        <v>93</v>
      </c>
      <c r="F166">
        <f t="shared" si="8"/>
        <v>83700</v>
      </c>
      <c r="G166">
        <f>IF((D166*(E166/100)*Sheet2!$B$4)&gt;1000,(D166*(E166/100)*Sheet2!$B$4),1000)</f>
        <v>15873.24012402518</v>
      </c>
      <c r="M166">
        <f>IF(G166=1000,1000,(F166*Sheet2!$B$8))</f>
        <v>15847.416754377185</v>
      </c>
      <c r="N166">
        <f t="shared" si="11"/>
        <v>15847.416754377185</v>
      </c>
      <c r="O166">
        <f t="shared" si="9"/>
        <v>15847.416754377185</v>
      </c>
      <c r="P166">
        <f t="shared" si="10"/>
        <v>15862</v>
      </c>
    </row>
    <row r="167" spans="1:16" x14ac:dyDescent="0.25">
      <c r="A167">
        <f>'Front Page'!A168</f>
        <v>166</v>
      </c>
      <c r="B167" t="str">
        <f>'Front Page'!B168</f>
        <v xml:space="preserve">20.c.ps.170.638 </v>
      </c>
      <c r="C167" t="str">
        <f>'Front Page'!C168</f>
        <v xml:space="preserve">University of Miami </v>
      </c>
      <c r="D167">
        <f>'Front Page'!E168</f>
        <v>75000</v>
      </c>
      <c r="E167" s="3">
        <f>ROUND('Front Page'!F168,4)</f>
        <v>93</v>
      </c>
      <c r="F167">
        <f t="shared" si="8"/>
        <v>69750</v>
      </c>
      <c r="G167">
        <f>IF((D167*(E167/100)*Sheet2!$B$4)&gt;1000,(D167*(E167/100)*Sheet2!$B$4),1000)</f>
        <v>13227.700103354317</v>
      </c>
      <c r="M167">
        <f>IF(G167=1000,1000,(F167*Sheet2!$B$8))</f>
        <v>13206.180628647655</v>
      </c>
      <c r="N167">
        <f t="shared" si="11"/>
        <v>13206.180628647655</v>
      </c>
      <c r="O167">
        <f t="shared" si="9"/>
        <v>13206.180628647655</v>
      </c>
      <c r="P167">
        <f t="shared" si="10"/>
        <v>13221</v>
      </c>
    </row>
    <row r="168" spans="1:16" x14ac:dyDescent="0.25">
      <c r="A168">
        <f>'Front Page'!A169</f>
        <v>167</v>
      </c>
      <c r="B168" t="str">
        <f>'Front Page'!B169</f>
        <v xml:space="preserve">20.c.ps.114.166 </v>
      </c>
      <c r="C168" t="str">
        <f>'Front Page'!C169</f>
        <v xml:space="preserve">Miami Design Preservation League, Inc. </v>
      </c>
      <c r="D168">
        <f>'Front Page'!E169</f>
        <v>150000</v>
      </c>
      <c r="E168" s="3">
        <f>ROUND('Front Page'!F169,4)</f>
        <v>93</v>
      </c>
      <c r="F168">
        <f t="shared" si="8"/>
        <v>139500</v>
      </c>
      <c r="G168">
        <f>IF((D168*(E168/100)*Sheet2!$B$4)&gt;1000,(D168*(E168/100)*Sheet2!$B$4),1000)</f>
        <v>26455.400206708633</v>
      </c>
      <c r="M168">
        <f>IF(G168=1000,1000,(F168*Sheet2!$B$8))</f>
        <v>26412.36125729531</v>
      </c>
      <c r="N168">
        <f t="shared" si="11"/>
        <v>26412.36125729531</v>
      </c>
      <c r="O168">
        <f t="shared" si="9"/>
        <v>26412.36125729531</v>
      </c>
      <c r="P168">
        <f t="shared" si="10"/>
        <v>26427</v>
      </c>
    </row>
    <row r="169" spans="1:16" x14ac:dyDescent="0.25">
      <c r="A169">
        <f>'Front Page'!A170</f>
        <v>168</v>
      </c>
      <c r="B169" t="str">
        <f>'Front Page'!B170</f>
        <v xml:space="preserve">20.c.ps.114.640 </v>
      </c>
      <c r="C169" t="str">
        <f>'Front Page'!C170</f>
        <v xml:space="preserve">Creative City Collaborative of Delray Beach, Inc. </v>
      </c>
      <c r="D169">
        <f>'Front Page'!E170</f>
        <v>118888</v>
      </c>
      <c r="E169" s="3">
        <f>ROUND('Front Page'!F170,4)</f>
        <v>93</v>
      </c>
      <c r="F169">
        <f t="shared" si="8"/>
        <v>110565.84000000001</v>
      </c>
      <c r="G169">
        <f>IF((D169*(E169/100)*Sheet2!$B$4)&gt;1000,(D169*(E169/100)*Sheet2!$B$4),1000)</f>
        <v>20968.197465167843</v>
      </c>
      <c r="M169">
        <f>IF(G169=1000,1000,(F169*Sheet2!$B$8))</f>
        <v>20934.085367715503</v>
      </c>
      <c r="N169">
        <f t="shared" si="11"/>
        <v>20934.085367715503</v>
      </c>
      <c r="O169">
        <f t="shared" si="9"/>
        <v>20934.085367715503</v>
      </c>
      <c r="P169">
        <f t="shared" si="10"/>
        <v>20949</v>
      </c>
    </row>
    <row r="170" spans="1:16" x14ac:dyDescent="0.25">
      <c r="A170">
        <f>'Front Page'!A171</f>
        <v>169</v>
      </c>
      <c r="B170" t="str">
        <f>'Front Page'!B171</f>
        <v xml:space="preserve">20.c.ps.102.381 </v>
      </c>
      <c r="C170" t="str">
        <f>'Front Page'!C171</f>
        <v xml:space="preserve">The Greater Pensacola Symphony Orchestra, Incorporated </v>
      </c>
      <c r="D170">
        <f>'Front Page'!E171</f>
        <v>149633</v>
      </c>
      <c r="E170" s="3">
        <f>ROUND('Front Page'!F171,4)</f>
        <v>92.875</v>
      </c>
      <c r="F170">
        <f t="shared" si="8"/>
        <v>138971.64874999999</v>
      </c>
      <c r="G170">
        <f>IF((D170*(E170/100)*Sheet2!$B$4)&gt;1000,(D170*(E170/100)*Sheet2!$B$4),1000)</f>
        <v>26355.201326647952</v>
      </c>
      <c r="M170">
        <f>IF(G170=1000,1000,(F170*Sheet2!$B$8))</f>
        <v>26312.325385712917</v>
      </c>
      <c r="N170">
        <f t="shared" si="11"/>
        <v>26312.325385712917</v>
      </c>
      <c r="O170">
        <f t="shared" si="9"/>
        <v>26312.325385712917</v>
      </c>
      <c r="P170">
        <f t="shared" si="10"/>
        <v>26327</v>
      </c>
    </row>
    <row r="171" spans="1:16" x14ac:dyDescent="0.25">
      <c r="A171">
        <f>'Front Page'!A172</f>
        <v>170</v>
      </c>
      <c r="B171" t="str">
        <f>'Front Page'!B172</f>
        <v xml:space="preserve">20.c.ps.114.655 </v>
      </c>
      <c r="C171" t="str">
        <f>'Front Page'!C172</f>
        <v xml:space="preserve">Heathcote Botanical Gardens, Inc. </v>
      </c>
      <c r="D171">
        <f>'Front Page'!E172</f>
        <v>25000</v>
      </c>
      <c r="E171" s="3">
        <f>ROUND('Front Page'!F172,4)</f>
        <v>92.856999999999999</v>
      </c>
      <c r="F171">
        <f t="shared" si="8"/>
        <v>23214.25</v>
      </c>
      <c r="G171">
        <f>IF((D171*(E171/100)*Sheet2!$B$4)&gt;1000,(D171*(E171/100)*Sheet2!$B$4),1000)</f>
        <v>4402.4535788429093</v>
      </c>
      <c r="M171">
        <f>IF(G171=1000,1000,(F171*Sheet2!$B$8))</f>
        <v>4395.2914503022766</v>
      </c>
      <c r="N171">
        <f t="shared" si="11"/>
        <v>4395.2914503022766</v>
      </c>
      <c r="O171">
        <f t="shared" si="9"/>
        <v>4395.2914503022766</v>
      </c>
      <c r="P171">
        <f t="shared" si="10"/>
        <v>4410</v>
      </c>
    </row>
    <row r="172" spans="1:16" x14ac:dyDescent="0.25">
      <c r="A172">
        <f>'Front Page'!A173</f>
        <v>171</v>
      </c>
      <c r="B172" t="str">
        <f>'Front Page'!B173</f>
        <v xml:space="preserve">20.c.ps.110.481 </v>
      </c>
      <c r="C172" t="str">
        <f>'Front Page'!C173</f>
        <v xml:space="preserve">Hispanic Heritage Literature Organization Corp </v>
      </c>
      <c r="D172">
        <f>'Front Page'!E173</f>
        <v>6000</v>
      </c>
      <c r="E172" s="3">
        <f>ROUND('Front Page'!F173,4)</f>
        <v>92.832999999999998</v>
      </c>
      <c r="F172">
        <f t="shared" si="8"/>
        <v>5569.98</v>
      </c>
      <c r="G172">
        <f>IF((D172*(E172/100)*Sheet2!$B$4)&gt;1000,(D172*(E172/100)*Sheet2!$B$4),1000)</f>
        <v>1056.3157709201644</v>
      </c>
      <c r="M172">
        <f>IF(G172=1000,1000,(F172*Sheet2!$B$8))</f>
        <v>1054.597304343439</v>
      </c>
      <c r="N172">
        <f t="shared" si="11"/>
        <v>1054.597304343439</v>
      </c>
      <c r="O172">
        <f t="shared" si="9"/>
        <v>1054.597304343439</v>
      </c>
      <c r="P172">
        <f t="shared" si="10"/>
        <v>1070</v>
      </c>
    </row>
    <row r="173" spans="1:16" x14ac:dyDescent="0.25">
      <c r="A173">
        <f>'Front Page'!A174</f>
        <v>172</v>
      </c>
      <c r="B173" t="str">
        <f>'Front Page'!B174</f>
        <v xml:space="preserve">20.c.ps.110.544 </v>
      </c>
      <c r="C173" t="str">
        <f>'Front Page'!C174</f>
        <v xml:space="preserve">Key West Literary Seminar, Inc. </v>
      </c>
      <c r="D173">
        <f>'Front Page'!E174</f>
        <v>90000</v>
      </c>
      <c r="E173" s="3">
        <f>ROUND('Front Page'!F174,4)</f>
        <v>92.832999999999998</v>
      </c>
      <c r="F173">
        <f t="shared" si="8"/>
        <v>83549.7</v>
      </c>
      <c r="G173">
        <f>IF((D173*(E173/100)*Sheet2!$B$4)&gt;1000,(D173*(E173/100)*Sheet2!$B$4),1000)</f>
        <v>15844.736563802468</v>
      </c>
      <c r="M173">
        <f>IF(G173=1000,1000,(F173*Sheet2!$B$8))</f>
        <v>15818.959565151583</v>
      </c>
      <c r="N173">
        <f t="shared" si="11"/>
        <v>15818.959565151583</v>
      </c>
      <c r="O173">
        <f t="shared" si="9"/>
        <v>15818.959565151583</v>
      </c>
      <c r="P173">
        <f t="shared" si="10"/>
        <v>15834</v>
      </c>
    </row>
    <row r="174" spans="1:16" x14ac:dyDescent="0.25">
      <c r="A174">
        <f>'Front Page'!A175</f>
        <v>173</v>
      </c>
      <c r="B174" t="str">
        <f>'Front Page'!B175</f>
        <v xml:space="preserve">20.c.ps.142.127 </v>
      </c>
      <c r="C174" t="str">
        <f>'Front Page'!C175</f>
        <v xml:space="preserve">Gablestage, Inc. </v>
      </c>
      <c r="D174">
        <f>'Front Page'!E175</f>
        <v>150000</v>
      </c>
      <c r="E174" s="3">
        <f>ROUND('Front Page'!F175,4)</f>
        <v>92.832999999999998</v>
      </c>
      <c r="F174">
        <f t="shared" si="8"/>
        <v>139249.5</v>
      </c>
      <c r="G174">
        <f>IF((D174*(E174/100)*Sheet2!$B$4)&gt;1000,(D174*(E174/100)*Sheet2!$B$4),1000)</f>
        <v>26407.894273004113</v>
      </c>
      <c r="M174">
        <f>IF(G174=1000,1000,(F174*Sheet2!$B$8))</f>
        <v>26364.932608585972</v>
      </c>
      <c r="N174">
        <f t="shared" si="11"/>
        <v>26364.932608585972</v>
      </c>
      <c r="O174">
        <f t="shared" si="9"/>
        <v>26364.932608585972</v>
      </c>
      <c r="P174">
        <f t="shared" si="10"/>
        <v>26380</v>
      </c>
    </row>
    <row r="175" spans="1:16" x14ac:dyDescent="0.25">
      <c r="A175">
        <f>'Front Page'!A176</f>
        <v>174</v>
      </c>
      <c r="B175" t="str">
        <f>'Front Page'!B176</f>
        <v xml:space="preserve">20.c.ps.142.756 </v>
      </c>
      <c r="C175" t="str">
        <f>'Front Page'!C176</f>
        <v xml:space="preserve">Emerald Coast Theatre Company </v>
      </c>
      <c r="D175">
        <f>'Front Page'!E176</f>
        <v>63851</v>
      </c>
      <c r="E175" s="3">
        <f>ROUND('Front Page'!F176,4)</f>
        <v>92.832999999999998</v>
      </c>
      <c r="F175">
        <f t="shared" si="8"/>
        <v>59274.79883</v>
      </c>
      <c r="G175">
        <f>IF((D175*(E175/100)*Sheet2!$B$4)&gt;1000,(D175*(E175/100)*Sheet2!$B$4),1000)</f>
        <v>11241.136381503904</v>
      </c>
      <c r="M175">
        <f>IF(G175=1000,1000,(F175*Sheet2!$B$8))</f>
        <v>11222.848746605487</v>
      </c>
      <c r="N175">
        <f t="shared" si="11"/>
        <v>11222.848746605487</v>
      </c>
      <c r="O175">
        <f t="shared" si="9"/>
        <v>11222.848746605487</v>
      </c>
      <c r="P175">
        <f t="shared" si="10"/>
        <v>11238</v>
      </c>
    </row>
    <row r="176" spans="1:16" x14ac:dyDescent="0.25">
      <c r="A176">
        <f>'Front Page'!A177</f>
        <v>175</v>
      </c>
      <c r="B176" t="str">
        <f>'Front Page'!B177</f>
        <v xml:space="preserve">20.c.ps.142.308 </v>
      </c>
      <c r="C176" t="str">
        <f>'Front Page'!C177</f>
        <v xml:space="preserve">The Jobsite Theater, Inc. </v>
      </c>
      <c r="D176">
        <f>'Front Page'!E177</f>
        <v>40950</v>
      </c>
      <c r="E176" s="3">
        <f>ROUND('Front Page'!F177,4)</f>
        <v>92.832999999999998</v>
      </c>
      <c r="F176">
        <f t="shared" si="8"/>
        <v>38015.113499999999</v>
      </c>
      <c r="G176">
        <f>IF((D176*(E176/100)*Sheet2!$B$4)&gt;1000,(D176*(E176/100)*Sheet2!$B$4),1000)</f>
        <v>7209.3551365301228</v>
      </c>
      <c r="M176">
        <f>IF(G176=1000,1000,(F176*Sheet2!$B$8))</f>
        <v>7197.6266021439706</v>
      </c>
      <c r="N176">
        <f t="shared" si="11"/>
        <v>7197.6266021439706</v>
      </c>
      <c r="O176">
        <f t="shared" si="9"/>
        <v>7197.6266021439706</v>
      </c>
      <c r="P176">
        <f t="shared" si="10"/>
        <v>7213</v>
      </c>
    </row>
    <row r="177" spans="1:16" x14ac:dyDescent="0.25">
      <c r="A177">
        <f>'Front Page'!A178</f>
        <v>176</v>
      </c>
      <c r="B177" t="str">
        <f>'Front Page'!B178</f>
        <v xml:space="preserve">20.c.ps.200.510 </v>
      </c>
      <c r="C177" t="str">
        <f>'Front Page'!C178</f>
        <v xml:space="preserve">Bahama Village Music Program, Inc. </v>
      </c>
      <c r="D177">
        <f>'Front Page'!E178</f>
        <v>20000</v>
      </c>
      <c r="E177" s="3">
        <f>ROUND('Front Page'!F178,4)</f>
        <v>92.832999999999998</v>
      </c>
      <c r="F177">
        <f t="shared" si="8"/>
        <v>18566.599999999999</v>
      </c>
      <c r="G177">
        <f>IF((D177*(E177/100)*Sheet2!$B$4)&gt;1000,(D177*(E177/100)*Sheet2!$B$4),1000)</f>
        <v>3521.0525697338812</v>
      </c>
      <c r="M177">
        <f>IF(G177=1000,1000,(F177*Sheet2!$B$8))</f>
        <v>3515.3243478114628</v>
      </c>
      <c r="N177">
        <f t="shared" si="11"/>
        <v>3515.3243478114628</v>
      </c>
      <c r="O177">
        <f t="shared" si="9"/>
        <v>3515.3243478114628</v>
      </c>
      <c r="P177">
        <f t="shared" si="10"/>
        <v>3530</v>
      </c>
    </row>
    <row r="178" spans="1:16" x14ac:dyDescent="0.25">
      <c r="A178">
        <f>'Front Page'!A179</f>
        <v>177</v>
      </c>
      <c r="B178" t="str">
        <f>'Front Page'!B179</f>
        <v xml:space="preserve">20.c.ps.102.361 </v>
      </c>
      <c r="C178" t="str">
        <f>'Front Page'!C179</f>
        <v xml:space="preserve">Jazz Society of Pensacola, Inc. </v>
      </c>
      <c r="D178">
        <f>'Front Page'!E179</f>
        <v>35600</v>
      </c>
      <c r="E178" s="3">
        <f>ROUND('Front Page'!F179,4)</f>
        <v>92.8</v>
      </c>
      <c r="F178">
        <f t="shared" si="8"/>
        <v>33036.799999999996</v>
      </c>
      <c r="G178">
        <f>IF((D178*(E178/100)*Sheet2!$B$4)&gt;1000,(D178*(E178/100)*Sheet2!$B$4),1000)</f>
        <v>6265.2456311755677</v>
      </c>
      <c r="M178">
        <f>IF(G178=1000,1000,(F178*Sheet2!$B$8))</f>
        <v>6255.0530206811009</v>
      </c>
      <c r="N178">
        <f t="shared" si="11"/>
        <v>6255.0530206811009</v>
      </c>
      <c r="O178">
        <f t="shared" si="9"/>
        <v>6255.0530206811009</v>
      </c>
      <c r="P178">
        <f t="shared" si="10"/>
        <v>6270</v>
      </c>
    </row>
    <row r="179" spans="1:16" x14ac:dyDescent="0.25">
      <c r="A179">
        <f>'Front Page'!A180</f>
        <v>178</v>
      </c>
      <c r="B179" t="str">
        <f>'Front Page'!B180</f>
        <v xml:space="preserve">20.c.ps.170.714 </v>
      </c>
      <c r="C179" t="str">
        <f>'Front Page'!C180</f>
        <v xml:space="preserve">Save Our Seabirds, Inc. </v>
      </c>
      <c r="D179">
        <f>'Front Page'!E180</f>
        <v>87000</v>
      </c>
      <c r="E179" s="3">
        <f>ROUND('Front Page'!F180,4)</f>
        <v>92.713999999999999</v>
      </c>
      <c r="F179">
        <f t="shared" si="8"/>
        <v>80661.179999999993</v>
      </c>
      <c r="G179">
        <f>IF((D179*(E179/100)*Sheet2!$B$4)&gt;1000,(D179*(E179/100)*Sheet2!$B$4),1000)</f>
        <v>15296.944788855642</v>
      </c>
      <c r="M179">
        <f>IF(G179=1000,1000,(F179*Sheet2!$B$8))</f>
        <v>15272.058964872567</v>
      </c>
      <c r="N179">
        <f t="shared" si="11"/>
        <v>15272.058964872567</v>
      </c>
      <c r="O179">
        <f t="shared" si="9"/>
        <v>15272.058964872567</v>
      </c>
      <c r="P179">
        <f t="shared" si="10"/>
        <v>15287</v>
      </c>
    </row>
    <row r="180" spans="1:16" x14ac:dyDescent="0.25">
      <c r="A180">
        <f>'Front Page'!A181</f>
        <v>179</v>
      </c>
      <c r="B180" t="str">
        <f>'Front Page'!B181</f>
        <v xml:space="preserve">20.c.ps.142.528 </v>
      </c>
      <c r="C180" t="str">
        <f>'Front Page'!C181</f>
        <v xml:space="preserve">Stage Works, Inc. </v>
      </c>
      <c r="D180">
        <f>'Front Page'!E181</f>
        <v>51750</v>
      </c>
      <c r="E180" s="3">
        <f>ROUND('Front Page'!F181,4)</f>
        <v>92.667000000000002</v>
      </c>
      <c r="F180">
        <f t="shared" si="8"/>
        <v>47955.172500000001</v>
      </c>
      <c r="G180">
        <f>IF((D180*(E180/100)*Sheet2!$B$4)&gt;1000,(D180*(E180/100)*Sheet2!$B$4),1000)</f>
        <v>9094.4321180591269</v>
      </c>
      <c r="M180">
        <f>IF(G180=1000,1000,(F180*Sheet2!$B$8))</f>
        <v>9079.636847497588</v>
      </c>
      <c r="N180">
        <f t="shared" si="11"/>
        <v>9079.636847497588</v>
      </c>
      <c r="O180">
        <f t="shared" si="9"/>
        <v>9079.636847497588</v>
      </c>
      <c r="P180">
        <f t="shared" si="10"/>
        <v>9095</v>
      </c>
    </row>
    <row r="181" spans="1:16" x14ac:dyDescent="0.25">
      <c r="A181">
        <f>'Front Page'!A182</f>
        <v>180</v>
      </c>
      <c r="B181" t="str">
        <f>'Front Page'!B182</f>
        <v xml:space="preserve">20.c.ps.170.636 </v>
      </c>
      <c r="C181" t="str">
        <f>'Front Page'!C182</f>
        <v xml:space="preserve">City of Sanford </v>
      </c>
      <c r="D181">
        <f>'Front Page'!E182</f>
        <v>25000</v>
      </c>
      <c r="E181" s="3">
        <f>ROUND('Front Page'!F182,4)</f>
        <v>92.667000000000002</v>
      </c>
      <c r="F181">
        <f t="shared" si="8"/>
        <v>23166.75</v>
      </c>
      <c r="G181">
        <f>IF((D181*(E181/100)*Sheet2!$B$4)&gt;1000,(D181*(E181/100)*Sheet2!$B$4),1000)</f>
        <v>4393.4454676614141</v>
      </c>
      <c r="M181">
        <f>IF(G181=1000,1000,(F181*Sheet2!$B$8))</f>
        <v>4386.2979939601873</v>
      </c>
      <c r="N181">
        <f t="shared" si="11"/>
        <v>4386.2979939601873</v>
      </c>
      <c r="O181">
        <f t="shared" si="9"/>
        <v>4386.2979939601873</v>
      </c>
      <c r="P181">
        <f t="shared" si="10"/>
        <v>4401</v>
      </c>
    </row>
    <row r="182" spans="1:16" x14ac:dyDescent="0.25">
      <c r="A182">
        <f>'Front Page'!A183</f>
        <v>181</v>
      </c>
      <c r="B182" t="str">
        <f>'Front Page'!B183</f>
        <v xml:space="preserve">20.c.ps.102.626 </v>
      </c>
      <c r="C182" t="str">
        <f>'Front Page'!C183</f>
        <v xml:space="preserve">Florida Grand Opera, Inc. </v>
      </c>
      <c r="D182">
        <f>'Front Page'!E183</f>
        <v>150000</v>
      </c>
      <c r="E182" s="3">
        <f>ROUND('Front Page'!F183,4)</f>
        <v>92.625</v>
      </c>
      <c r="F182">
        <f t="shared" si="8"/>
        <v>138937.5</v>
      </c>
      <c r="G182">
        <f>IF((D182*(E182/100)*Sheet2!$B$4)&gt;1000,(D182*(E182/100)*Sheet2!$B$4),1000)</f>
        <v>26348.725205875129</v>
      </c>
      <c r="M182">
        <f>IF(G182=1000,1000,(F182*Sheet2!$B$8))</f>
        <v>26305.859800612667</v>
      </c>
      <c r="N182">
        <f t="shared" si="11"/>
        <v>26305.859800612667</v>
      </c>
      <c r="O182">
        <f t="shared" si="9"/>
        <v>26305.859800612667</v>
      </c>
      <c r="P182">
        <f t="shared" si="10"/>
        <v>26321</v>
      </c>
    </row>
    <row r="183" spans="1:16" x14ac:dyDescent="0.25">
      <c r="A183">
        <f>'Front Page'!A184</f>
        <v>182</v>
      </c>
      <c r="B183" t="str">
        <f>'Front Page'!B184</f>
        <v xml:space="preserve">20.c.ps.102.612 </v>
      </c>
      <c r="C183" t="str">
        <f>'Front Page'!C184</f>
        <v xml:space="preserve">The Children's Voice Chorus, Inc. </v>
      </c>
      <c r="D183">
        <f>'Front Page'!E184</f>
        <v>17000</v>
      </c>
      <c r="E183" s="3">
        <f>ROUND('Front Page'!F184,4)</f>
        <v>92.6</v>
      </c>
      <c r="F183">
        <f t="shared" si="8"/>
        <v>15741.999999999998</v>
      </c>
      <c r="G183">
        <f>IF((D183*(E183/100)*Sheet2!$B$4)&gt;1000,(D183*(E183/100)*Sheet2!$B$4),1000)</f>
        <v>2985.3828677706611</v>
      </c>
      <c r="M183">
        <f>IF(G183=1000,1000,(F183*Sheet2!$B$8))</f>
        <v>2980.5260997300552</v>
      </c>
      <c r="N183">
        <f t="shared" si="11"/>
        <v>2980.5260997300552</v>
      </c>
      <c r="O183">
        <f t="shared" si="9"/>
        <v>2980.5260997300552</v>
      </c>
      <c r="P183">
        <f t="shared" si="10"/>
        <v>2995</v>
      </c>
    </row>
    <row r="184" spans="1:16" x14ac:dyDescent="0.25">
      <c r="A184">
        <f>'Front Page'!A185</f>
        <v>183</v>
      </c>
      <c r="B184" t="str">
        <f>'Front Page'!B185</f>
        <v xml:space="preserve">20.c.ps.114.716 </v>
      </c>
      <c r="C184" t="str">
        <f>'Front Page'!C185</f>
        <v xml:space="preserve">The Circus Arts Conservatory, Inc. </v>
      </c>
      <c r="D184">
        <f>'Front Page'!E185</f>
        <v>150000</v>
      </c>
      <c r="E184" s="3">
        <f>ROUND('Front Page'!F185,4)</f>
        <v>92.570999999999998</v>
      </c>
      <c r="F184">
        <f t="shared" si="8"/>
        <v>138856.5</v>
      </c>
      <c r="G184">
        <f>IF((D184*(E184/100)*Sheet2!$B$4)&gt;1000,(D184*(E184/100)*Sheet2!$B$4),1000)</f>
        <v>26333.364005755106</v>
      </c>
      <c r="M184">
        <f>IF(G184=1000,1000,(F184*Sheet2!$B$8))</f>
        <v>26290.523590850367</v>
      </c>
      <c r="N184">
        <f t="shared" si="11"/>
        <v>26290.523590850367</v>
      </c>
      <c r="O184">
        <f t="shared" si="9"/>
        <v>26290.523590850367</v>
      </c>
      <c r="P184">
        <f t="shared" si="10"/>
        <v>26305</v>
      </c>
    </row>
    <row r="185" spans="1:16" x14ac:dyDescent="0.25">
      <c r="A185">
        <f>'Front Page'!A186</f>
        <v>184</v>
      </c>
      <c r="B185" t="str">
        <f>'Front Page'!B186</f>
        <v xml:space="preserve">20.c.ps.101.169 </v>
      </c>
      <c r="C185" t="str">
        <f>'Front Page'!C186</f>
        <v xml:space="preserve">The Dance Now! Ensemble, Inc. </v>
      </c>
      <c r="D185">
        <f>'Front Page'!E186</f>
        <v>25900</v>
      </c>
      <c r="E185" s="3">
        <f>ROUND('Front Page'!F186,4)</f>
        <v>92.570999999999998</v>
      </c>
      <c r="F185">
        <f t="shared" si="8"/>
        <v>23975.888999999999</v>
      </c>
      <c r="G185">
        <f>IF((D185*(E185/100)*Sheet2!$B$4)&gt;1000,(D185*(E185/100)*Sheet2!$B$4),1000)</f>
        <v>4546.8941849937146</v>
      </c>
      <c r="M185">
        <f>IF(G185=1000,1000,(F185*Sheet2!$B$8))</f>
        <v>4539.4970733534965</v>
      </c>
      <c r="N185">
        <f t="shared" si="11"/>
        <v>4539.4970733534965</v>
      </c>
      <c r="O185">
        <f t="shared" si="9"/>
        <v>4539.4970733534965</v>
      </c>
      <c r="P185">
        <f t="shared" si="10"/>
        <v>4554</v>
      </c>
    </row>
    <row r="186" spans="1:16" x14ac:dyDescent="0.25">
      <c r="A186">
        <f>'Front Page'!A187</f>
        <v>185</v>
      </c>
      <c r="B186" t="str">
        <f>'Front Page'!B187</f>
        <v xml:space="preserve">20.c.ps.114.472 </v>
      </c>
      <c r="C186" t="str">
        <f>'Front Page'!C187</f>
        <v xml:space="preserve">Miami Dade College </v>
      </c>
      <c r="D186">
        <f>'Front Page'!E187</f>
        <v>55196</v>
      </c>
      <c r="E186" s="3">
        <f>ROUND('Front Page'!F187,4)</f>
        <v>92.570999999999998</v>
      </c>
      <c r="F186">
        <f t="shared" si="8"/>
        <v>51095.489160000005</v>
      </c>
      <c r="G186">
        <f>IF((D186*(E186/100)*Sheet2!$B$4)&gt;1000,(D186*(E186/100)*Sheet2!$B$4),1000)</f>
        <v>9689.9757310777259</v>
      </c>
      <c r="M186">
        <f>IF(G186=1000,1000,(F186*Sheet2!$B$8))</f>
        <v>9674.2116008038465</v>
      </c>
      <c r="N186">
        <f t="shared" si="11"/>
        <v>9674.2116008038465</v>
      </c>
      <c r="O186">
        <f t="shared" si="9"/>
        <v>9674.2116008038465</v>
      </c>
      <c r="P186">
        <f t="shared" si="10"/>
        <v>9689</v>
      </c>
    </row>
    <row r="187" spans="1:16" x14ac:dyDescent="0.25">
      <c r="A187">
        <f>'Front Page'!A188</f>
        <v>186</v>
      </c>
      <c r="B187" t="str">
        <f>'Front Page'!B188</f>
        <v xml:space="preserve">20.c.ps.170.321 </v>
      </c>
      <c r="C187" t="str">
        <f>'Front Page'!C188</f>
        <v xml:space="preserve">Shell Museum and Educational Foundation, Inc. </v>
      </c>
      <c r="D187">
        <f>'Front Page'!E188</f>
        <v>150000</v>
      </c>
      <c r="E187" s="3">
        <f>ROUND('Front Page'!F188,4)</f>
        <v>92.570999999999998</v>
      </c>
      <c r="F187">
        <f t="shared" si="8"/>
        <v>138856.5</v>
      </c>
      <c r="G187">
        <f>IF((D187*(E187/100)*Sheet2!$B$4)&gt;1000,(D187*(E187/100)*Sheet2!$B$4),1000)</f>
        <v>26333.364005755106</v>
      </c>
      <c r="M187">
        <f>IF(G187=1000,1000,(F187*Sheet2!$B$8))</f>
        <v>26290.523590850367</v>
      </c>
      <c r="N187">
        <f t="shared" si="11"/>
        <v>26290.523590850367</v>
      </c>
      <c r="O187">
        <f t="shared" si="9"/>
        <v>26290.523590850367</v>
      </c>
      <c r="P187">
        <f t="shared" si="10"/>
        <v>26305</v>
      </c>
    </row>
    <row r="188" spans="1:16" x14ac:dyDescent="0.25">
      <c r="A188">
        <f>'Front Page'!A189</f>
        <v>187</v>
      </c>
      <c r="B188" t="str">
        <f>'Front Page'!B189</f>
        <v xml:space="preserve">20.c.ps.180.622 </v>
      </c>
      <c r="C188" t="str">
        <f>'Front Page'!C189</f>
        <v xml:space="preserve">The Artist Series of Tallahassee, Inc. </v>
      </c>
      <c r="D188">
        <f>'Front Page'!E189</f>
        <v>29195</v>
      </c>
      <c r="E188" s="3">
        <f>ROUND('Front Page'!F189,4)</f>
        <v>92.5</v>
      </c>
      <c r="F188">
        <f t="shared" si="8"/>
        <v>27005.375</v>
      </c>
      <c r="G188">
        <f>IF((D188*(E188/100)*Sheet2!$B$4)&gt;1000,(D188*(E188/100)*Sheet2!$B$4),1000)</f>
        <v>5121.4193789049759</v>
      </c>
      <c r="M188">
        <f>IF(G188=1000,1000,(F188*Sheet2!$B$8))</f>
        <v>5113.0876013529132</v>
      </c>
      <c r="N188">
        <f t="shared" si="11"/>
        <v>5113.0876013529132</v>
      </c>
      <c r="O188">
        <f t="shared" si="9"/>
        <v>5113.0876013529132</v>
      </c>
      <c r="P188">
        <f t="shared" si="10"/>
        <v>5128</v>
      </c>
    </row>
    <row r="189" spans="1:16" x14ac:dyDescent="0.25">
      <c r="A189">
        <f>'Front Page'!A190</f>
        <v>188</v>
      </c>
      <c r="B189" t="str">
        <f>'Front Page'!B190</f>
        <v xml:space="preserve">20.c.ps.142.132 </v>
      </c>
      <c r="C189" t="str">
        <f>'Front Page'!C190</f>
        <v xml:space="preserve">Miami New Drama </v>
      </c>
      <c r="D189">
        <f>'Front Page'!E190</f>
        <v>103827</v>
      </c>
      <c r="E189" s="3">
        <f>ROUND('Front Page'!F190,4)</f>
        <v>92.5</v>
      </c>
      <c r="F189">
        <f t="shared" si="8"/>
        <v>96039.975000000006</v>
      </c>
      <c r="G189">
        <f>IF((D189*(E189/100)*Sheet2!$B$4)&gt;1000,(D189*(E189/100)*Sheet2!$B$4),1000)</f>
        <v>18213.44784564367</v>
      </c>
      <c r="M189">
        <f>IF(G189=1000,1000,(F189*Sheet2!$B$8))</f>
        <v>18183.817310692546</v>
      </c>
      <c r="N189">
        <f t="shared" si="11"/>
        <v>18183.817310692546</v>
      </c>
      <c r="O189">
        <f t="shared" si="9"/>
        <v>18183.817310692546</v>
      </c>
      <c r="P189">
        <f t="shared" si="10"/>
        <v>18199</v>
      </c>
    </row>
    <row r="190" spans="1:16" x14ac:dyDescent="0.25">
      <c r="A190">
        <f>'Front Page'!A191</f>
        <v>189</v>
      </c>
      <c r="B190" t="str">
        <f>'Front Page'!B191</f>
        <v xml:space="preserve">20.c.ps.102.457 </v>
      </c>
      <c r="C190" t="str">
        <f>'Front Page'!C191</f>
        <v xml:space="preserve">The Choral Society of Pensacola, Inc. </v>
      </c>
      <c r="D190">
        <f>'Front Page'!E191</f>
        <v>22685</v>
      </c>
      <c r="E190" s="3">
        <f>ROUND('Front Page'!F191,4)</f>
        <v>92.5</v>
      </c>
      <c r="F190">
        <f t="shared" si="8"/>
        <v>20983.625</v>
      </c>
      <c r="G190">
        <f>IF((D190*(E190/100)*Sheet2!$B$4)&gt;1000,(D190*(E190/100)*Sheet2!$B$4),1000)</f>
        <v>3979.4279366487199</v>
      </c>
      <c r="M190">
        <f>IF(G190=1000,1000,(F190*Sheet2!$B$8))</f>
        <v>3972.9540070796652</v>
      </c>
      <c r="N190">
        <f t="shared" si="11"/>
        <v>3972.9540070796652</v>
      </c>
      <c r="O190">
        <f t="shared" si="9"/>
        <v>3972.9540070796652</v>
      </c>
      <c r="P190">
        <f t="shared" si="10"/>
        <v>3988</v>
      </c>
    </row>
    <row r="191" spans="1:16" x14ac:dyDescent="0.25">
      <c r="A191">
        <f>'Front Page'!A192</f>
        <v>190</v>
      </c>
      <c r="B191" t="str">
        <f>'Front Page'!B192</f>
        <v xml:space="preserve">20.c.ps.600.040 </v>
      </c>
      <c r="C191" t="str">
        <f>'Front Page'!C192</f>
        <v xml:space="preserve">VSA Florida, Inc. </v>
      </c>
      <c r="D191">
        <f>'Front Page'!E192</f>
        <v>144895</v>
      </c>
      <c r="E191" s="3">
        <f>ROUND('Front Page'!F192,4)</f>
        <v>92.5</v>
      </c>
      <c r="F191">
        <f t="shared" si="8"/>
        <v>134027.875</v>
      </c>
      <c r="G191">
        <f>IF((D191*(E191/100)*Sheet2!$B$4)&gt;1000,(D191*(E191/100)*Sheet2!$B$4),1000)</f>
        <v>25417.642093044578</v>
      </c>
      <c r="M191">
        <f>IF(G191=1000,1000,(F191*Sheet2!$B$8))</f>
        <v>25376.29141969619</v>
      </c>
      <c r="N191">
        <f t="shared" si="11"/>
        <v>25376.29141969619</v>
      </c>
      <c r="O191">
        <f t="shared" si="9"/>
        <v>25376.29141969619</v>
      </c>
      <c r="P191">
        <f t="shared" si="10"/>
        <v>25391</v>
      </c>
    </row>
    <row r="192" spans="1:16" x14ac:dyDescent="0.25">
      <c r="A192">
        <f>'Front Page'!A193</f>
        <v>191</v>
      </c>
      <c r="B192" t="str">
        <f>'Front Page'!B193</f>
        <v xml:space="preserve">20.c.ps.142.526 </v>
      </c>
      <c r="C192" t="str">
        <f>'Front Page'!C193</f>
        <v xml:space="preserve">Island City Stage, Inc. </v>
      </c>
      <c r="D192">
        <f>'Front Page'!E193</f>
        <v>44000</v>
      </c>
      <c r="E192" s="3">
        <f>ROUND('Front Page'!F193,4)</f>
        <v>92.5</v>
      </c>
      <c r="F192">
        <f t="shared" si="8"/>
        <v>40700</v>
      </c>
      <c r="G192">
        <f>IF((D192*(E192/100)*Sheet2!$B$4)&gt;1000,(D192*(E192/100)*Sheet2!$B$4),1000)</f>
        <v>7718.528949197429</v>
      </c>
      <c r="M192">
        <f>IF(G192=1000,1000,(F192*Sheet2!$B$8))</f>
        <v>7705.9720657485241</v>
      </c>
      <c r="N192">
        <f t="shared" si="11"/>
        <v>7705.9720657485241</v>
      </c>
      <c r="O192">
        <f t="shared" si="9"/>
        <v>7705.9720657485241</v>
      </c>
      <c r="P192">
        <f t="shared" si="10"/>
        <v>7721</v>
      </c>
    </row>
    <row r="193" spans="1:16" x14ac:dyDescent="0.25">
      <c r="A193">
        <f>'Front Page'!A194</f>
        <v>192</v>
      </c>
      <c r="B193" t="str">
        <f>'Front Page'!B194</f>
        <v xml:space="preserve">20.c.ps.170.232 </v>
      </c>
      <c r="C193" t="str">
        <f>'Front Page'!C194</f>
        <v xml:space="preserve">Children's Museum of Tampa, Inc. </v>
      </c>
      <c r="D193">
        <f>'Front Page'!E194</f>
        <v>150000</v>
      </c>
      <c r="E193" s="3">
        <f>ROUND('Front Page'!F194,4)</f>
        <v>92.5</v>
      </c>
      <c r="F193">
        <f t="shared" si="8"/>
        <v>138750</v>
      </c>
      <c r="G193">
        <f>IF((D193*(E193/100)*Sheet2!$B$4)&gt;1000,(D193*(E193/100)*Sheet2!$B$4),1000)</f>
        <v>26313.166872263962</v>
      </c>
      <c r="M193">
        <f>IF(G193=1000,1000,(F193*Sheet2!$B$8))</f>
        <v>26270.359315051788</v>
      </c>
      <c r="N193">
        <f t="shared" si="11"/>
        <v>26270.359315051788</v>
      </c>
      <c r="O193">
        <f t="shared" si="9"/>
        <v>26270.359315051788</v>
      </c>
      <c r="P193">
        <f t="shared" si="10"/>
        <v>26285</v>
      </c>
    </row>
    <row r="194" spans="1:16" x14ac:dyDescent="0.25">
      <c r="A194">
        <f>'Front Page'!A195</f>
        <v>193</v>
      </c>
      <c r="B194" t="str">
        <f>'Front Page'!B195</f>
        <v xml:space="preserve">20.c.ps.170.275 </v>
      </c>
      <c r="C194" t="str">
        <f>'Front Page'!C195</f>
        <v xml:space="preserve">Daytona State College </v>
      </c>
      <c r="D194">
        <f>'Front Page'!E195</f>
        <v>55615</v>
      </c>
      <c r="E194" s="3">
        <f>ROUND('Front Page'!F195,4)</f>
        <v>92.429000000000002</v>
      </c>
      <c r="F194">
        <f t="shared" ref="F194:F257" si="12">D194*(E194/100)</f>
        <v>51404.388350000001</v>
      </c>
      <c r="G194">
        <f>IF((D194*(E194/100)*Sheet2!$B$4)&gt;1000,(D194*(E194/100)*Sheet2!$B$4),1000)</f>
        <v>9748.5567468123354</v>
      </c>
      <c r="M194">
        <f>IF(G194=1000,1000,(F194*Sheet2!$B$8))</f>
        <v>9732.6973140537812</v>
      </c>
      <c r="N194">
        <f t="shared" si="11"/>
        <v>9732.6973140537812</v>
      </c>
      <c r="O194">
        <f t="shared" ref="O194:O257" si="13">IF(N194&lt;1000,1000,N194)</f>
        <v>9732.6973140537812</v>
      </c>
      <c r="P194">
        <f t="shared" ref="P194:P257" si="14">ROUND(IF(O194=1000,1000,(O194+$J$11)),0)</f>
        <v>9748</v>
      </c>
    </row>
    <row r="195" spans="1:16" x14ac:dyDescent="0.25">
      <c r="A195">
        <f>'Front Page'!A196</f>
        <v>194</v>
      </c>
      <c r="B195" t="str">
        <f>'Front Page'!B196</f>
        <v xml:space="preserve">20.c.ps.170.601 </v>
      </c>
      <c r="C195" t="str">
        <f>'Front Page'!C196</f>
        <v xml:space="preserve">Beaches Area Historical Society, Inc. </v>
      </c>
      <c r="D195">
        <f>'Front Page'!E196</f>
        <v>62500</v>
      </c>
      <c r="E195" s="3">
        <f>ROUND('Front Page'!F196,4)</f>
        <v>92.429000000000002</v>
      </c>
      <c r="F195">
        <f t="shared" si="12"/>
        <v>57768.125</v>
      </c>
      <c r="G195">
        <f>IF((D195*(E195/100)*Sheet2!$B$4)&gt;1000,(D195*(E195/100)*Sheet2!$B$4),1000)</f>
        <v>10955.404057822008</v>
      </c>
      <c r="M195">
        <f>IF(G195=1000,1000,(F195*Sheet2!$B$8))</f>
        <v>10937.581266355503</v>
      </c>
      <c r="N195">
        <f t="shared" si="11"/>
        <v>10937.581266355503</v>
      </c>
      <c r="O195">
        <f t="shared" si="13"/>
        <v>10937.581266355503</v>
      </c>
      <c r="P195">
        <f t="shared" si="14"/>
        <v>10953</v>
      </c>
    </row>
    <row r="196" spans="1:16" x14ac:dyDescent="0.25">
      <c r="A196">
        <f>'Front Page'!A197</f>
        <v>195</v>
      </c>
      <c r="B196" t="str">
        <f>'Front Page'!B197</f>
        <v xml:space="preserve">20.c.ps.114.513 </v>
      </c>
      <c r="C196" t="str">
        <f>'Front Page'!C197</f>
        <v xml:space="preserve">School of the Arts Foundation, Inc. </v>
      </c>
      <c r="D196">
        <f>'Front Page'!E197</f>
        <v>125000</v>
      </c>
      <c r="E196" s="3">
        <f>ROUND('Front Page'!F197,4)</f>
        <v>92.429000000000002</v>
      </c>
      <c r="F196">
        <f t="shared" si="12"/>
        <v>115536.25</v>
      </c>
      <c r="G196">
        <f>IF((D196*(E196/100)*Sheet2!$B$4)&gt;1000,(D196*(E196/100)*Sheet2!$B$4),1000)</f>
        <v>21910.808115644017</v>
      </c>
      <c r="M196">
        <f>IF(G196=1000,1000,(F196*Sheet2!$B$8))</f>
        <v>21875.162532711005</v>
      </c>
      <c r="N196">
        <f t="shared" ref="N196:N259" si="15">M196</f>
        <v>21875.162532711005</v>
      </c>
      <c r="O196">
        <f t="shared" si="13"/>
        <v>21875.162532711005</v>
      </c>
      <c r="P196">
        <f t="shared" si="14"/>
        <v>21890</v>
      </c>
    </row>
    <row r="197" spans="1:16" x14ac:dyDescent="0.25">
      <c r="A197">
        <f>'Front Page'!A198</f>
        <v>196</v>
      </c>
      <c r="B197" t="str">
        <f>'Front Page'!B198</f>
        <v xml:space="preserve">20.c.ps.170.168 </v>
      </c>
      <c r="C197" t="str">
        <f>'Front Page'!C198</f>
        <v xml:space="preserve">The Zoological Society of the Palm Beaches, Inc </v>
      </c>
      <c r="D197">
        <f>'Front Page'!E198</f>
        <v>150000</v>
      </c>
      <c r="E197" s="3">
        <f>ROUND('Front Page'!F198,4)</f>
        <v>92.429000000000002</v>
      </c>
      <c r="F197">
        <f t="shared" si="12"/>
        <v>138643.5</v>
      </c>
      <c r="G197">
        <f>IF((D197*(E197/100)*Sheet2!$B$4)&gt;1000,(D197*(E197/100)*Sheet2!$B$4),1000)</f>
        <v>26292.969738772819</v>
      </c>
      <c r="M197">
        <f>IF(G197=1000,1000,(F197*Sheet2!$B$8))</f>
        <v>26250.195039253205</v>
      </c>
      <c r="N197">
        <f t="shared" si="15"/>
        <v>26250.195039253205</v>
      </c>
      <c r="O197">
        <f t="shared" si="13"/>
        <v>26250.195039253205</v>
      </c>
      <c r="P197">
        <f t="shared" si="14"/>
        <v>26265</v>
      </c>
    </row>
    <row r="198" spans="1:16" x14ac:dyDescent="0.25">
      <c r="A198">
        <f>'Front Page'!A199</f>
        <v>197</v>
      </c>
      <c r="B198" t="str">
        <f>'Front Page'!B199</f>
        <v xml:space="preserve">20.c.ps.102.104 </v>
      </c>
      <c r="C198" t="str">
        <f>'Front Page'!C199</f>
        <v xml:space="preserve">Beaches Fine Arts Series, Inc. </v>
      </c>
      <c r="D198">
        <f>'Front Page'!E199</f>
        <v>44070</v>
      </c>
      <c r="E198" s="3">
        <f>ROUND('Front Page'!F199,4)</f>
        <v>92.429000000000002</v>
      </c>
      <c r="F198">
        <f t="shared" si="12"/>
        <v>40733.460300000006</v>
      </c>
      <c r="G198">
        <f>IF((D198*(E198/100)*Sheet2!$B$4)&gt;1000,(D198*(E198/100)*Sheet2!$B$4),1000)</f>
        <v>7724.8745092514555</v>
      </c>
      <c r="M198">
        <f>IF(G198=1000,1000,(F198*Sheet2!$B$8))</f>
        <v>7712.307302532593</v>
      </c>
      <c r="N198">
        <f t="shared" si="15"/>
        <v>7712.307302532593</v>
      </c>
      <c r="O198">
        <f t="shared" si="13"/>
        <v>7712.307302532593</v>
      </c>
      <c r="P198">
        <f t="shared" si="14"/>
        <v>7727</v>
      </c>
    </row>
    <row r="199" spans="1:16" x14ac:dyDescent="0.25">
      <c r="A199">
        <f>'Front Page'!A200</f>
        <v>198</v>
      </c>
      <c r="B199" t="str">
        <f>'Front Page'!B200</f>
        <v xml:space="preserve">20.c.ps.105.652 </v>
      </c>
      <c r="C199" t="str">
        <f>'Front Page'!C200</f>
        <v xml:space="preserve">Coral Springs Museum of Art, Inc. </v>
      </c>
      <c r="D199">
        <f>'Front Page'!E200</f>
        <v>84391</v>
      </c>
      <c r="E199" s="3">
        <f>ROUND('Front Page'!F200,4)</f>
        <v>92.4</v>
      </c>
      <c r="F199">
        <f t="shared" si="12"/>
        <v>77977.284</v>
      </c>
      <c r="G199">
        <f>IF((D199*(E199/100)*Sheet2!$B$4)&gt;1000,(D199*(E199/100)*Sheet2!$B$4),1000)</f>
        <v>14787.958819012027</v>
      </c>
      <c r="M199">
        <f>IF(G199=1000,1000,(F199*Sheet2!$B$8))</f>
        <v>14763.901038499738</v>
      </c>
      <c r="N199">
        <f t="shared" si="15"/>
        <v>14763.901038499738</v>
      </c>
      <c r="O199">
        <f t="shared" si="13"/>
        <v>14763.901038499738</v>
      </c>
      <c r="P199">
        <f t="shared" si="14"/>
        <v>14779</v>
      </c>
    </row>
    <row r="200" spans="1:16" x14ac:dyDescent="0.25">
      <c r="A200">
        <f>'Front Page'!A201</f>
        <v>199</v>
      </c>
      <c r="B200" t="str">
        <f>'Front Page'!B201</f>
        <v xml:space="preserve">20.c.ps.170.028 </v>
      </c>
      <c r="C200" t="str">
        <f>'Front Page'!C201</f>
        <v xml:space="preserve">Florida State University </v>
      </c>
      <c r="D200">
        <f>'Front Page'!E201</f>
        <v>81000</v>
      </c>
      <c r="E200" s="3">
        <f>ROUND('Front Page'!F201,4)</f>
        <v>92.332999999999998</v>
      </c>
      <c r="F200">
        <f t="shared" si="12"/>
        <v>74789.73</v>
      </c>
      <c r="G200">
        <f>IF((D200*(E200/100)*Sheet2!$B$4)&gt;1000,(D200*(E200/100)*Sheet2!$B$4),1000)</f>
        <v>14183.456906822099</v>
      </c>
      <c r="M200">
        <f>IF(G200=1000,1000,(F200*Sheet2!$B$8))</f>
        <v>14160.382559824922</v>
      </c>
      <c r="N200">
        <f t="shared" si="15"/>
        <v>14160.382559824922</v>
      </c>
      <c r="O200">
        <f t="shared" si="13"/>
        <v>14160.382559824922</v>
      </c>
      <c r="P200">
        <f t="shared" si="14"/>
        <v>14175</v>
      </c>
    </row>
    <row r="201" spans="1:16" x14ac:dyDescent="0.25">
      <c r="A201">
        <f>'Front Page'!A202</f>
        <v>200</v>
      </c>
      <c r="B201" t="str">
        <f>'Front Page'!B202</f>
        <v xml:space="preserve">20.c.ps.500.109 </v>
      </c>
      <c r="C201" t="str">
        <f>'Front Page'!C202</f>
        <v xml:space="preserve">Lee County Alliance of the Arts, Inc. </v>
      </c>
      <c r="D201">
        <f>'Front Page'!E202</f>
        <v>93456</v>
      </c>
      <c r="E201" s="3">
        <f>ROUND('Front Page'!F202,4)</f>
        <v>92.332999999999998</v>
      </c>
      <c r="F201">
        <f t="shared" si="12"/>
        <v>86290.728480000005</v>
      </c>
      <c r="G201">
        <f>IF((D201*(E201/100)*Sheet2!$B$4)&gt;1000,(D201*(E201/100)*Sheet2!$B$4),1000)</f>
        <v>16364.557391160077</v>
      </c>
      <c r="M201">
        <f>IF(G201=1000,1000,(F201*Sheet2!$B$8))</f>
        <v>16337.934722358001</v>
      </c>
      <c r="N201">
        <f t="shared" si="15"/>
        <v>16337.934722358001</v>
      </c>
      <c r="O201">
        <f t="shared" si="13"/>
        <v>16337.934722358001</v>
      </c>
      <c r="P201">
        <f t="shared" si="14"/>
        <v>16353</v>
      </c>
    </row>
    <row r="202" spans="1:16" x14ac:dyDescent="0.25">
      <c r="A202">
        <f>'Front Page'!A203</f>
        <v>201</v>
      </c>
      <c r="B202" t="str">
        <f>'Front Page'!B203</f>
        <v xml:space="preserve">20.c.ps.170.271 </v>
      </c>
      <c r="C202" t="str">
        <f>'Front Page'!C203</f>
        <v xml:space="preserve">The Morikami, Inc. </v>
      </c>
      <c r="D202">
        <f>'Front Page'!E203</f>
        <v>150000</v>
      </c>
      <c r="E202" s="3">
        <f>ROUND('Front Page'!F203,4)</f>
        <v>92.332999999999998</v>
      </c>
      <c r="F202">
        <f t="shared" si="12"/>
        <v>138499.5</v>
      </c>
      <c r="G202">
        <f>IF((D202*(E202/100)*Sheet2!$B$4)&gt;1000,(D202*(E202/100)*Sheet2!$B$4),1000)</f>
        <v>26265.660938559442</v>
      </c>
      <c r="M202">
        <f>IF(G202=1000,1000,(F202*Sheet2!$B$8))</f>
        <v>26222.93066634245</v>
      </c>
      <c r="N202">
        <f t="shared" si="15"/>
        <v>26222.93066634245</v>
      </c>
      <c r="O202">
        <f t="shared" si="13"/>
        <v>26222.93066634245</v>
      </c>
      <c r="P202">
        <f t="shared" si="14"/>
        <v>26238</v>
      </c>
    </row>
    <row r="203" spans="1:16" x14ac:dyDescent="0.25">
      <c r="A203">
        <f>'Front Page'!A204</f>
        <v>202</v>
      </c>
      <c r="B203" t="str">
        <f>'Front Page'!B204</f>
        <v xml:space="preserve">20.c.ps.170.428 </v>
      </c>
      <c r="C203" t="str">
        <f>'Front Page'!C204</f>
        <v xml:space="preserve">Mel Fisher Maritime Heritage Society, Inc. </v>
      </c>
      <c r="D203">
        <f>'Front Page'!E204</f>
        <v>150000</v>
      </c>
      <c r="E203" s="3">
        <f>ROUND('Front Page'!F204,4)</f>
        <v>92.332999999999998</v>
      </c>
      <c r="F203">
        <f t="shared" si="12"/>
        <v>138499.5</v>
      </c>
      <c r="G203">
        <f>IF((D203*(E203/100)*Sheet2!$B$4)&gt;1000,(D203*(E203/100)*Sheet2!$B$4),1000)</f>
        <v>26265.660938559442</v>
      </c>
      <c r="M203">
        <f>IF(G203=1000,1000,(F203*Sheet2!$B$8))</f>
        <v>26222.93066634245</v>
      </c>
      <c r="N203">
        <f t="shared" si="15"/>
        <v>26222.93066634245</v>
      </c>
      <c r="O203">
        <f t="shared" si="13"/>
        <v>26222.93066634245</v>
      </c>
      <c r="P203">
        <f t="shared" si="14"/>
        <v>26238</v>
      </c>
    </row>
    <row r="204" spans="1:16" x14ac:dyDescent="0.25">
      <c r="A204">
        <f>'Front Page'!A205</f>
        <v>203</v>
      </c>
      <c r="B204" t="str">
        <f>'Front Page'!B205</f>
        <v xml:space="preserve">20.c.ps.180.736 </v>
      </c>
      <c r="C204" t="str">
        <f>'Front Page'!C205</f>
        <v xml:space="preserve">Miami-Dade County Auditorium </v>
      </c>
      <c r="D204">
        <f>'Front Page'!E205</f>
        <v>150000</v>
      </c>
      <c r="E204" s="3">
        <f>ROUND('Front Page'!F205,4)</f>
        <v>92.286000000000001</v>
      </c>
      <c r="F204">
        <f t="shared" si="12"/>
        <v>138429</v>
      </c>
      <c r="G204">
        <f>IF((D204*(E204/100)*Sheet2!$B$4)&gt;1000,(D204*(E204/100)*Sheet2!$B$4),1000)</f>
        <v>26252.291005121642</v>
      </c>
      <c r="M204">
        <f>IF(G204=1000,1000,(F204*Sheet2!$B$8))</f>
        <v>26209.582483771559</v>
      </c>
      <c r="N204">
        <f t="shared" si="15"/>
        <v>26209.582483771559</v>
      </c>
      <c r="O204">
        <f t="shared" si="13"/>
        <v>26209.582483771559</v>
      </c>
      <c r="P204">
        <f t="shared" si="14"/>
        <v>26225</v>
      </c>
    </row>
    <row r="205" spans="1:16" x14ac:dyDescent="0.25">
      <c r="A205">
        <f>'Front Page'!A206</f>
        <v>204</v>
      </c>
      <c r="B205" t="str">
        <f>'Front Page'!B206</f>
        <v xml:space="preserve">20.c.ps.109.194 </v>
      </c>
      <c r="C205" t="str">
        <f>'Front Page'!C206</f>
        <v xml:space="preserve">Center for the Advancement of Jewish Education, Inc. </v>
      </c>
      <c r="D205">
        <f>'Front Page'!E206</f>
        <v>150000</v>
      </c>
      <c r="E205" s="3">
        <f>ROUND('Front Page'!F206,4)</f>
        <v>92.25</v>
      </c>
      <c r="F205">
        <f t="shared" si="12"/>
        <v>138375</v>
      </c>
      <c r="G205">
        <f>IF((D205*(E205/100)*Sheet2!$B$4)&gt;1000,(D205*(E205/100)*Sheet2!$B$4),1000)</f>
        <v>26242.050205041629</v>
      </c>
      <c r="M205">
        <f>IF(G205=1000,1000,(F205*Sheet2!$B$8))</f>
        <v>26199.358343930024</v>
      </c>
      <c r="N205">
        <f t="shared" si="15"/>
        <v>26199.358343930024</v>
      </c>
      <c r="O205">
        <f t="shared" si="13"/>
        <v>26199.358343930024</v>
      </c>
      <c r="P205">
        <f t="shared" si="14"/>
        <v>26214</v>
      </c>
    </row>
    <row r="206" spans="1:16" x14ac:dyDescent="0.25">
      <c r="A206">
        <f>'Front Page'!A207</f>
        <v>205</v>
      </c>
      <c r="B206" t="str">
        <f>'Front Page'!B207</f>
        <v xml:space="preserve">20.c.ps.105.642 </v>
      </c>
      <c r="C206" t="str">
        <f>'Front Page'!C207</f>
        <v xml:space="preserve">The Armory Art Center, Inc. </v>
      </c>
      <c r="D206">
        <f>'Front Page'!E207</f>
        <v>150000</v>
      </c>
      <c r="E206" s="3">
        <f>ROUND('Front Page'!F207,4)</f>
        <v>92.2</v>
      </c>
      <c r="F206">
        <f t="shared" si="12"/>
        <v>138300</v>
      </c>
      <c r="G206">
        <f>IF((D206*(E206/100)*Sheet2!$B$4)&gt;1000,(D206*(E206/100)*Sheet2!$B$4),1000)</f>
        <v>26227.826871597161</v>
      </c>
      <c r="M206">
        <f>IF(G206=1000,1000,(F206*Sheet2!$B$8))</f>
        <v>26185.158149705672</v>
      </c>
      <c r="N206">
        <f t="shared" si="15"/>
        <v>26185.158149705672</v>
      </c>
      <c r="O206">
        <f t="shared" si="13"/>
        <v>26185.158149705672</v>
      </c>
      <c r="P206">
        <f t="shared" si="14"/>
        <v>26200</v>
      </c>
    </row>
    <row r="207" spans="1:16" x14ac:dyDescent="0.25">
      <c r="A207">
        <f>'Front Page'!A208</f>
        <v>206</v>
      </c>
      <c r="B207" t="str">
        <f>'Front Page'!B208</f>
        <v xml:space="preserve">20.c.ps.114.200 </v>
      </c>
      <c r="C207" t="str">
        <f>'Front Page'!C208</f>
        <v xml:space="preserve">Arts &amp; Business Council of Miami, Inc. </v>
      </c>
      <c r="D207">
        <f>'Front Page'!E208</f>
        <v>40000</v>
      </c>
      <c r="E207" s="3">
        <f>ROUND('Front Page'!F208,4)</f>
        <v>92.167000000000002</v>
      </c>
      <c r="F207">
        <f t="shared" si="12"/>
        <v>36866.800000000003</v>
      </c>
      <c r="G207">
        <f>IF((D207*(E207/100)*Sheet2!$B$4)&gt;1000,(D207*(E207/100)*Sheet2!$B$4),1000)</f>
        <v>6991.5838590730173</v>
      </c>
      <c r="M207">
        <f>IF(G207=1000,1000,(F207*Sheet2!$B$8))</f>
        <v>6980.2096057380277</v>
      </c>
      <c r="N207">
        <f t="shared" si="15"/>
        <v>6980.2096057380277</v>
      </c>
      <c r="O207">
        <f t="shared" si="13"/>
        <v>6980.2096057380277</v>
      </c>
      <c r="P207">
        <f t="shared" si="14"/>
        <v>6995</v>
      </c>
    </row>
    <row r="208" spans="1:16" x14ac:dyDescent="0.25">
      <c r="A208">
        <f>'Front Page'!A209</f>
        <v>207</v>
      </c>
      <c r="B208" t="str">
        <f>'Front Page'!B209</f>
        <v xml:space="preserve">20.c.ps.200.532 </v>
      </c>
      <c r="C208" t="str">
        <f>'Front Page'!C209</f>
        <v xml:space="preserve">In Touch with Communities Around the World DBA Arts Conservatory for Teens </v>
      </c>
      <c r="D208">
        <f>'Front Page'!E209</f>
        <v>25000</v>
      </c>
      <c r="E208" s="3">
        <f>ROUND('Front Page'!F209,4)</f>
        <v>92.167000000000002</v>
      </c>
      <c r="F208">
        <f t="shared" si="12"/>
        <v>23041.75</v>
      </c>
      <c r="G208">
        <f>IF((D208*(E208/100)*Sheet2!$B$4)&gt;1000,(D208*(E208/100)*Sheet2!$B$4),1000)</f>
        <v>4369.7399119206357</v>
      </c>
      <c r="M208">
        <f>IF(G208=1000,1000,(F208*Sheet2!$B$8))</f>
        <v>4362.6310035862671</v>
      </c>
      <c r="N208">
        <f t="shared" si="15"/>
        <v>4362.6310035862671</v>
      </c>
      <c r="O208">
        <f t="shared" si="13"/>
        <v>4362.6310035862671</v>
      </c>
      <c r="P208">
        <f t="shared" si="14"/>
        <v>4378</v>
      </c>
    </row>
    <row r="209" spans="1:16" x14ac:dyDescent="0.25">
      <c r="A209">
        <f>'Front Page'!A210</f>
        <v>208</v>
      </c>
      <c r="B209" t="str">
        <f>'Front Page'!B210</f>
        <v xml:space="preserve">20.c.ps.170.558 </v>
      </c>
      <c r="C209" t="str">
        <f>'Front Page'!C210</f>
        <v xml:space="preserve">Key West Botanical Garden Society, Inc. </v>
      </c>
      <c r="D209">
        <f>'Front Page'!E210</f>
        <v>67000</v>
      </c>
      <c r="E209" s="3">
        <f>ROUND('Front Page'!F210,4)</f>
        <v>92.167000000000002</v>
      </c>
      <c r="F209">
        <f t="shared" si="12"/>
        <v>61751.89</v>
      </c>
      <c r="G209">
        <f>IF((D209*(E209/100)*Sheet2!$B$4)&gt;1000,(D209*(E209/100)*Sheet2!$B$4),1000)</f>
        <v>11710.902963947303</v>
      </c>
      <c r="M209">
        <f>IF(G209=1000,1000,(F209*Sheet2!$B$8))</f>
        <v>11691.851089611195</v>
      </c>
      <c r="N209">
        <f t="shared" si="15"/>
        <v>11691.851089611195</v>
      </c>
      <c r="O209">
        <f t="shared" si="13"/>
        <v>11691.851089611195</v>
      </c>
      <c r="P209">
        <f t="shared" si="14"/>
        <v>11707</v>
      </c>
    </row>
    <row r="210" spans="1:16" x14ac:dyDescent="0.25">
      <c r="A210">
        <f>'Front Page'!A211</f>
        <v>209</v>
      </c>
      <c r="B210" t="str">
        <f>'Front Page'!B211</f>
        <v xml:space="preserve">20.c.ps.114.312 </v>
      </c>
      <c r="C210" t="str">
        <f>'Front Page'!C211</f>
        <v xml:space="preserve">Ding Darling Wildlife Society, Inc. </v>
      </c>
      <c r="D210">
        <f>'Front Page'!E211</f>
        <v>50000</v>
      </c>
      <c r="E210" s="3">
        <f>ROUND('Front Page'!F211,4)</f>
        <v>92.167000000000002</v>
      </c>
      <c r="F210">
        <f t="shared" si="12"/>
        <v>46083.5</v>
      </c>
      <c r="G210">
        <f>IF((D210*(E210/100)*Sheet2!$B$4)&gt;1000,(D210*(E210/100)*Sheet2!$B$4),1000)</f>
        <v>8739.4798238412714</v>
      </c>
      <c r="M210">
        <f>IF(G210=1000,1000,(F210*Sheet2!$B$8))</f>
        <v>8725.2620071725341</v>
      </c>
      <c r="N210">
        <f t="shared" si="15"/>
        <v>8725.2620071725341</v>
      </c>
      <c r="O210">
        <f t="shared" si="13"/>
        <v>8725.2620071725341</v>
      </c>
      <c r="P210">
        <f t="shared" si="14"/>
        <v>8740</v>
      </c>
    </row>
    <row r="211" spans="1:16" x14ac:dyDescent="0.25">
      <c r="A211">
        <f>'Front Page'!A212</f>
        <v>210</v>
      </c>
      <c r="B211" t="str">
        <f>'Front Page'!B212</f>
        <v xml:space="preserve">20.c.ps.180.123 </v>
      </c>
      <c r="C211" t="str">
        <f>'Front Page'!C212</f>
        <v xml:space="preserve">South Florida State College </v>
      </c>
      <c r="D211">
        <f>'Front Page'!E212</f>
        <v>90000</v>
      </c>
      <c r="E211" s="3">
        <f>ROUND('Front Page'!F212,4)</f>
        <v>92.167000000000002</v>
      </c>
      <c r="F211">
        <f t="shared" si="12"/>
        <v>82950.3</v>
      </c>
      <c r="G211">
        <f>IF((D211*(E211/100)*Sheet2!$B$4)&gt;1000,(D211*(E211/100)*Sheet2!$B$4),1000)</f>
        <v>15731.063682914288</v>
      </c>
      <c r="M211">
        <f>IF(G211=1000,1000,(F211*Sheet2!$B$8))</f>
        <v>15705.47161291056</v>
      </c>
      <c r="N211">
        <f t="shared" si="15"/>
        <v>15705.47161291056</v>
      </c>
      <c r="O211">
        <f t="shared" si="13"/>
        <v>15705.47161291056</v>
      </c>
      <c r="P211">
        <f t="shared" si="14"/>
        <v>15720</v>
      </c>
    </row>
    <row r="212" spans="1:16" x14ac:dyDescent="0.25">
      <c r="A212">
        <f>'Front Page'!A213</f>
        <v>211</v>
      </c>
      <c r="B212" t="str">
        <f>'Front Page'!B213</f>
        <v xml:space="preserve">20.c.ps.114.643 </v>
      </c>
      <c r="C212" t="str">
        <f>'Front Page'!C213</f>
        <v xml:space="preserve">Florida Arts, Inc. </v>
      </c>
      <c r="D212">
        <f>'Front Page'!E213</f>
        <v>94000</v>
      </c>
      <c r="E212" s="3">
        <f>ROUND('Front Page'!F213,4)</f>
        <v>92.143000000000001</v>
      </c>
      <c r="F212">
        <f t="shared" si="12"/>
        <v>86614.42</v>
      </c>
      <c r="G212">
        <f>IF((D212*(E212/100)*Sheet2!$B$4)&gt;1000,(D212*(E212/100)*Sheet2!$B$4),1000)</f>
        <v>16425.943690121494</v>
      </c>
      <c r="M212">
        <f>IF(G212=1000,1000,(F212*Sheet2!$B$8))</f>
        <v>16399.221155061678</v>
      </c>
      <c r="N212">
        <f t="shared" si="15"/>
        <v>16399.221155061678</v>
      </c>
      <c r="O212">
        <f t="shared" si="13"/>
        <v>16399.221155061678</v>
      </c>
      <c r="P212">
        <f t="shared" si="14"/>
        <v>16414</v>
      </c>
    </row>
    <row r="213" spans="1:16" x14ac:dyDescent="0.25">
      <c r="A213">
        <f>'Front Page'!A214</f>
        <v>212</v>
      </c>
      <c r="B213" t="str">
        <f>'Front Page'!B214</f>
        <v xml:space="preserve">20.c.ps.114.520 </v>
      </c>
      <c r="C213" t="str">
        <f>'Front Page'!C214</f>
        <v xml:space="preserve">Broward College </v>
      </c>
      <c r="D213">
        <f>'Front Page'!E214</f>
        <v>12800</v>
      </c>
      <c r="E213" s="3">
        <f>ROUND('Front Page'!F214,4)</f>
        <v>92.143000000000001</v>
      </c>
      <c r="F213">
        <f t="shared" si="12"/>
        <v>11794.304</v>
      </c>
      <c r="G213">
        <f>IF((D213*(E213/100)*Sheet2!$B$4)&gt;1000,(D213*(E213/100)*Sheet2!$B$4),1000)</f>
        <v>2236.7242471654799</v>
      </c>
      <c r="M213">
        <f>IF(G213=1000,1000,(F213*Sheet2!$B$8))</f>
        <v>2233.0854338807389</v>
      </c>
      <c r="N213">
        <f t="shared" si="15"/>
        <v>2233.0854338807389</v>
      </c>
      <c r="O213">
        <f t="shared" si="13"/>
        <v>2233.0854338807389</v>
      </c>
      <c r="P213">
        <f t="shared" si="14"/>
        <v>2248</v>
      </c>
    </row>
    <row r="214" spans="1:16" x14ac:dyDescent="0.25">
      <c r="A214">
        <f>'Front Page'!A215</f>
        <v>213</v>
      </c>
      <c r="B214" t="str">
        <f>'Front Page'!B215</f>
        <v xml:space="preserve">20.c.ps.141.547 </v>
      </c>
      <c r="C214" t="str">
        <f>'Front Page'!C215</f>
        <v xml:space="preserve">Seminole Cultural Arts Theatre, Inc. </v>
      </c>
      <c r="D214">
        <f>'Front Page'!E215</f>
        <v>19398</v>
      </c>
      <c r="E214" s="3">
        <f>ROUND('Front Page'!F215,4)</f>
        <v>92.143000000000001</v>
      </c>
      <c r="F214">
        <f t="shared" si="12"/>
        <v>17873.899139999998</v>
      </c>
      <c r="G214">
        <f>IF((D214*(E214/100)*Sheet2!$B$4)&gt;1000,(D214*(E214/100)*Sheet2!$B$4),1000)</f>
        <v>3389.6856989465605</v>
      </c>
      <c r="M214">
        <f>IF(G214=1000,1000,(F214*Sheet2!$B$8))</f>
        <v>3384.171191126451</v>
      </c>
      <c r="N214">
        <f t="shared" si="15"/>
        <v>3384.171191126451</v>
      </c>
      <c r="O214">
        <f t="shared" si="13"/>
        <v>3384.171191126451</v>
      </c>
      <c r="P214">
        <f t="shared" si="14"/>
        <v>3399</v>
      </c>
    </row>
    <row r="215" spans="1:16" x14ac:dyDescent="0.25">
      <c r="A215">
        <f>'Front Page'!A216</f>
        <v>214</v>
      </c>
      <c r="B215" t="str">
        <f>'Front Page'!B216</f>
        <v xml:space="preserve">20.c.ps.170.212 </v>
      </c>
      <c r="C215" t="str">
        <f>'Front Page'!C216</f>
        <v xml:space="preserve">Amelia Island Museum of History, Inc. </v>
      </c>
      <c r="D215">
        <f>'Front Page'!E216</f>
        <v>52600</v>
      </c>
      <c r="E215" s="3">
        <f>ROUND('Front Page'!F216,4)</f>
        <v>92.143000000000001</v>
      </c>
      <c r="F215">
        <f t="shared" si="12"/>
        <v>48467.218000000001</v>
      </c>
      <c r="G215">
        <f>IF((D215*(E215/100)*Sheet2!$B$4)&gt;1000,(D215*(E215/100)*Sheet2!$B$4),1000)</f>
        <v>9191.5387031956434</v>
      </c>
      <c r="M215">
        <f>IF(G215=1000,1000,(F215*Sheet2!$B$8))</f>
        <v>9176.5854548536627</v>
      </c>
      <c r="N215">
        <f t="shared" si="15"/>
        <v>9176.5854548536627</v>
      </c>
      <c r="O215">
        <f t="shared" si="13"/>
        <v>9176.5854548536627</v>
      </c>
      <c r="P215">
        <f t="shared" si="14"/>
        <v>9192</v>
      </c>
    </row>
    <row r="216" spans="1:16" x14ac:dyDescent="0.25">
      <c r="A216">
        <f>'Front Page'!A217</f>
        <v>215</v>
      </c>
      <c r="B216" t="str">
        <f>'Front Page'!B217</f>
        <v xml:space="preserve">20.c.ps.102.238 </v>
      </c>
      <c r="C216" t="str">
        <f>'Front Page'!C217</f>
        <v xml:space="preserve">South Florida Symphony Orchestra </v>
      </c>
      <c r="D216">
        <f>'Front Page'!E217</f>
        <v>150000</v>
      </c>
      <c r="E216" s="3">
        <f>ROUND('Front Page'!F217,4)</f>
        <v>92.125</v>
      </c>
      <c r="F216">
        <f t="shared" si="12"/>
        <v>138187.5</v>
      </c>
      <c r="G216">
        <f>IF((D216*(E216/100)*Sheet2!$B$4)&gt;1000,(D216*(E216/100)*Sheet2!$B$4),1000)</f>
        <v>26206.491871430459</v>
      </c>
      <c r="M216">
        <f>IF(G216=1000,1000,(F216*Sheet2!$B$8))</f>
        <v>26163.857858369145</v>
      </c>
      <c r="N216">
        <f t="shared" si="15"/>
        <v>26163.857858369145</v>
      </c>
      <c r="O216">
        <f t="shared" si="13"/>
        <v>26163.857858369145</v>
      </c>
      <c r="P216">
        <f t="shared" si="14"/>
        <v>26179</v>
      </c>
    </row>
    <row r="217" spans="1:16" x14ac:dyDescent="0.25">
      <c r="A217">
        <f>'Front Page'!A218</f>
        <v>216</v>
      </c>
      <c r="B217" t="str">
        <f>'Front Page'!B218</f>
        <v xml:space="preserve">20.c.ps.114.605 </v>
      </c>
      <c r="C217" t="str">
        <f>'Front Page'!C218</f>
        <v xml:space="preserve">Downtown Vision Alliance, Inc. </v>
      </c>
      <c r="D217">
        <f>'Front Page'!E218</f>
        <v>25000</v>
      </c>
      <c r="E217" s="3">
        <f>ROUND('Front Page'!F218,4)</f>
        <v>92</v>
      </c>
      <c r="F217">
        <f t="shared" si="12"/>
        <v>23000</v>
      </c>
      <c r="G217">
        <f>IF((D217*(E217/100)*Sheet2!$B$4)&gt;1000,(D217*(E217/100)*Sheet2!$B$4),1000)</f>
        <v>4361.822256303215</v>
      </c>
      <c r="M217">
        <f>IF(G217=1000,1000,(F217*Sheet2!$B$8))</f>
        <v>4354.7262288013771</v>
      </c>
      <c r="N217">
        <f t="shared" si="15"/>
        <v>4354.7262288013771</v>
      </c>
      <c r="O217">
        <f t="shared" si="13"/>
        <v>4354.7262288013771</v>
      </c>
      <c r="P217">
        <f t="shared" si="14"/>
        <v>4370</v>
      </c>
    </row>
    <row r="218" spans="1:16" x14ac:dyDescent="0.25">
      <c r="A218">
        <f>'Front Page'!A219</f>
        <v>217</v>
      </c>
      <c r="B218" t="str">
        <f>'Front Page'!B219</f>
        <v xml:space="preserve">20.c.ps.170.549 </v>
      </c>
      <c r="C218" t="str">
        <f>'Front Page'!C219</f>
        <v xml:space="preserve">South Florida Museum and Bishop Planetarium, Inc. </v>
      </c>
      <c r="D218">
        <f>'Front Page'!E219</f>
        <v>150000</v>
      </c>
      <c r="E218" s="3">
        <f>ROUND('Front Page'!F219,4)</f>
        <v>92</v>
      </c>
      <c r="F218">
        <f t="shared" si="12"/>
        <v>138000</v>
      </c>
      <c r="G218">
        <f>IF((D218*(E218/100)*Sheet2!$B$4)&gt;1000,(D218*(E218/100)*Sheet2!$B$4),1000)</f>
        <v>26170.933537819292</v>
      </c>
      <c r="M218">
        <f>IF(G218=1000,1000,(F218*Sheet2!$B$8))</f>
        <v>26128.357372808263</v>
      </c>
      <c r="N218">
        <f t="shared" si="15"/>
        <v>26128.357372808263</v>
      </c>
      <c r="O218">
        <f t="shared" si="13"/>
        <v>26128.357372808263</v>
      </c>
      <c r="P218">
        <f t="shared" si="14"/>
        <v>26143</v>
      </c>
    </row>
    <row r="219" spans="1:16" x14ac:dyDescent="0.25">
      <c r="A219">
        <f>'Front Page'!A220</f>
        <v>218</v>
      </c>
      <c r="B219" t="str">
        <f>'Front Page'!B220</f>
        <v xml:space="preserve">20.c.ps.170.106 </v>
      </c>
      <c r="C219" t="str">
        <f>'Front Page'!C220</f>
        <v xml:space="preserve">Orlando Museum of Art, Inc. </v>
      </c>
      <c r="D219">
        <f>'Front Page'!E220</f>
        <v>150000</v>
      </c>
      <c r="E219" s="3">
        <f>ROUND('Front Page'!F220,4)</f>
        <v>92</v>
      </c>
      <c r="F219">
        <f t="shared" si="12"/>
        <v>138000</v>
      </c>
      <c r="G219">
        <f>IF((D219*(E219/100)*Sheet2!$B$4)&gt;1000,(D219*(E219/100)*Sheet2!$B$4),1000)</f>
        <v>26170.933537819292</v>
      </c>
      <c r="M219">
        <f>IF(G219=1000,1000,(F219*Sheet2!$B$8))</f>
        <v>26128.357372808263</v>
      </c>
      <c r="N219">
        <f t="shared" si="15"/>
        <v>26128.357372808263</v>
      </c>
      <c r="O219">
        <f t="shared" si="13"/>
        <v>26128.357372808263</v>
      </c>
      <c r="P219">
        <f t="shared" si="14"/>
        <v>26143</v>
      </c>
    </row>
    <row r="220" spans="1:16" x14ac:dyDescent="0.25">
      <c r="A220">
        <f>'Front Page'!A221</f>
        <v>219</v>
      </c>
      <c r="B220" t="str">
        <f>'Front Page'!B221</f>
        <v xml:space="preserve">20.c.ps.142.740 </v>
      </c>
      <c r="C220" t="str">
        <f>'Front Page'!C221</f>
        <v xml:space="preserve">The Hippodrome State Theatre, Inc. </v>
      </c>
      <c r="D220">
        <f>'Front Page'!E221</f>
        <v>150000</v>
      </c>
      <c r="E220" s="3">
        <f>ROUND('Front Page'!F221,4)</f>
        <v>92</v>
      </c>
      <c r="F220">
        <f t="shared" si="12"/>
        <v>138000</v>
      </c>
      <c r="G220">
        <f>IF((D220*(E220/100)*Sheet2!$B$4)&gt;1000,(D220*(E220/100)*Sheet2!$B$4),1000)</f>
        <v>26170.933537819292</v>
      </c>
      <c r="M220">
        <f>IF(G220=1000,1000,(F220*Sheet2!$B$8))</f>
        <v>26128.357372808263</v>
      </c>
      <c r="N220">
        <f t="shared" si="15"/>
        <v>26128.357372808263</v>
      </c>
      <c r="O220">
        <f t="shared" si="13"/>
        <v>26128.357372808263</v>
      </c>
      <c r="P220">
        <f t="shared" si="14"/>
        <v>26143</v>
      </c>
    </row>
    <row r="221" spans="1:16" x14ac:dyDescent="0.25">
      <c r="A221">
        <f>'Front Page'!A222</f>
        <v>220</v>
      </c>
      <c r="B221" t="str">
        <f>'Front Page'!B222</f>
        <v xml:space="preserve">20.c.ps.180.608 </v>
      </c>
      <c r="C221" t="str">
        <f>'Front Page'!C222</f>
        <v xml:space="preserve">Polk Theatre, Inc. </v>
      </c>
      <c r="D221">
        <f>'Front Page'!E222</f>
        <v>102816</v>
      </c>
      <c r="E221" s="3">
        <f>ROUND('Front Page'!F222,4)</f>
        <v>92</v>
      </c>
      <c r="F221">
        <f t="shared" si="12"/>
        <v>94590.720000000001</v>
      </c>
      <c r="G221">
        <f>IF((D221*(E221/100)*Sheet2!$B$4)&gt;1000,(D221*(E221/100)*Sheet2!$B$4),1000)</f>
        <v>17938.604684162856</v>
      </c>
      <c r="M221">
        <f>IF(G221=1000,1000,(F221*Sheet2!$B$8))</f>
        <v>17909.421277617697</v>
      </c>
      <c r="N221">
        <f t="shared" si="15"/>
        <v>17909.421277617697</v>
      </c>
      <c r="O221">
        <f t="shared" si="13"/>
        <v>17909.421277617697</v>
      </c>
      <c r="P221">
        <f t="shared" si="14"/>
        <v>17924</v>
      </c>
    </row>
    <row r="222" spans="1:16" x14ac:dyDescent="0.25">
      <c r="A222">
        <f>'Front Page'!A223</f>
        <v>221</v>
      </c>
      <c r="B222" t="str">
        <f>'Front Page'!B223</f>
        <v xml:space="preserve">20.c.ps.102.454 </v>
      </c>
      <c r="C222" t="str">
        <f>'Front Page'!C223</f>
        <v xml:space="preserve">Atlantic Classical Orchestra, Inc. </v>
      </c>
      <c r="D222">
        <f>'Front Page'!E223</f>
        <v>90000</v>
      </c>
      <c r="E222" s="3">
        <f>ROUND('Front Page'!F223,4)</f>
        <v>92</v>
      </c>
      <c r="F222">
        <f t="shared" si="12"/>
        <v>82800</v>
      </c>
      <c r="G222">
        <f>IF((D222*(E222/100)*Sheet2!$B$4)&gt;1000,(D222*(E222/100)*Sheet2!$B$4),1000)</f>
        <v>15702.560122691575</v>
      </c>
      <c r="M222">
        <f>IF(G222=1000,1000,(F222*Sheet2!$B$8))</f>
        <v>15677.014423684959</v>
      </c>
      <c r="N222">
        <f t="shared" si="15"/>
        <v>15677.014423684959</v>
      </c>
      <c r="O222">
        <f t="shared" si="13"/>
        <v>15677.014423684959</v>
      </c>
      <c r="P222">
        <f t="shared" si="14"/>
        <v>15692</v>
      </c>
    </row>
    <row r="223" spans="1:16" x14ac:dyDescent="0.25">
      <c r="A223">
        <f>'Front Page'!A224</f>
        <v>222</v>
      </c>
      <c r="B223" t="str">
        <f>'Front Page'!B224</f>
        <v xml:space="preserve">20.c.ps.114.502 </v>
      </c>
      <c r="C223" t="str">
        <f>'Front Page'!C224</f>
        <v xml:space="preserve">Tallahassee Community College </v>
      </c>
      <c r="D223">
        <f>'Front Page'!E224</f>
        <v>125000</v>
      </c>
      <c r="E223" s="3">
        <f>ROUND('Front Page'!F224,4)</f>
        <v>92</v>
      </c>
      <c r="F223">
        <f t="shared" si="12"/>
        <v>115000</v>
      </c>
      <c r="G223">
        <f>IF((D223*(E223/100)*Sheet2!$B$4)&gt;1000,(D223*(E223/100)*Sheet2!$B$4),1000)</f>
        <v>21809.111281516078</v>
      </c>
      <c r="M223">
        <f>IF(G223=1000,1000,(F223*Sheet2!$B$8))</f>
        <v>21773.631144006886</v>
      </c>
      <c r="N223">
        <f t="shared" si="15"/>
        <v>21773.631144006886</v>
      </c>
      <c r="O223">
        <f t="shared" si="13"/>
        <v>21773.631144006886</v>
      </c>
      <c r="P223">
        <f t="shared" si="14"/>
        <v>21789</v>
      </c>
    </row>
    <row r="224" spans="1:16" x14ac:dyDescent="0.25">
      <c r="A224">
        <f>'Front Page'!A225</f>
        <v>223</v>
      </c>
      <c r="B224" t="str">
        <f>'Front Page'!B225</f>
        <v xml:space="preserve">20.c.ps.114.436 </v>
      </c>
      <c r="C224" t="str">
        <f>'Front Page'!C225</f>
        <v xml:space="preserve">Goodwood Museum and Gardens, Inc. </v>
      </c>
      <c r="D224">
        <f>'Front Page'!E225</f>
        <v>87500</v>
      </c>
      <c r="E224" s="3">
        <f>ROUND('Front Page'!F225,4)</f>
        <v>92</v>
      </c>
      <c r="F224">
        <f t="shared" si="12"/>
        <v>80500</v>
      </c>
      <c r="G224">
        <f>IF((D224*(E224/100)*Sheet2!$B$4)&gt;1000,(D224*(E224/100)*Sheet2!$B$4),1000)</f>
        <v>15266.377897061255</v>
      </c>
      <c r="M224">
        <f>IF(G224=1000,1000,(F224*Sheet2!$B$8))</f>
        <v>15241.54180080482</v>
      </c>
      <c r="N224">
        <f t="shared" si="15"/>
        <v>15241.54180080482</v>
      </c>
      <c r="O224">
        <f t="shared" si="13"/>
        <v>15241.54180080482</v>
      </c>
      <c r="P224">
        <f t="shared" si="14"/>
        <v>15256</v>
      </c>
    </row>
    <row r="225" spans="1:16" x14ac:dyDescent="0.25">
      <c r="A225">
        <f>'Front Page'!A226</f>
        <v>224</v>
      </c>
      <c r="B225" t="str">
        <f>'Front Page'!B226</f>
        <v xml:space="preserve">20.c.ps.114.262 </v>
      </c>
      <c r="C225" t="str">
        <f>'Front Page'!C226</f>
        <v xml:space="preserve">AmplifyMe, Inc </v>
      </c>
      <c r="D225">
        <f>'Front Page'!E226</f>
        <v>25000</v>
      </c>
      <c r="E225" s="3">
        <f>ROUND('Front Page'!F226,4)</f>
        <v>92</v>
      </c>
      <c r="F225">
        <f t="shared" si="12"/>
        <v>23000</v>
      </c>
      <c r="G225">
        <f>IF((D225*(E225/100)*Sheet2!$B$4)&gt;1000,(D225*(E225/100)*Sheet2!$B$4),1000)</f>
        <v>4361.822256303215</v>
      </c>
      <c r="M225">
        <f>IF(G225=1000,1000,(F225*Sheet2!$B$8))</f>
        <v>4354.7262288013771</v>
      </c>
      <c r="N225">
        <f t="shared" si="15"/>
        <v>4354.7262288013771</v>
      </c>
      <c r="O225">
        <f t="shared" si="13"/>
        <v>4354.7262288013771</v>
      </c>
      <c r="P225">
        <f t="shared" si="14"/>
        <v>4370</v>
      </c>
    </row>
    <row r="226" spans="1:16" x14ac:dyDescent="0.25">
      <c r="A226">
        <f>'Front Page'!A227</f>
        <v>225</v>
      </c>
      <c r="B226" t="str">
        <f>'Front Page'!B227</f>
        <v xml:space="preserve">20.c.ps.142.036 </v>
      </c>
      <c r="C226" t="str">
        <f>'Front Page'!C227</f>
        <v xml:space="preserve">El Ingenio, Inc. </v>
      </c>
      <c r="D226">
        <f>'Front Page'!E227</f>
        <v>5000</v>
      </c>
      <c r="E226" s="3">
        <f>ROUND('Front Page'!F227,4)</f>
        <v>92</v>
      </c>
      <c r="F226">
        <f t="shared" si="12"/>
        <v>4600</v>
      </c>
      <c r="G226">
        <f>IF((D226*(E226/100)*Sheet2!$B$4)&gt;1000,(D226*(E226/100)*Sheet2!$B$4),1000)</f>
        <v>1000</v>
      </c>
      <c r="M226">
        <f>IF(G226=1000,1000,(F226*Sheet2!$B$8))</f>
        <v>1000</v>
      </c>
      <c r="N226">
        <f t="shared" si="15"/>
        <v>1000</v>
      </c>
      <c r="O226">
        <f t="shared" si="13"/>
        <v>1000</v>
      </c>
      <c r="P226">
        <f t="shared" si="14"/>
        <v>1000</v>
      </c>
    </row>
    <row r="227" spans="1:16" x14ac:dyDescent="0.25">
      <c r="A227">
        <f>'Front Page'!A228</f>
        <v>226</v>
      </c>
      <c r="B227" t="str">
        <f>'Front Page'!B228</f>
        <v xml:space="preserve">20.c.ps.141.215 </v>
      </c>
      <c r="C227" t="str">
        <f>'Front Page'!C228</f>
        <v xml:space="preserve">Young Actors Theatre of Tallahassee, Inc. </v>
      </c>
      <c r="D227">
        <f>'Front Page'!E228</f>
        <v>90000</v>
      </c>
      <c r="E227" s="3">
        <f>ROUND('Front Page'!F228,4)</f>
        <v>92</v>
      </c>
      <c r="F227">
        <f t="shared" si="12"/>
        <v>82800</v>
      </c>
      <c r="G227">
        <f>IF((D227*(E227/100)*Sheet2!$B$4)&gt;1000,(D227*(E227/100)*Sheet2!$B$4),1000)</f>
        <v>15702.560122691575</v>
      </c>
      <c r="M227">
        <f>IF(G227=1000,1000,(F227*Sheet2!$B$8))</f>
        <v>15677.014423684959</v>
      </c>
      <c r="N227">
        <f t="shared" si="15"/>
        <v>15677.014423684959</v>
      </c>
      <c r="O227">
        <f t="shared" si="13"/>
        <v>15677.014423684959</v>
      </c>
      <c r="P227">
        <f t="shared" si="14"/>
        <v>15692</v>
      </c>
    </row>
    <row r="228" spans="1:16" x14ac:dyDescent="0.25">
      <c r="A228">
        <f>'Front Page'!A229</f>
        <v>227</v>
      </c>
      <c r="B228" t="str">
        <f>'Front Page'!B229</f>
        <v xml:space="preserve">20.c.ps.114.682 </v>
      </c>
      <c r="C228" t="str">
        <f>'Front Page'!C229</f>
        <v xml:space="preserve">Marjory Stoneman Douglas Biscayne Nature Center, Inc. </v>
      </c>
      <c r="D228">
        <f>'Front Page'!E229</f>
        <v>25000</v>
      </c>
      <c r="E228" s="3">
        <f>ROUND('Front Page'!F229,4)</f>
        <v>92</v>
      </c>
      <c r="F228">
        <f t="shared" si="12"/>
        <v>23000</v>
      </c>
      <c r="G228">
        <f>IF((D228*(E228/100)*Sheet2!$B$4)&gt;1000,(D228*(E228/100)*Sheet2!$B$4),1000)</f>
        <v>4361.822256303215</v>
      </c>
      <c r="M228">
        <f>IF(G228=1000,1000,(F228*Sheet2!$B$8))</f>
        <v>4354.7262288013771</v>
      </c>
      <c r="N228">
        <f t="shared" si="15"/>
        <v>4354.7262288013771</v>
      </c>
      <c r="O228">
        <f t="shared" si="13"/>
        <v>4354.7262288013771</v>
      </c>
      <c r="P228">
        <f t="shared" si="14"/>
        <v>4370</v>
      </c>
    </row>
    <row r="229" spans="1:16" x14ac:dyDescent="0.25">
      <c r="A229">
        <f>'Front Page'!A230</f>
        <v>228</v>
      </c>
      <c r="B229" t="str">
        <f>'Front Page'!B230</f>
        <v xml:space="preserve">20.c.ps.105.042 </v>
      </c>
      <c r="C229" t="str">
        <f>'Front Page'!C230</f>
        <v xml:space="preserve">Coexistence, Inc. </v>
      </c>
      <c r="D229">
        <f>'Front Page'!E230</f>
        <v>90000</v>
      </c>
      <c r="E229" s="3">
        <f>ROUND('Front Page'!F230,4)</f>
        <v>92</v>
      </c>
      <c r="F229">
        <f t="shared" si="12"/>
        <v>82800</v>
      </c>
      <c r="G229">
        <f>IF((D229*(E229/100)*Sheet2!$B$4)&gt;1000,(D229*(E229/100)*Sheet2!$B$4),1000)</f>
        <v>15702.560122691575</v>
      </c>
      <c r="M229">
        <f>IF(G229=1000,1000,(F229*Sheet2!$B$8))</f>
        <v>15677.014423684959</v>
      </c>
      <c r="N229">
        <f t="shared" si="15"/>
        <v>15677.014423684959</v>
      </c>
      <c r="O229">
        <f t="shared" si="13"/>
        <v>15677.014423684959</v>
      </c>
      <c r="P229">
        <f t="shared" si="14"/>
        <v>15692</v>
      </c>
    </row>
    <row r="230" spans="1:16" x14ac:dyDescent="0.25">
      <c r="A230">
        <f>'Front Page'!A231</f>
        <v>229</v>
      </c>
      <c r="B230" t="str">
        <f>'Front Page'!B231</f>
        <v xml:space="preserve">20.c.ps.180.460 </v>
      </c>
      <c r="C230" t="str">
        <f>'Front Page'!C231</f>
        <v xml:space="preserve">Clearwater Jazz Holiday Foundation, Inc. </v>
      </c>
      <c r="D230">
        <f>'Front Page'!E231</f>
        <v>150000</v>
      </c>
      <c r="E230" s="3">
        <f>ROUND('Front Page'!F231,4)</f>
        <v>91.856999999999999</v>
      </c>
      <c r="F230">
        <f t="shared" si="12"/>
        <v>137785.5</v>
      </c>
      <c r="G230">
        <f>IF((D230*(E230/100)*Sheet2!$B$4)&gt;1000,(D230*(E230/100)*Sheet2!$B$4),1000)</f>
        <v>26130.254804168118</v>
      </c>
      <c r="M230">
        <f>IF(G230=1000,1000,(F230*Sheet2!$B$8))</f>
        <v>26087.744817326617</v>
      </c>
      <c r="N230">
        <f t="shared" si="15"/>
        <v>26087.744817326617</v>
      </c>
      <c r="O230">
        <f t="shared" si="13"/>
        <v>26087.744817326617</v>
      </c>
      <c r="P230">
        <f t="shared" si="14"/>
        <v>26103</v>
      </c>
    </row>
    <row r="231" spans="1:16" x14ac:dyDescent="0.25">
      <c r="A231">
        <f>'Front Page'!A232</f>
        <v>230</v>
      </c>
      <c r="B231" t="str">
        <f>'Front Page'!B232</f>
        <v xml:space="preserve">20.c.ps.170.387 </v>
      </c>
      <c r="C231" t="str">
        <f>'Front Page'!C232</f>
        <v xml:space="preserve">Flagler Beach Historical Museum, Inc. </v>
      </c>
      <c r="D231">
        <f>'Front Page'!E232</f>
        <v>18420</v>
      </c>
      <c r="E231" s="3">
        <f>ROUND('Front Page'!F232,4)</f>
        <v>91.832999999999998</v>
      </c>
      <c r="F231">
        <f t="shared" si="12"/>
        <v>16915.638599999998</v>
      </c>
      <c r="G231">
        <f>IF((D231*(E231/100)*Sheet2!$B$4)&gt;1000,(D231*(E231/100)*Sheet2!$B$4),1000)</f>
        <v>3207.9569097852936</v>
      </c>
      <c r="M231">
        <f>IF(G231=1000,1000,(F231*Sheet2!$B$8))</f>
        <v>3202.738047319348</v>
      </c>
      <c r="N231">
        <f t="shared" si="15"/>
        <v>3202.738047319348</v>
      </c>
      <c r="O231">
        <f t="shared" si="13"/>
        <v>3202.738047319348</v>
      </c>
      <c r="P231">
        <f t="shared" si="14"/>
        <v>3218</v>
      </c>
    </row>
    <row r="232" spans="1:16" x14ac:dyDescent="0.25">
      <c r="A232">
        <f>'Front Page'!A233</f>
        <v>231</v>
      </c>
      <c r="B232" t="str">
        <f>'Front Page'!B233</f>
        <v xml:space="preserve">20.c.ps.500.546 </v>
      </c>
      <c r="C232" t="str">
        <f>'Front Page'!C233</f>
        <v xml:space="preserve">Broward County </v>
      </c>
      <c r="D232">
        <f>'Front Page'!E233</f>
        <v>150000</v>
      </c>
      <c r="E232" s="3">
        <f>ROUND('Front Page'!F233,4)</f>
        <v>91.832999999999998</v>
      </c>
      <c r="F232">
        <f t="shared" si="12"/>
        <v>137749.5</v>
      </c>
      <c r="G232">
        <f>IF((D232*(E232/100)*Sheet2!$B$4)&gt;1000,(D232*(E232/100)*Sheet2!$B$4),1000)</f>
        <v>26123.427604114771</v>
      </c>
      <c r="M232">
        <f>IF(G232=1000,1000,(F232*Sheet2!$B$8))</f>
        <v>26080.928724098929</v>
      </c>
      <c r="N232">
        <f t="shared" si="15"/>
        <v>26080.928724098929</v>
      </c>
      <c r="O232">
        <f t="shared" si="13"/>
        <v>26080.928724098929</v>
      </c>
      <c r="P232">
        <f t="shared" si="14"/>
        <v>26096</v>
      </c>
    </row>
    <row r="233" spans="1:16" x14ac:dyDescent="0.25">
      <c r="A233">
        <f>'Front Page'!A234</f>
        <v>232</v>
      </c>
      <c r="B233" t="str">
        <f>'Front Page'!B234</f>
        <v xml:space="preserve">20.c.ps.105.709 </v>
      </c>
      <c r="C233" t="str">
        <f>'Front Page'!C234</f>
        <v xml:space="preserve">Art Center Sarasota Inc. </v>
      </c>
      <c r="D233">
        <f>'Front Page'!E234</f>
        <v>60900</v>
      </c>
      <c r="E233" s="3">
        <f>ROUND('Front Page'!F234,4)</f>
        <v>91.8</v>
      </c>
      <c r="F233">
        <f t="shared" si="12"/>
        <v>55906.2</v>
      </c>
      <c r="G233">
        <f>IF((D233*(E233/100)*Sheet2!$B$4)&gt;1000,(D233*(E233/100)*Sheet2!$B$4),1000)</f>
        <v>10602.300322840818</v>
      </c>
      <c r="M233">
        <f>IF(G233=1000,1000,(F233*Sheet2!$B$8))</f>
        <v>10585.051977939806</v>
      </c>
      <c r="N233">
        <f t="shared" si="15"/>
        <v>10585.051977939806</v>
      </c>
      <c r="O233">
        <f t="shared" si="13"/>
        <v>10585.051977939806</v>
      </c>
      <c r="P233">
        <f t="shared" si="14"/>
        <v>10600</v>
      </c>
    </row>
    <row r="234" spans="1:16" x14ac:dyDescent="0.25">
      <c r="A234">
        <f>'Front Page'!A235</f>
        <v>233</v>
      </c>
      <c r="B234" t="str">
        <f>'Front Page'!B235</f>
        <v xml:space="preserve">20.c.ps.102.548 </v>
      </c>
      <c r="C234" t="str">
        <f>'Front Page'!C235</f>
        <v xml:space="preserve">Sarasota Opera Association, Inc. </v>
      </c>
      <c r="D234">
        <f>'Front Page'!E235</f>
        <v>150000</v>
      </c>
      <c r="E234" s="3">
        <f>ROUND('Front Page'!F235,4)</f>
        <v>91.75</v>
      </c>
      <c r="F234">
        <f t="shared" si="12"/>
        <v>137625</v>
      </c>
      <c r="G234">
        <f>IF((D234*(E234/100)*Sheet2!$B$4)&gt;1000,(D234*(E234/100)*Sheet2!$B$4),1000)</f>
        <v>26099.816870596958</v>
      </c>
      <c r="M234">
        <f>IF(G234=1000,1000,(F234*Sheet2!$B$8))</f>
        <v>26057.356401686502</v>
      </c>
      <c r="N234">
        <f t="shared" si="15"/>
        <v>26057.356401686502</v>
      </c>
      <c r="O234">
        <f t="shared" si="13"/>
        <v>26057.356401686502</v>
      </c>
      <c r="P234">
        <f t="shared" si="14"/>
        <v>26072</v>
      </c>
    </row>
    <row r="235" spans="1:16" x14ac:dyDescent="0.25">
      <c r="A235">
        <f>'Front Page'!A236</f>
        <v>234</v>
      </c>
      <c r="B235" t="str">
        <f>'Front Page'!B236</f>
        <v xml:space="preserve">20.c.ps.170.323 </v>
      </c>
      <c r="C235" t="str">
        <f>'Front Page'!C236</f>
        <v xml:space="preserve">Historical Association of Southern Florida, Inc. </v>
      </c>
      <c r="D235">
        <f>'Front Page'!E236</f>
        <v>150000</v>
      </c>
      <c r="E235" s="3">
        <f>ROUND('Front Page'!F236,4)</f>
        <v>91.713999999999999</v>
      </c>
      <c r="F235">
        <f t="shared" si="12"/>
        <v>137571</v>
      </c>
      <c r="G235">
        <f>IF((D235*(E235/100)*Sheet2!$B$4)&gt;1000,(D235*(E235/100)*Sheet2!$B$4),1000)</f>
        <v>26089.576070516941</v>
      </c>
      <c r="M235">
        <f>IF(G235=1000,1000,(F235*Sheet2!$B$8))</f>
        <v>26047.13226184497</v>
      </c>
      <c r="N235">
        <f t="shared" si="15"/>
        <v>26047.13226184497</v>
      </c>
      <c r="O235">
        <f t="shared" si="13"/>
        <v>26047.13226184497</v>
      </c>
      <c r="P235">
        <f t="shared" si="14"/>
        <v>26062</v>
      </c>
    </row>
    <row r="236" spans="1:16" x14ac:dyDescent="0.25">
      <c r="A236">
        <f>'Front Page'!A237</f>
        <v>235</v>
      </c>
      <c r="B236" t="str">
        <f>'Front Page'!B237</f>
        <v xml:space="preserve">20.c.ps.102.489 </v>
      </c>
      <c r="C236" t="str">
        <f>'Front Page'!C237</f>
        <v xml:space="preserve">Nu Deco Ensemble, Inc. </v>
      </c>
      <c r="D236">
        <f>'Front Page'!E237</f>
        <v>25000</v>
      </c>
      <c r="E236" s="3">
        <f>ROUND('Front Page'!F237,4)</f>
        <v>91.713999999999999</v>
      </c>
      <c r="F236">
        <f t="shared" si="12"/>
        <v>22928.5</v>
      </c>
      <c r="G236">
        <f>IF((D236*(E236/100)*Sheet2!$B$4)&gt;1000,(D236*(E236/100)*Sheet2!$B$4),1000)</f>
        <v>4348.2626784194899</v>
      </c>
      <c r="M236">
        <f>IF(G236=1000,1000,(F236*Sheet2!$B$8))</f>
        <v>4341.1887103074951</v>
      </c>
      <c r="N236">
        <f t="shared" si="15"/>
        <v>4341.1887103074951</v>
      </c>
      <c r="O236">
        <f t="shared" si="13"/>
        <v>4341.1887103074951</v>
      </c>
      <c r="P236">
        <f t="shared" si="14"/>
        <v>4356</v>
      </c>
    </row>
    <row r="237" spans="1:16" x14ac:dyDescent="0.25">
      <c r="A237">
        <f>'Front Page'!A238</f>
        <v>236</v>
      </c>
      <c r="B237" t="str">
        <f>'Front Page'!B238</f>
        <v xml:space="preserve">20.c.ps.170.735 </v>
      </c>
      <c r="C237" t="str">
        <f>'Front Page'!C238</f>
        <v xml:space="preserve">Museum of Contemporary Art Jacksonville, Inc. </v>
      </c>
      <c r="D237">
        <f>'Front Page'!E238</f>
        <v>150000</v>
      </c>
      <c r="E237" s="3">
        <f>ROUND('Front Page'!F238,4)</f>
        <v>91.667000000000002</v>
      </c>
      <c r="F237">
        <f t="shared" si="12"/>
        <v>137500.5</v>
      </c>
      <c r="G237">
        <f>IF((D237*(E237/100)*Sheet2!$B$4)&gt;1000,(D237*(E237/100)*Sheet2!$B$4),1000)</f>
        <v>26076.206137079142</v>
      </c>
      <c r="M237">
        <f>IF(G237=1000,1000,(F237*Sheet2!$B$8))</f>
        <v>26033.784079274079</v>
      </c>
      <c r="N237">
        <f t="shared" si="15"/>
        <v>26033.784079274079</v>
      </c>
      <c r="O237">
        <f t="shared" si="13"/>
        <v>26033.784079274079</v>
      </c>
      <c r="P237">
        <f t="shared" si="14"/>
        <v>26049</v>
      </c>
    </row>
    <row r="238" spans="1:16" x14ac:dyDescent="0.25">
      <c r="A238">
        <f>'Front Page'!A239</f>
        <v>237</v>
      </c>
      <c r="B238" t="str">
        <f>'Front Page'!B239</f>
        <v xml:space="preserve">20.c.ps.105.705 </v>
      </c>
      <c r="C238" t="str">
        <f>'Front Page'!C239</f>
        <v xml:space="preserve">The Dunedin Fine Art Center, Inc. </v>
      </c>
      <c r="D238">
        <f>'Front Page'!E239</f>
        <v>150000</v>
      </c>
      <c r="E238" s="3">
        <f>ROUND('Front Page'!F239,4)</f>
        <v>91.6</v>
      </c>
      <c r="F238">
        <f t="shared" si="12"/>
        <v>137400</v>
      </c>
      <c r="G238">
        <f>IF((D238*(E238/100)*Sheet2!$B$4)&gt;1000,(D238*(E238/100)*Sheet2!$B$4),1000)</f>
        <v>26057.146870263558</v>
      </c>
      <c r="M238">
        <f>IF(G238=1000,1000,(F238*Sheet2!$B$8))</f>
        <v>26014.755819013444</v>
      </c>
      <c r="N238">
        <f t="shared" si="15"/>
        <v>26014.755819013444</v>
      </c>
      <c r="O238">
        <f t="shared" si="13"/>
        <v>26014.755819013444</v>
      </c>
      <c r="P238">
        <f t="shared" si="14"/>
        <v>26030</v>
      </c>
    </row>
    <row r="239" spans="1:16" x14ac:dyDescent="0.25">
      <c r="A239">
        <f>'Front Page'!A240</f>
        <v>238</v>
      </c>
      <c r="B239" t="str">
        <f>'Front Page'!B240</f>
        <v xml:space="preserve">20.c.ps.114.093 </v>
      </c>
      <c r="C239" t="str">
        <f>'Front Page'!C240</f>
        <v xml:space="preserve">The Studio @ 620, Inc. </v>
      </c>
      <c r="D239">
        <f>'Front Page'!E240</f>
        <v>35510</v>
      </c>
      <c r="E239" s="3">
        <f>ROUND('Front Page'!F240,4)</f>
        <v>91.570999999999998</v>
      </c>
      <c r="F239">
        <f t="shared" si="12"/>
        <v>32516.862100000002</v>
      </c>
      <c r="G239">
        <f>IF((D239*(E239/100)*Sheet2!$B$4)&gt;1000,(D239*(E239/100)*Sheet2!$B$4),1000)</f>
        <v>6166.6422962140223</v>
      </c>
      <c r="M239">
        <f>IF(G239=1000,1000,(F239*Sheet2!$B$8))</f>
        <v>6156.6100984864106</v>
      </c>
      <c r="N239">
        <f t="shared" si="15"/>
        <v>6156.6100984864106</v>
      </c>
      <c r="O239">
        <f t="shared" si="13"/>
        <v>6156.6100984864106</v>
      </c>
      <c r="P239">
        <f t="shared" si="14"/>
        <v>6172</v>
      </c>
    </row>
    <row r="240" spans="1:16" x14ac:dyDescent="0.25">
      <c r="A240">
        <f>'Front Page'!A241</f>
        <v>239</v>
      </c>
      <c r="B240" t="str">
        <f>'Front Page'!B241</f>
        <v xml:space="preserve">20.c.ps.170.706 </v>
      </c>
      <c r="C240" t="str">
        <f>'Front Page'!C241</f>
        <v xml:space="preserve">Polk Museum of Art, Inc. </v>
      </c>
      <c r="D240">
        <f>'Front Page'!E241</f>
        <v>150000</v>
      </c>
      <c r="E240" s="3">
        <f>ROUND('Front Page'!F241,4)</f>
        <v>91.570999999999998</v>
      </c>
      <c r="F240">
        <f t="shared" si="12"/>
        <v>137356.5</v>
      </c>
      <c r="G240">
        <f>IF((D240*(E240/100)*Sheet2!$B$4)&gt;1000,(D240*(E240/100)*Sheet2!$B$4),1000)</f>
        <v>26048.897336865764</v>
      </c>
      <c r="M240">
        <f>IF(G240=1000,1000,(F240*Sheet2!$B$8))</f>
        <v>26006.51970636332</v>
      </c>
      <c r="N240">
        <f t="shared" si="15"/>
        <v>26006.51970636332</v>
      </c>
      <c r="O240">
        <f t="shared" si="13"/>
        <v>26006.51970636332</v>
      </c>
      <c r="P240">
        <f t="shared" si="14"/>
        <v>26021</v>
      </c>
    </row>
    <row r="241" spans="1:16" x14ac:dyDescent="0.25">
      <c r="A241">
        <f>'Front Page'!A242</f>
        <v>240</v>
      </c>
      <c r="B241" t="str">
        <f>'Front Page'!B242</f>
        <v xml:space="preserve">20.c.ps.170.750 </v>
      </c>
      <c r="C241" t="str">
        <f>'Front Page'!C242</f>
        <v xml:space="preserve">U.S. Space Walk of Fame Museum, Inc. </v>
      </c>
      <c r="D241">
        <f>'Front Page'!E242</f>
        <v>25000</v>
      </c>
      <c r="E241" s="3">
        <f>ROUND('Front Page'!F242,4)</f>
        <v>91.5</v>
      </c>
      <c r="F241">
        <f t="shared" si="12"/>
        <v>22875</v>
      </c>
      <c r="G241">
        <f>IF((D241*(E241/100)*Sheet2!$B$4)&gt;1000,(D241*(E241/100)*Sheet2!$B$4),1000)</f>
        <v>4338.1167005624375</v>
      </c>
      <c r="M241">
        <f>IF(G241=1000,1000,(F241*Sheet2!$B$8))</f>
        <v>4331.0592384274569</v>
      </c>
      <c r="N241">
        <f t="shared" si="15"/>
        <v>4331.0592384274569</v>
      </c>
      <c r="O241">
        <f t="shared" si="13"/>
        <v>4331.0592384274569</v>
      </c>
      <c r="P241">
        <f t="shared" si="14"/>
        <v>4346</v>
      </c>
    </row>
    <row r="242" spans="1:16" x14ac:dyDescent="0.25">
      <c r="A242">
        <f>'Front Page'!A243</f>
        <v>241</v>
      </c>
      <c r="B242" t="str">
        <f>'Front Page'!B243</f>
        <v xml:space="preserve">20.c.ps.600.276 </v>
      </c>
      <c r="C242" t="str">
        <f>'Front Page'!C243</f>
        <v xml:space="preserve">The Florida Music Education Association, Inc. </v>
      </c>
      <c r="D242">
        <f>'Front Page'!E243</f>
        <v>150000</v>
      </c>
      <c r="E242" s="3">
        <f>ROUND('Front Page'!F243,4)</f>
        <v>91.5</v>
      </c>
      <c r="F242">
        <f t="shared" si="12"/>
        <v>137250</v>
      </c>
      <c r="G242">
        <f>IF((D242*(E242/100)*Sheet2!$B$4)&gt;1000,(D242*(E242/100)*Sheet2!$B$4),1000)</f>
        <v>26028.700203374621</v>
      </c>
      <c r="M242">
        <f>IF(G242=1000,1000,(F242*Sheet2!$B$8))</f>
        <v>25986.355430564741</v>
      </c>
      <c r="N242">
        <f t="shared" si="15"/>
        <v>25986.355430564741</v>
      </c>
      <c r="O242">
        <f t="shared" si="13"/>
        <v>25986.355430564741</v>
      </c>
      <c r="P242">
        <f t="shared" si="14"/>
        <v>26001</v>
      </c>
    </row>
    <row r="243" spans="1:16" x14ac:dyDescent="0.25">
      <c r="A243">
        <f>'Front Page'!A244</f>
        <v>242</v>
      </c>
      <c r="B243" t="str">
        <f>'Front Page'!B244</f>
        <v xml:space="preserve">20.c.ps.109.225 </v>
      </c>
      <c r="C243" t="str">
        <f>'Front Page'!C244</f>
        <v xml:space="preserve">The Broward County Film Society, Inc. </v>
      </c>
      <c r="D243">
        <f>'Front Page'!E244</f>
        <v>109349</v>
      </c>
      <c r="E243" s="3">
        <f>ROUND('Front Page'!F244,4)</f>
        <v>91.5</v>
      </c>
      <c r="F243">
        <f t="shared" si="12"/>
        <v>100054.33500000001</v>
      </c>
      <c r="G243">
        <f>IF((D243*(E243/100)*Sheet2!$B$4)&gt;1000,(D243*(E243/100)*Sheet2!$B$4),1000)</f>
        <v>18974.748923592077</v>
      </c>
      <c r="M243">
        <f>IF(G243=1000,1000,(F243*Sheet2!$B$8))</f>
        <v>18943.879866512161</v>
      </c>
      <c r="N243">
        <f t="shared" si="15"/>
        <v>18943.879866512161</v>
      </c>
      <c r="O243">
        <f t="shared" si="13"/>
        <v>18943.879866512161</v>
      </c>
      <c r="P243">
        <f t="shared" si="14"/>
        <v>18959</v>
      </c>
    </row>
    <row r="244" spans="1:16" x14ac:dyDescent="0.25">
      <c r="A244">
        <f>'Front Page'!A245</f>
        <v>243</v>
      </c>
      <c r="B244" t="str">
        <f>'Front Page'!B245</f>
        <v xml:space="preserve">20.c.ps.170.341 </v>
      </c>
      <c r="C244" t="str">
        <f>'Front Page'!C245</f>
        <v xml:space="preserve">Miami Dade College </v>
      </c>
      <c r="D244">
        <f>'Front Page'!E245</f>
        <v>90000</v>
      </c>
      <c r="E244" s="3">
        <f>ROUND('Front Page'!F245,4)</f>
        <v>91.429000000000002</v>
      </c>
      <c r="F244">
        <f t="shared" si="12"/>
        <v>82286.100000000006</v>
      </c>
      <c r="G244">
        <f>IF((D244*(E244/100)*Sheet2!$B$4)&gt;1000,(D244*(E244/100)*Sheet2!$B$4),1000)</f>
        <v>15605.101841930089</v>
      </c>
      <c r="M244">
        <f>IF(G244=1000,1000,(F244*Sheet2!$B$8))</f>
        <v>15579.714692859698</v>
      </c>
      <c r="N244">
        <f t="shared" si="15"/>
        <v>15579.714692859698</v>
      </c>
      <c r="O244">
        <f t="shared" si="13"/>
        <v>15579.714692859698</v>
      </c>
      <c r="P244">
        <f t="shared" si="14"/>
        <v>15595</v>
      </c>
    </row>
    <row r="245" spans="1:16" x14ac:dyDescent="0.25">
      <c r="A245">
        <f>'Front Page'!A246</f>
        <v>244</v>
      </c>
      <c r="B245" t="str">
        <f>'Front Page'!B246</f>
        <v xml:space="preserve">20.c.ps.141.030 </v>
      </c>
      <c r="C245" t="str">
        <f>'Front Page'!C246</f>
        <v xml:space="preserve">Sands Theater Center, Inc. </v>
      </c>
      <c r="D245">
        <f>'Front Page'!E246</f>
        <v>73000</v>
      </c>
      <c r="E245" s="3">
        <f>ROUND('Front Page'!F246,4)</f>
        <v>91.429000000000002</v>
      </c>
      <c r="F245">
        <f t="shared" si="12"/>
        <v>66743.17</v>
      </c>
      <c r="G245">
        <f>IF((D245*(E245/100)*Sheet2!$B$4)&gt;1000,(D245*(E245/100)*Sheet2!$B$4),1000)</f>
        <v>12657.47149400996</v>
      </c>
      <c r="M245">
        <f>IF(G245=1000,1000,(F245*Sheet2!$B$8))</f>
        <v>12636.879695319531</v>
      </c>
      <c r="N245">
        <f t="shared" si="15"/>
        <v>12636.879695319531</v>
      </c>
      <c r="O245">
        <f t="shared" si="13"/>
        <v>12636.879695319531</v>
      </c>
      <c r="P245">
        <f t="shared" si="14"/>
        <v>12652</v>
      </c>
    </row>
    <row r="246" spans="1:16" x14ac:dyDescent="0.25">
      <c r="A246">
        <f>'Front Page'!A247</f>
        <v>245</v>
      </c>
      <c r="B246" t="str">
        <f>'Front Page'!B247</f>
        <v xml:space="preserve">20.c.ps.114.567 </v>
      </c>
      <c r="C246" t="str">
        <f>'Front Page'!C247</f>
        <v xml:space="preserve">Miami Center for Architecture &amp; Design, Inc. </v>
      </c>
      <c r="D246">
        <f>'Front Page'!E247</f>
        <v>22250</v>
      </c>
      <c r="E246" s="3">
        <f>ROUND('Front Page'!F247,4)</f>
        <v>91.429000000000002</v>
      </c>
      <c r="F246">
        <f t="shared" si="12"/>
        <v>20342.952499999999</v>
      </c>
      <c r="G246">
        <f>IF((D246*(E246/100)*Sheet2!$B$4)&gt;1000,(D246*(E246/100)*Sheet2!$B$4),1000)</f>
        <v>3857.9279553660494</v>
      </c>
      <c r="M246">
        <f>IF(G246=1000,1000,(F246*Sheet2!$B$8))</f>
        <v>3851.6516879569804</v>
      </c>
      <c r="N246">
        <f t="shared" si="15"/>
        <v>3851.6516879569804</v>
      </c>
      <c r="O246">
        <f t="shared" si="13"/>
        <v>3851.6516879569804</v>
      </c>
      <c r="P246">
        <f t="shared" si="14"/>
        <v>3867</v>
      </c>
    </row>
    <row r="247" spans="1:16" x14ac:dyDescent="0.25">
      <c r="A247">
        <f>'Front Page'!A248</f>
        <v>246</v>
      </c>
      <c r="B247" t="str">
        <f>'Front Page'!B248</f>
        <v xml:space="preserve">20.c.ps.180.468 </v>
      </c>
      <c r="C247" t="str">
        <f>'Front Page'!C248</f>
        <v xml:space="preserve">Olympia Center, Inc. </v>
      </c>
      <c r="D247">
        <f>'Front Page'!E248</f>
        <v>150000</v>
      </c>
      <c r="E247" s="3">
        <f>ROUND('Front Page'!F248,4)</f>
        <v>91.429000000000002</v>
      </c>
      <c r="F247">
        <f t="shared" si="12"/>
        <v>137143.5</v>
      </c>
      <c r="G247">
        <f>IF((D247*(E247/100)*Sheet2!$B$4)&gt;1000,(D247*(E247/100)*Sheet2!$B$4),1000)</f>
        <v>26008.503069883478</v>
      </c>
      <c r="M247">
        <f>IF(G247=1000,1000,(F247*Sheet2!$B$8))</f>
        <v>25966.191154766162</v>
      </c>
      <c r="N247">
        <f t="shared" si="15"/>
        <v>25966.191154766162</v>
      </c>
      <c r="O247">
        <f t="shared" si="13"/>
        <v>25966.191154766162</v>
      </c>
      <c r="P247">
        <f t="shared" si="14"/>
        <v>25981</v>
      </c>
    </row>
    <row r="248" spans="1:16" x14ac:dyDescent="0.25">
      <c r="A248">
        <f>'Front Page'!A249</f>
        <v>247</v>
      </c>
      <c r="B248" t="str">
        <f>'Front Page'!B249</f>
        <v xml:space="preserve">20.c.ps.114.295 </v>
      </c>
      <c r="C248" t="str">
        <f>'Front Page'!C249</f>
        <v xml:space="preserve">Association to Preserve the Eatonville Community </v>
      </c>
      <c r="D248">
        <f>'Front Page'!E249</f>
        <v>90000</v>
      </c>
      <c r="E248" s="3">
        <f>ROUND('Front Page'!F249,4)</f>
        <v>91.429000000000002</v>
      </c>
      <c r="F248">
        <f t="shared" si="12"/>
        <v>82286.100000000006</v>
      </c>
      <c r="G248">
        <f>IF((D248*(E248/100)*Sheet2!$B$4)&gt;1000,(D248*(E248/100)*Sheet2!$B$4),1000)</f>
        <v>15605.101841930089</v>
      </c>
      <c r="M248">
        <f>IF(G248=1000,1000,(F248*Sheet2!$B$8))</f>
        <v>15579.714692859698</v>
      </c>
      <c r="N248">
        <f t="shared" si="15"/>
        <v>15579.714692859698</v>
      </c>
      <c r="O248">
        <f t="shared" si="13"/>
        <v>15579.714692859698</v>
      </c>
      <c r="P248">
        <f t="shared" si="14"/>
        <v>15595</v>
      </c>
    </row>
    <row r="249" spans="1:16" x14ac:dyDescent="0.25">
      <c r="A249">
        <f>'Front Page'!A250</f>
        <v>248</v>
      </c>
      <c r="B249" t="str">
        <f>'Front Page'!B250</f>
        <v xml:space="preserve">20.c.ps.114.315 </v>
      </c>
      <c r="C249" t="str">
        <f>'Front Page'!C250</f>
        <v xml:space="preserve">The Hub on Canal, Inc. </v>
      </c>
      <c r="D249">
        <f>'Front Page'!E250</f>
        <v>46058</v>
      </c>
      <c r="E249" s="3">
        <f>ROUND('Front Page'!F250,4)</f>
        <v>91.429000000000002</v>
      </c>
      <c r="F249">
        <f t="shared" si="12"/>
        <v>42110.368820000003</v>
      </c>
      <c r="G249">
        <f>IF((D249*(E249/100)*Sheet2!$B$4)&gt;1000,(D249*(E249/100)*Sheet2!$B$4),1000)</f>
        <v>7985.9975626179557</v>
      </c>
      <c r="M249">
        <f>IF(G249=1000,1000,(F249*Sheet2!$B$8))</f>
        <v>7973.0055480414658</v>
      </c>
      <c r="N249">
        <f t="shared" si="15"/>
        <v>7973.0055480414658</v>
      </c>
      <c r="O249">
        <f t="shared" si="13"/>
        <v>7973.0055480414658</v>
      </c>
      <c r="P249">
        <f t="shared" si="14"/>
        <v>7988</v>
      </c>
    </row>
    <row r="250" spans="1:16" x14ac:dyDescent="0.25">
      <c r="A250">
        <f>'Front Page'!A251</f>
        <v>249</v>
      </c>
      <c r="B250" t="str">
        <f>'Front Page'!B251</f>
        <v xml:space="preserve">20.c.ps.170.708 </v>
      </c>
      <c r="C250" t="str">
        <f>'Front Page'!C251</f>
        <v xml:space="preserve">Winter Garden Heritage Foundation, Inc. </v>
      </c>
      <c r="D250">
        <f>'Front Page'!E251</f>
        <v>56338</v>
      </c>
      <c r="E250" s="3">
        <f>ROUND('Front Page'!F251,4)</f>
        <v>91.429000000000002</v>
      </c>
      <c r="F250">
        <f t="shared" si="12"/>
        <v>51509.270020000004</v>
      </c>
      <c r="G250">
        <f>IF((D250*(E250/100)*Sheet2!$B$4)&gt;1000,(D250*(E250/100)*Sheet2!$B$4),1000)</f>
        <v>9768.4469730073033</v>
      </c>
      <c r="M250">
        <f>IF(G250=1000,1000,(F250*Sheet2!$B$8))</f>
        <v>9752.5551818481072</v>
      </c>
      <c r="N250">
        <f t="shared" si="15"/>
        <v>9752.5551818481072</v>
      </c>
      <c r="O250">
        <f t="shared" si="13"/>
        <v>9752.5551818481072</v>
      </c>
      <c r="P250">
        <f t="shared" si="14"/>
        <v>9768</v>
      </c>
    </row>
    <row r="251" spans="1:16" x14ac:dyDescent="0.25">
      <c r="A251">
        <f>'Front Page'!A252</f>
        <v>250</v>
      </c>
      <c r="B251" t="str">
        <f>'Front Page'!B252</f>
        <v xml:space="preserve">20.c.ps.114.050 </v>
      </c>
      <c r="C251" t="str">
        <f>'Front Page'!C252</f>
        <v xml:space="preserve">City of Tarpon Springs </v>
      </c>
      <c r="D251">
        <f>'Front Page'!E252</f>
        <v>50000</v>
      </c>
      <c r="E251" s="3">
        <f>ROUND('Front Page'!F252,4)</f>
        <v>91.429000000000002</v>
      </c>
      <c r="F251">
        <f t="shared" si="12"/>
        <v>45714.5</v>
      </c>
      <c r="G251">
        <f>IF((D251*(E251/100)*Sheet2!$B$4)&gt;1000,(D251*(E251/100)*Sheet2!$B$4),1000)</f>
        <v>8669.5010232944933</v>
      </c>
      <c r="M251">
        <f>IF(G251=1000,1000,(F251*Sheet2!$B$8))</f>
        <v>8655.3970515887195</v>
      </c>
      <c r="N251">
        <f t="shared" si="15"/>
        <v>8655.3970515887195</v>
      </c>
      <c r="O251">
        <f t="shared" si="13"/>
        <v>8655.3970515887195</v>
      </c>
      <c r="P251">
        <f t="shared" si="14"/>
        <v>8670</v>
      </c>
    </row>
    <row r="252" spans="1:16" x14ac:dyDescent="0.25">
      <c r="A252">
        <f>'Front Page'!A253</f>
        <v>251</v>
      </c>
      <c r="B252" t="str">
        <f>'Front Page'!B253</f>
        <v xml:space="preserve">20.c.ps.170.366 </v>
      </c>
      <c r="C252" t="str">
        <f>'Front Page'!C253</f>
        <v xml:space="preserve">African American Museum of the Arts, Inc. </v>
      </c>
      <c r="D252">
        <f>'Front Page'!E253</f>
        <v>1175</v>
      </c>
      <c r="E252" s="3">
        <f>ROUND('Front Page'!F253,4)</f>
        <v>91.332999999999998</v>
      </c>
      <c r="F252">
        <f t="shared" si="12"/>
        <v>1073.16275</v>
      </c>
      <c r="G252">
        <f>IF((D252*(E252/100)*Sheet2!$B$4)&gt;1000,(D252*(E252/100)*Sheet2!$B$4),1000)</f>
        <v>1000</v>
      </c>
      <c r="M252">
        <f>IF(G252=1000,1000,(F252*Sheet2!$B$8))</f>
        <v>1000</v>
      </c>
      <c r="N252">
        <f t="shared" si="15"/>
        <v>1000</v>
      </c>
      <c r="O252">
        <f t="shared" si="13"/>
        <v>1000</v>
      </c>
      <c r="P252">
        <f t="shared" si="14"/>
        <v>1000</v>
      </c>
    </row>
    <row r="253" spans="1:16" x14ac:dyDescent="0.25">
      <c r="A253">
        <f>'Front Page'!A254</f>
        <v>252</v>
      </c>
      <c r="B253" t="str">
        <f>'Front Page'!B254</f>
        <v xml:space="preserve">20.c.ps.170.764 </v>
      </c>
      <c r="C253" t="str">
        <f>'Front Page'!C254</f>
        <v xml:space="preserve">The University of South Florida </v>
      </c>
      <c r="D253">
        <f>'Front Page'!E254</f>
        <v>146937</v>
      </c>
      <c r="E253" s="3">
        <f>ROUND('Front Page'!F254,4)</f>
        <v>91.332999999999998</v>
      </c>
      <c r="F253">
        <f t="shared" si="12"/>
        <v>134201.97021</v>
      </c>
      <c r="G253">
        <f>IF((D253*(E253/100)*Sheet2!$B$4)&gt;1000,(D253*(E253/100)*Sheet2!$B$4),1000)</f>
        <v>25450.658282683438</v>
      </c>
      <c r="M253">
        <f>IF(G253=1000,1000,(F253*Sheet2!$B$8))</f>
        <v>25409.253896969916</v>
      </c>
      <c r="N253">
        <f t="shared" si="15"/>
        <v>25409.253896969916</v>
      </c>
      <c r="O253">
        <f t="shared" si="13"/>
        <v>25409.253896969916</v>
      </c>
      <c r="P253">
        <f t="shared" si="14"/>
        <v>25424</v>
      </c>
    </row>
    <row r="254" spans="1:16" x14ac:dyDescent="0.25">
      <c r="A254">
        <f>'Front Page'!A255</f>
        <v>253</v>
      </c>
      <c r="B254" t="str">
        <f>'Front Page'!B255</f>
        <v xml:space="preserve">20.c.ps.142.224 </v>
      </c>
      <c r="C254" t="str">
        <f>'Front Page'!C255</f>
        <v xml:space="preserve">Slow Burn Theatre Company, Inc. </v>
      </c>
      <c r="D254">
        <f>'Front Page'!E255</f>
        <v>124774</v>
      </c>
      <c r="E254" s="3">
        <f>ROUND('Front Page'!F255,4)</f>
        <v>91.332999999999998</v>
      </c>
      <c r="F254">
        <f t="shared" si="12"/>
        <v>113959.83742</v>
      </c>
      <c r="G254">
        <f>IF((D254*(E254/100)*Sheet2!$B$4)&gt;1000,(D254*(E254/100)*Sheet2!$B$4),1000)</f>
        <v>21611.850225358783</v>
      </c>
      <c r="M254">
        <f>IF(G254=1000,1000,(F254*Sheet2!$B$8))</f>
        <v>21576.691001861505</v>
      </c>
      <c r="N254">
        <f t="shared" si="15"/>
        <v>21576.691001861505</v>
      </c>
      <c r="O254">
        <f t="shared" si="13"/>
        <v>21576.691001861505</v>
      </c>
      <c r="P254">
        <f t="shared" si="14"/>
        <v>21592</v>
      </c>
    </row>
    <row r="255" spans="1:16" x14ac:dyDescent="0.25">
      <c r="A255">
        <f>'Front Page'!A256</f>
        <v>254</v>
      </c>
      <c r="B255" t="str">
        <f>'Front Page'!B256</f>
        <v xml:space="preserve">20.c.ps.101.175 </v>
      </c>
      <c r="C255" t="str">
        <f>'Front Page'!C256</f>
        <v xml:space="preserve">Thomas Armour Youth Ballet, Inc. </v>
      </c>
      <c r="D255">
        <f>'Front Page'!E256</f>
        <v>150000</v>
      </c>
      <c r="E255" s="3">
        <f>ROUND('Front Page'!F256,4)</f>
        <v>91.332999999999998</v>
      </c>
      <c r="F255">
        <f t="shared" si="12"/>
        <v>136999.5</v>
      </c>
      <c r="G255">
        <f>IF((D255*(E255/100)*Sheet2!$B$4)&gt;1000,(D255*(E255/100)*Sheet2!$B$4),1000)</f>
        <v>25981.194269670101</v>
      </c>
      <c r="M255">
        <f>IF(G255=1000,1000,(F255*Sheet2!$B$8))</f>
        <v>25938.926781855404</v>
      </c>
      <c r="N255">
        <f t="shared" si="15"/>
        <v>25938.926781855404</v>
      </c>
      <c r="O255">
        <f t="shared" si="13"/>
        <v>25938.926781855404</v>
      </c>
      <c r="P255">
        <f t="shared" si="14"/>
        <v>25954</v>
      </c>
    </row>
    <row r="256" spans="1:16" x14ac:dyDescent="0.25">
      <c r="A256">
        <f>'Front Page'!A257</f>
        <v>255</v>
      </c>
      <c r="B256" t="str">
        <f>'Front Page'!B257</f>
        <v xml:space="preserve">20.c.ps.141.768 </v>
      </c>
      <c r="C256" t="str">
        <f>'Front Page'!C257</f>
        <v xml:space="preserve">Marathon Community Theatre, Inc. </v>
      </c>
      <c r="D256">
        <f>'Front Page'!E257</f>
        <v>38200</v>
      </c>
      <c r="E256" s="3">
        <f>ROUND('Front Page'!F257,4)</f>
        <v>91.286000000000001</v>
      </c>
      <c r="F256">
        <f t="shared" si="12"/>
        <v>34871.252</v>
      </c>
      <c r="G256">
        <f>IF((D256*(E256/100)*Sheet2!$B$4)&gt;1000,(D256*(E256/100)*Sheet2!$B$4),1000)</f>
        <v>6613.1392642938263</v>
      </c>
      <c r="M256">
        <f>IF(G256=1000,1000,(F256*Sheet2!$B$8))</f>
        <v>6602.3806832844557</v>
      </c>
      <c r="N256">
        <f t="shared" si="15"/>
        <v>6602.3806832844557</v>
      </c>
      <c r="O256">
        <f t="shared" si="13"/>
        <v>6602.3806832844557</v>
      </c>
      <c r="P256">
        <f t="shared" si="14"/>
        <v>6617</v>
      </c>
    </row>
    <row r="257" spans="1:16" x14ac:dyDescent="0.25">
      <c r="A257">
        <f>'Front Page'!A258</f>
        <v>256</v>
      </c>
      <c r="B257" t="str">
        <f>'Front Page'!B258</f>
        <v xml:space="preserve">20.c.ps.109.762 </v>
      </c>
      <c r="C257" t="str">
        <f>'Front Page'!C258</f>
        <v xml:space="preserve">Borscht Corp </v>
      </c>
      <c r="D257">
        <f>'Front Page'!E258</f>
        <v>25000</v>
      </c>
      <c r="E257" s="3">
        <f>ROUND('Front Page'!F258,4)</f>
        <v>91.25</v>
      </c>
      <c r="F257">
        <f t="shared" si="12"/>
        <v>22812.5</v>
      </c>
      <c r="G257">
        <f>IF((D257*(E257/100)*Sheet2!$B$4)&gt;1000,(D257*(E257/100)*Sheet2!$B$4),1000)</f>
        <v>4326.2639226920483</v>
      </c>
      <c r="M257">
        <f>IF(G257=1000,1000,(F257*Sheet2!$B$8))</f>
        <v>4319.2257432404967</v>
      </c>
      <c r="N257">
        <f t="shared" si="15"/>
        <v>4319.2257432404967</v>
      </c>
      <c r="O257">
        <f t="shared" si="13"/>
        <v>4319.2257432404967</v>
      </c>
      <c r="P257">
        <f t="shared" si="14"/>
        <v>4334</v>
      </c>
    </row>
    <row r="258" spans="1:16" x14ac:dyDescent="0.25">
      <c r="A258">
        <f>'Front Page'!A259</f>
        <v>257</v>
      </c>
      <c r="B258" t="str">
        <f>'Front Page'!B259</f>
        <v xml:space="preserve">20.c.ps.102.646 </v>
      </c>
      <c r="C258" t="str">
        <f>'Front Page'!C259</f>
        <v xml:space="preserve">Sinfonia Gulf Coast, Inc. </v>
      </c>
      <c r="D258">
        <f>'Front Page'!E259</f>
        <v>126478</v>
      </c>
      <c r="E258" s="3">
        <f>ROUND('Front Page'!F259,4)</f>
        <v>91.25</v>
      </c>
      <c r="F258">
        <f t="shared" ref="F258:F321" si="16">D258*(E258/100)</f>
        <v>115411.175</v>
      </c>
      <c r="G258">
        <f>IF((D258*(E258/100)*Sheet2!$B$4)&gt;1000,(D258*(E258/100)*Sheet2!$B$4),1000)</f>
        <v>21887.088336569796</v>
      </c>
      <c r="M258">
        <f>IF(G258=1000,1000,(F258*Sheet2!$B$8))</f>
        <v>21851.481342142863</v>
      </c>
      <c r="N258">
        <f t="shared" si="15"/>
        <v>21851.481342142863</v>
      </c>
      <c r="O258">
        <f t="shared" ref="O258:O321" si="17">IF(N258&lt;1000,1000,N258)</f>
        <v>21851.481342142863</v>
      </c>
      <c r="P258">
        <f t="shared" ref="P258:P321" si="18">ROUND(IF(O258=1000,1000,(O258+$J$11)),0)</f>
        <v>21866</v>
      </c>
    </row>
    <row r="259" spans="1:16" x14ac:dyDescent="0.25">
      <c r="A259">
        <f>'Front Page'!A260</f>
        <v>258</v>
      </c>
      <c r="B259" t="str">
        <f>'Front Page'!B260</f>
        <v xml:space="preserve">20.c.ps.500.757 </v>
      </c>
      <c r="C259" t="str">
        <f>'Front Page'!C260</f>
        <v xml:space="preserve">Cultural Arts Alliance of Walton County, Inc. </v>
      </c>
      <c r="D259">
        <f>'Front Page'!E260</f>
        <v>150000</v>
      </c>
      <c r="E259" s="3">
        <f>ROUND('Front Page'!F260,4)</f>
        <v>91.167000000000002</v>
      </c>
      <c r="F259">
        <f t="shared" si="16"/>
        <v>136750.5</v>
      </c>
      <c r="G259">
        <f>IF((D259*(E259/100)*Sheet2!$B$4)&gt;1000,(D259*(E259/100)*Sheet2!$B$4),1000)</f>
        <v>25933.972802634471</v>
      </c>
      <c r="M259">
        <f>IF(G259=1000,1000,(F259*Sheet2!$B$8))</f>
        <v>25891.782137030554</v>
      </c>
      <c r="N259">
        <f t="shared" si="15"/>
        <v>25891.782137030554</v>
      </c>
      <c r="O259">
        <f t="shared" si="17"/>
        <v>25891.782137030554</v>
      </c>
      <c r="P259">
        <f t="shared" si="18"/>
        <v>25907</v>
      </c>
    </row>
    <row r="260" spans="1:16" x14ac:dyDescent="0.25">
      <c r="A260">
        <f>'Front Page'!A261</f>
        <v>259</v>
      </c>
      <c r="B260" t="str">
        <f>'Front Page'!B261</f>
        <v xml:space="preserve">20.c.ps.170.038 </v>
      </c>
      <c r="C260" t="str">
        <f>'Front Page'!C261</f>
        <v xml:space="preserve">Bonnet House, Inc. </v>
      </c>
      <c r="D260">
        <f>'Front Page'!E261</f>
        <v>150000</v>
      </c>
      <c r="E260" s="3">
        <f>ROUND('Front Page'!F261,4)</f>
        <v>91.167000000000002</v>
      </c>
      <c r="F260">
        <f t="shared" si="16"/>
        <v>136750.5</v>
      </c>
      <c r="G260">
        <f>IF((D260*(E260/100)*Sheet2!$B$4)&gt;1000,(D260*(E260/100)*Sheet2!$B$4),1000)</f>
        <v>25933.972802634471</v>
      </c>
      <c r="M260">
        <f>IF(G260=1000,1000,(F260*Sheet2!$B$8))</f>
        <v>25891.782137030554</v>
      </c>
      <c r="N260">
        <f t="shared" ref="N260:N323" si="19">M260</f>
        <v>25891.782137030554</v>
      </c>
      <c r="O260">
        <f t="shared" si="17"/>
        <v>25891.782137030554</v>
      </c>
      <c r="P260">
        <f t="shared" si="18"/>
        <v>25907</v>
      </c>
    </row>
    <row r="261" spans="1:16" x14ac:dyDescent="0.25">
      <c r="A261">
        <f>'Front Page'!A262</f>
        <v>260</v>
      </c>
      <c r="B261" t="str">
        <f>'Front Page'!B262</f>
        <v xml:space="preserve">20.c.ps.102.423 </v>
      </c>
      <c r="C261" t="str">
        <f>'Front Page'!C262</f>
        <v xml:space="preserve">The Girlchoir of South Florida, Inc. </v>
      </c>
      <c r="D261">
        <f>'Front Page'!E262</f>
        <v>50408</v>
      </c>
      <c r="E261" s="3">
        <f>ROUND('Front Page'!F262,4)</f>
        <v>91.143000000000001</v>
      </c>
      <c r="F261">
        <f t="shared" si="16"/>
        <v>45943.363440000001</v>
      </c>
      <c r="G261">
        <f>IF((D261*(E261/100)*Sheet2!$B$4)&gt;1000,(D261*(E261/100)*Sheet2!$B$4),1000)</f>
        <v>8712.903703566064</v>
      </c>
      <c r="M261">
        <f>IF(G261=1000,1000,(F261*Sheet2!$B$8))</f>
        <v>8698.7291222400981</v>
      </c>
      <c r="N261">
        <f t="shared" si="19"/>
        <v>8698.7291222400981</v>
      </c>
      <c r="O261">
        <f t="shared" si="17"/>
        <v>8698.7291222400981</v>
      </c>
      <c r="P261">
        <f t="shared" si="18"/>
        <v>8714</v>
      </c>
    </row>
    <row r="262" spans="1:16" x14ac:dyDescent="0.25">
      <c r="A262">
        <f>'Front Page'!A263</f>
        <v>261</v>
      </c>
      <c r="B262" t="str">
        <f>'Front Page'!B263</f>
        <v xml:space="preserve">20.c.ps.114.635 </v>
      </c>
      <c r="C262" t="str">
        <f>'Front Page'!C263</f>
        <v xml:space="preserve">Young Performing Artists Corporation </v>
      </c>
      <c r="D262">
        <f>'Front Page'!E263</f>
        <v>23600</v>
      </c>
      <c r="E262" s="3">
        <f>ROUND('Front Page'!F263,4)</f>
        <v>91.143000000000001</v>
      </c>
      <c r="F262">
        <f t="shared" si="16"/>
        <v>21509.748</v>
      </c>
      <c r="G262">
        <f>IF((D262*(E262/100)*Sheet2!$B$4)&gt;1000,(D262*(E262/100)*Sheet2!$B$4),1000)</f>
        <v>4079.2042414727639</v>
      </c>
      <c r="M262">
        <f>IF(G262=1000,1000,(F262*Sheet2!$B$8))</f>
        <v>4072.5679908916509</v>
      </c>
      <c r="N262">
        <f t="shared" si="19"/>
        <v>4072.5679908916509</v>
      </c>
      <c r="O262">
        <f t="shared" si="17"/>
        <v>4072.5679908916509</v>
      </c>
      <c r="P262">
        <f t="shared" si="18"/>
        <v>4088</v>
      </c>
    </row>
    <row r="263" spans="1:16" x14ac:dyDescent="0.25">
      <c r="A263">
        <f>'Front Page'!A264</f>
        <v>262</v>
      </c>
      <c r="B263" t="str">
        <f>'Front Page'!B264</f>
        <v xml:space="preserve">20.c.ps.170.370 </v>
      </c>
      <c r="C263" t="str">
        <f>'Front Page'!C264</f>
        <v xml:space="preserve">Museum of Arts and Sciences, Inc. </v>
      </c>
      <c r="D263">
        <f>'Front Page'!E264</f>
        <v>150000</v>
      </c>
      <c r="E263" s="3">
        <f>ROUND('Front Page'!F264,4)</f>
        <v>91.143000000000001</v>
      </c>
      <c r="F263">
        <f t="shared" si="16"/>
        <v>136714.5</v>
      </c>
      <c r="G263">
        <f>IF((D263*(E263/100)*Sheet2!$B$4)&gt;1000,(D263*(E263/100)*Sheet2!$B$4),1000)</f>
        <v>25927.145602581128</v>
      </c>
      <c r="M263">
        <f>IF(G263=1000,1000,(F263*Sheet2!$B$8))</f>
        <v>25884.966043802866</v>
      </c>
      <c r="N263">
        <f t="shared" si="19"/>
        <v>25884.966043802866</v>
      </c>
      <c r="O263">
        <f t="shared" si="17"/>
        <v>25884.966043802866</v>
      </c>
      <c r="P263">
        <f t="shared" si="18"/>
        <v>25900</v>
      </c>
    </row>
    <row r="264" spans="1:16" x14ac:dyDescent="0.25">
      <c r="A264">
        <f>'Front Page'!A265</f>
        <v>263</v>
      </c>
      <c r="B264" t="str">
        <f>'Front Page'!B265</f>
        <v xml:space="preserve">20.c.ps.102.372 </v>
      </c>
      <c r="C264" t="str">
        <f>'Front Page'!C265</f>
        <v xml:space="preserve">Gulfshore Opera, Inc. </v>
      </c>
      <c r="D264">
        <f>'Front Page'!E265</f>
        <v>81112</v>
      </c>
      <c r="E264" s="3">
        <f>ROUND('Front Page'!F265,4)</f>
        <v>91.143000000000001</v>
      </c>
      <c r="F264">
        <f t="shared" si="16"/>
        <v>73927.910159999999</v>
      </c>
      <c r="G264">
        <f>IF((D264*(E264/100)*Sheet2!$B$4)&gt;1000,(D264*(E264/100)*Sheet2!$B$4),1000)</f>
        <v>14020.017560777069</v>
      </c>
      <c r="M264">
        <f>IF(G264=1000,1000,(F264*Sheet2!$B$8))</f>
        <v>13997.209104966254</v>
      </c>
      <c r="N264">
        <f t="shared" si="19"/>
        <v>13997.209104966254</v>
      </c>
      <c r="O264">
        <f t="shared" si="17"/>
        <v>13997.209104966254</v>
      </c>
      <c r="P264">
        <f t="shared" si="18"/>
        <v>14012</v>
      </c>
    </row>
    <row r="265" spans="1:16" x14ac:dyDescent="0.25">
      <c r="A265">
        <f>'Front Page'!A266</f>
        <v>264</v>
      </c>
      <c r="B265" t="str">
        <f>'Front Page'!B266</f>
        <v xml:space="preserve">20.c.ps.170.045 </v>
      </c>
      <c r="C265" t="str">
        <f>'Front Page'!C266</f>
        <v xml:space="preserve">Loxahatchee River Historical Society, Inc. </v>
      </c>
      <c r="D265">
        <f>'Front Page'!E266</f>
        <v>130000</v>
      </c>
      <c r="E265" s="3">
        <f>ROUND('Front Page'!F266,4)</f>
        <v>91.143000000000001</v>
      </c>
      <c r="F265">
        <f t="shared" si="16"/>
        <v>118485.9</v>
      </c>
      <c r="G265">
        <f>IF((D265*(E265/100)*Sheet2!$B$4)&gt;1000,(D265*(E265/100)*Sheet2!$B$4),1000)</f>
        <v>22470.192855570309</v>
      </c>
      <c r="M265">
        <f>IF(G265=1000,1000,(F265*Sheet2!$B$8))</f>
        <v>22433.637237962481</v>
      </c>
      <c r="N265">
        <f t="shared" si="19"/>
        <v>22433.637237962481</v>
      </c>
      <c r="O265">
        <f t="shared" si="17"/>
        <v>22433.637237962481</v>
      </c>
      <c r="P265">
        <f t="shared" si="18"/>
        <v>22449</v>
      </c>
    </row>
    <row r="266" spans="1:16" x14ac:dyDescent="0.25">
      <c r="A266">
        <f>'Front Page'!A267</f>
        <v>265</v>
      </c>
      <c r="B266" t="str">
        <f>'Front Page'!B267</f>
        <v xml:space="preserve">20.c.ps.102.654 </v>
      </c>
      <c r="C266" t="str">
        <f>'Front Page'!C267</f>
        <v xml:space="preserve">Symphony of the Americas, Inc. </v>
      </c>
      <c r="D266">
        <f>'Front Page'!E267</f>
        <v>150000</v>
      </c>
      <c r="E266" s="3">
        <f>ROUND('Front Page'!F267,4)</f>
        <v>91.125</v>
      </c>
      <c r="F266">
        <f t="shared" si="16"/>
        <v>136687.5</v>
      </c>
      <c r="G266">
        <f>IF((D266*(E266/100)*Sheet2!$B$4)&gt;1000,(D266*(E266/100)*Sheet2!$B$4),1000)</f>
        <v>25922.025202541121</v>
      </c>
      <c r="M266">
        <f>IF(G266=1000,1000,(F266*Sheet2!$B$8))</f>
        <v>25879.853973882098</v>
      </c>
      <c r="N266">
        <f t="shared" si="19"/>
        <v>25879.853973882098</v>
      </c>
      <c r="O266">
        <f t="shared" si="17"/>
        <v>25879.853973882098</v>
      </c>
      <c r="P266">
        <f t="shared" si="18"/>
        <v>25895</v>
      </c>
    </row>
    <row r="267" spans="1:16" x14ac:dyDescent="0.25">
      <c r="A267">
        <f>'Front Page'!A268</f>
        <v>266</v>
      </c>
      <c r="B267" t="str">
        <f>'Front Page'!B268</f>
        <v xml:space="preserve">20.c.ps.114.465 </v>
      </c>
      <c r="C267" t="str">
        <f>'Front Page'!C268</f>
        <v xml:space="preserve">Adolph &amp; Rose Levis Jewish Community Center, Inc. </v>
      </c>
      <c r="D267">
        <f>'Front Page'!E268</f>
        <v>150000</v>
      </c>
      <c r="E267" s="3">
        <f>ROUND('Front Page'!F268,4)</f>
        <v>91</v>
      </c>
      <c r="F267">
        <f t="shared" si="16"/>
        <v>136500</v>
      </c>
      <c r="G267">
        <f>IF((D267*(E267/100)*Sheet2!$B$4)&gt;1000,(D267*(E267/100)*Sheet2!$B$4),1000)</f>
        <v>25886.466868929951</v>
      </c>
      <c r="M267">
        <f>IF(G267=1000,1000,(F267*Sheet2!$B$8))</f>
        <v>25844.353488321216</v>
      </c>
      <c r="N267">
        <f t="shared" si="19"/>
        <v>25844.353488321216</v>
      </c>
      <c r="O267">
        <f t="shared" si="17"/>
        <v>25844.353488321216</v>
      </c>
      <c r="P267">
        <f t="shared" si="18"/>
        <v>25859</v>
      </c>
    </row>
    <row r="268" spans="1:16" x14ac:dyDescent="0.25">
      <c r="A268">
        <f>'Front Page'!A269</f>
        <v>267</v>
      </c>
      <c r="B268" t="str">
        <f>'Front Page'!B269</f>
        <v xml:space="preserve">20.c.ps.114.364 </v>
      </c>
      <c r="C268" t="str">
        <f>'Front Page'!C269</f>
        <v xml:space="preserve">Centro Cultural Español de Cooperación Iberoamericana, Inc. </v>
      </c>
      <c r="D268">
        <f>'Front Page'!E269</f>
        <v>90000</v>
      </c>
      <c r="E268" s="3">
        <f>ROUND('Front Page'!F269,4)</f>
        <v>91</v>
      </c>
      <c r="F268">
        <f t="shared" si="16"/>
        <v>81900</v>
      </c>
      <c r="G268">
        <f>IF((D268*(E268/100)*Sheet2!$B$4)&gt;1000,(D268*(E268/100)*Sheet2!$B$4),1000)</f>
        <v>15531.880121357972</v>
      </c>
      <c r="M268">
        <f>IF(G268=1000,1000,(F268*Sheet2!$B$8))</f>
        <v>15506.612092992731</v>
      </c>
      <c r="N268">
        <f t="shared" si="19"/>
        <v>15506.612092992731</v>
      </c>
      <c r="O268">
        <f t="shared" si="17"/>
        <v>15506.612092992731</v>
      </c>
      <c r="P268">
        <f t="shared" si="18"/>
        <v>15522</v>
      </c>
    </row>
    <row r="269" spans="1:16" x14ac:dyDescent="0.25">
      <c r="A269">
        <f>'Front Page'!A270</f>
        <v>268</v>
      </c>
      <c r="B269" t="str">
        <f>'Front Page'!B270</f>
        <v xml:space="preserve">20.c.ps.109.359 </v>
      </c>
      <c r="C269" t="str">
        <f>'Front Page'!C270</f>
        <v xml:space="preserve">Living Arts Trust, Inc. </v>
      </c>
      <c r="D269">
        <f>'Front Page'!E270</f>
        <v>95900</v>
      </c>
      <c r="E269" s="3">
        <f>ROUND('Front Page'!F270,4)</f>
        <v>91</v>
      </c>
      <c r="F269">
        <f t="shared" si="16"/>
        <v>87269</v>
      </c>
      <c r="G269">
        <f>IF((D269*(E269/100)*Sheet2!$B$4)&gt;1000,(D269*(E269/100)*Sheet2!$B$4),1000)</f>
        <v>16550.081151535884</v>
      </c>
      <c r="M269">
        <f>IF(G269=1000,1000,(F269*Sheet2!$B$8))</f>
        <v>16523.156663533366</v>
      </c>
      <c r="N269">
        <f t="shared" si="19"/>
        <v>16523.156663533366</v>
      </c>
      <c r="O269">
        <f t="shared" si="17"/>
        <v>16523.156663533366</v>
      </c>
      <c r="P269">
        <f t="shared" si="18"/>
        <v>16538</v>
      </c>
    </row>
    <row r="270" spans="1:16" x14ac:dyDescent="0.25">
      <c r="A270">
        <f>'Front Page'!A271</f>
        <v>269</v>
      </c>
      <c r="B270" t="str">
        <f>'Front Page'!B271</f>
        <v xml:space="preserve">20.c.ps.109.715 </v>
      </c>
      <c r="C270" t="str">
        <f>'Front Page'!C271</f>
        <v xml:space="preserve">Sarasota Film Festival, Inc. </v>
      </c>
      <c r="D270">
        <f>'Front Page'!E271</f>
        <v>89844</v>
      </c>
      <c r="E270" s="3">
        <f>ROUND('Front Page'!F271,4)</f>
        <v>91</v>
      </c>
      <c r="F270">
        <f t="shared" si="16"/>
        <v>81758.040000000008</v>
      </c>
      <c r="G270">
        <f>IF((D270*(E270/100)*Sheet2!$B$4)&gt;1000,(D270*(E270/100)*Sheet2!$B$4),1000)</f>
        <v>15504.958195814286</v>
      </c>
      <c r="M270">
        <f>IF(G270=1000,1000,(F270*Sheet2!$B$8))</f>
        <v>15479.733965364878</v>
      </c>
      <c r="N270">
        <f t="shared" si="19"/>
        <v>15479.733965364878</v>
      </c>
      <c r="O270">
        <f t="shared" si="17"/>
        <v>15479.733965364878</v>
      </c>
      <c r="P270">
        <f t="shared" si="18"/>
        <v>15495</v>
      </c>
    </row>
    <row r="271" spans="1:16" x14ac:dyDescent="0.25">
      <c r="A271">
        <f>'Front Page'!A272</f>
        <v>270</v>
      </c>
      <c r="B271" t="str">
        <f>'Front Page'!B272</f>
        <v xml:space="preserve">20.c.ps.141.375 </v>
      </c>
      <c r="C271" t="str">
        <f>'Front Page'!C272</f>
        <v xml:space="preserve">Lakeland Community Theatre, Inc. </v>
      </c>
      <c r="D271">
        <f>'Front Page'!E272</f>
        <v>40000</v>
      </c>
      <c r="E271" s="3">
        <f>ROUND('Front Page'!F272,4)</f>
        <v>91</v>
      </c>
      <c r="F271">
        <f t="shared" si="16"/>
        <v>36400</v>
      </c>
      <c r="G271">
        <f>IF((D271*(E271/100)*Sheet2!$B$4)&gt;1000,(D271*(E271/100)*Sheet2!$B$4),1000)</f>
        <v>6903.0578317146537</v>
      </c>
      <c r="M271">
        <f>IF(G271=1000,1000,(F271*Sheet2!$B$8))</f>
        <v>6891.8275968856578</v>
      </c>
      <c r="N271">
        <f t="shared" si="19"/>
        <v>6891.8275968856578</v>
      </c>
      <c r="O271">
        <f t="shared" si="17"/>
        <v>6891.8275968856578</v>
      </c>
      <c r="P271">
        <f t="shared" si="18"/>
        <v>6907</v>
      </c>
    </row>
    <row r="272" spans="1:16" x14ac:dyDescent="0.25">
      <c r="A272">
        <f>'Front Page'!A273</f>
        <v>271</v>
      </c>
      <c r="B272" t="str">
        <f>'Front Page'!B273</f>
        <v xml:space="preserve">20.c.ps.180.588 </v>
      </c>
      <c r="C272" t="str">
        <f>'Front Page'!C273</f>
        <v xml:space="preserve">Romanza-St. Augustine, Inc. </v>
      </c>
      <c r="D272">
        <f>'Front Page'!E273</f>
        <v>50000</v>
      </c>
      <c r="E272" s="3">
        <f>ROUND('Front Page'!F273,4)</f>
        <v>91</v>
      </c>
      <c r="F272">
        <f t="shared" si="16"/>
        <v>45500</v>
      </c>
      <c r="G272">
        <f>IF((D272*(E272/100)*Sheet2!$B$4)&gt;1000,(D272*(E272/100)*Sheet2!$B$4),1000)</f>
        <v>8628.8222896433181</v>
      </c>
      <c r="M272">
        <f>IF(G272=1000,1000,(F272*Sheet2!$B$8))</f>
        <v>8614.7844961070732</v>
      </c>
      <c r="N272">
        <f t="shared" si="19"/>
        <v>8614.7844961070732</v>
      </c>
      <c r="O272">
        <f t="shared" si="17"/>
        <v>8614.7844961070732</v>
      </c>
      <c r="P272">
        <f t="shared" si="18"/>
        <v>8630</v>
      </c>
    </row>
    <row r="273" spans="1:16" x14ac:dyDescent="0.25">
      <c r="A273">
        <f>'Front Page'!A274</f>
        <v>272</v>
      </c>
      <c r="B273" t="str">
        <f>'Front Page'!B274</f>
        <v xml:space="preserve">20.c.ps.102.663 </v>
      </c>
      <c r="C273" t="str">
        <f>'Front Page'!C274</f>
        <v xml:space="preserve">Southwest Florida Symphony Orchestra and Chorus Association, Inc. </v>
      </c>
      <c r="D273">
        <f>'Front Page'!E274</f>
        <v>150000</v>
      </c>
      <c r="E273" s="3">
        <f>ROUND('Front Page'!F274,4)</f>
        <v>91</v>
      </c>
      <c r="F273">
        <f t="shared" si="16"/>
        <v>136500</v>
      </c>
      <c r="G273">
        <f>IF((D273*(E273/100)*Sheet2!$B$4)&gt;1000,(D273*(E273/100)*Sheet2!$B$4),1000)</f>
        <v>25886.466868929951</v>
      </c>
      <c r="M273">
        <f>IF(G273=1000,1000,(F273*Sheet2!$B$8))</f>
        <v>25844.353488321216</v>
      </c>
      <c r="N273">
        <f t="shared" si="19"/>
        <v>25844.353488321216</v>
      </c>
      <c r="O273">
        <f t="shared" si="17"/>
        <v>25844.353488321216</v>
      </c>
      <c r="P273">
        <f t="shared" si="18"/>
        <v>25859</v>
      </c>
    </row>
    <row r="274" spans="1:16" x14ac:dyDescent="0.25">
      <c r="A274">
        <f>'Front Page'!A275</f>
        <v>273</v>
      </c>
      <c r="B274" t="str">
        <f>'Front Page'!B275</f>
        <v xml:space="preserve">20.c.ps.114.267 </v>
      </c>
      <c r="C274" t="str">
        <f>'Front Page'!C275</f>
        <v xml:space="preserve">Creative Clay, Inc. </v>
      </c>
      <c r="D274">
        <f>'Front Page'!E275</f>
        <v>90000</v>
      </c>
      <c r="E274" s="3">
        <f>ROUND('Front Page'!F275,4)</f>
        <v>91</v>
      </c>
      <c r="F274">
        <f t="shared" si="16"/>
        <v>81900</v>
      </c>
      <c r="G274">
        <f>IF((D274*(E274/100)*Sheet2!$B$4)&gt;1000,(D274*(E274/100)*Sheet2!$B$4),1000)</f>
        <v>15531.880121357972</v>
      </c>
      <c r="M274">
        <f>IF(G274=1000,1000,(F274*Sheet2!$B$8))</f>
        <v>15506.612092992731</v>
      </c>
      <c r="N274">
        <f t="shared" si="19"/>
        <v>15506.612092992731</v>
      </c>
      <c r="O274">
        <f t="shared" si="17"/>
        <v>15506.612092992731</v>
      </c>
      <c r="P274">
        <f t="shared" si="18"/>
        <v>15522</v>
      </c>
    </row>
    <row r="275" spans="1:16" x14ac:dyDescent="0.25">
      <c r="A275">
        <f>'Front Page'!A276</f>
        <v>274</v>
      </c>
      <c r="B275" t="str">
        <f>'Front Page'!B276</f>
        <v xml:space="preserve">20.c.ps.102.543 </v>
      </c>
      <c r="C275" t="str">
        <f>'Front Page'!C276</f>
        <v xml:space="preserve">St. Petersburg Opera Company </v>
      </c>
      <c r="D275">
        <f>'Front Page'!E276</f>
        <v>135000</v>
      </c>
      <c r="E275" s="3">
        <f>ROUND('Front Page'!F276,4)</f>
        <v>90.875</v>
      </c>
      <c r="F275">
        <f t="shared" si="16"/>
        <v>122681.25</v>
      </c>
      <c r="G275">
        <f>IF((D275*(E275/100)*Sheet2!$B$4)&gt;1000,(D275*(E275/100)*Sheet2!$B$4),1000)</f>
        <v>23265.817681786906</v>
      </c>
      <c r="M275">
        <f>IF(G275=1000,1000,(F275*Sheet2!$B$8))</f>
        <v>23227.967702484304</v>
      </c>
      <c r="N275">
        <f t="shared" si="19"/>
        <v>23227.967702484304</v>
      </c>
      <c r="O275">
        <f t="shared" si="17"/>
        <v>23227.967702484304</v>
      </c>
      <c r="P275">
        <f t="shared" si="18"/>
        <v>23243</v>
      </c>
    </row>
    <row r="276" spans="1:16" x14ac:dyDescent="0.25">
      <c r="A276">
        <f>'Front Page'!A277</f>
        <v>275</v>
      </c>
      <c r="B276" t="str">
        <f>'Front Page'!B277</f>
        <v xml:space="preserve">20.c.ps.180.589 </v>
      </c>
      <c r="C276" t="str">
        <f>'Front Page'!C277</f>
        <v xml:space="preserve">Maxwell C. King Center for the Performing Arts, Inc. </v>
      </c>
      <c r="D276">
        <f>'Front Page'!E277</f>
        <v>150000</v>
      </c>
      <c r="E276" s="3">
        <f>ROUND('Front Page'!F277,4)</f>
        <v>90.856999999999999</v>
      </c>
      <c r="F276">
        <f t="shared" si="16"/>
        <v>136285.5</v>
      </c>
      <c r="G276">
        <f>IF((D276*(E276/100)*Sheet2!$B$4)&gt;1000,(D276*(E276/100)*Sheet2!$B$4),1000)</f>
        <v>25845.788135278777</v>
      </c>
      <c r="M276">
        <f>IF(G276=1000,1000,(F276*Sheet2!$B$8))</f>
        <v>25803.74093283957</v>
      </c>
      <c r="N276">
        <f t="shared" si="19"/>
        <v>25803.74093283957</v>
      </c>
      <c r="O276">
        <f t="shared" si="17"/>
        <v>25803.74093283957</v>
      </c>
      <c r="P276">
        <f t="shared" si="18"/>
        <v>25819</v>
      </c>
    </row>
    <row r="277" spans="1:16" x14ac:dyDescent="0.25">
      <c r="A277">
        <f>'Front Page'!A278</f>
        <v>276</v>
      </c>
      <c r="B277" t="str">
        <f>'Front Page'!B278</f>
        <v xml:space="preserve">20.c.ps.170.080 </v>
      </c>
      <c r="C277" t="str">
        <f>'Front Page'!C278</f>
        <v xml:space="preserve">The Saint Augustine Lighthouse and Museum </v>
      </c>
      <c r="D277">
        <f>'Front Page'!E278</f>
        <v>150000</v>
      </c>
      <c r="E277" s="3">
        <f>ROUND('Front Page'!F278,4)</f>
        <v>90.856999999999999</v>
      </c>
      <c r="F277">
        <f t="shared" si="16"/>
        <v>136285.5</v>
      </c>
      <c r="G277">
        <f>IF((D277*(E277/100)*Sheet2!$B$4)&gt;1000,(D277*(E277/100)*Sheet2!$B$4),1000)</f>
        <v>25845.788135278777</v>
      </c>
      <c r="M277">
        <f>IF(G277=1000,1000,(F277*Sheet2!$B$8))</f>
        <v>25803.74093283957</v>
      </c>
      <c r="N277">
        <f t="shared" si="19"/>
        <v>25803.74093283957</v>
      </c>
      <c r="O277">
        <f t="shared" si="17"/>
        <v>25803.74093283957</v>
      </c>
      <c r="P277">
        <f t="shared" si="18"/>
        <v>25819</v>
      </c>
    </row>
    <row r="278" spans="1:16" x14ac:dyDescent="0.25">
      <c r="A278">
        <f>'Front Page'!A279</f>
        <v>277</v>
      </c>
      <c r="B278" t="str">
        <f>'Front Page'!B279</f>
        <v xml:space="preserve">20.c.ps.170.434 </v>
      </c>
      <c r="C278" t="str">
        <f>'Front Page'!C279</f>
        <v xml:space="preserve">South Florida Science Center and Aquarium, Inc. </v>
      </c>
      <c r="D278">
        <f>'Front Page'!E279</f>
        <v>150000</v>
      </c>
      <c r="E278" s="3">
        <f>ROUND('Front Page'!F279,4)</f>
        <v>90.856999999999999</v>
      </c>
      <c r="F278">
        <f t="shared" si="16"/>
        <v>136285.5</v>
      </c>
      <c r="G278">
        <f>IF((D278*(E278/100)*Sheet2!$B$4)&gt;1000,(D278*(E278/100)*Sheet2!$B$4),1000)</f>
        <v>25845.788135278777</v>
      </c>
      <c r="M278">
        <f>IF(G278=1000,1000,(F278*Sheet2!$B$8))</f>
        <v>25803.74093283957</v>
      </c>
      <c r="N278">
        <f t="shared" si="19"/>
        <v>25803.74093283957</v>
      </c>
      <c r="O278">
        <f t="shared" si="17"/>
        <v>25803.74093283957</v>
      </c>
      <c r="P278">
        <f t="shared" si="18"/>
        <v>25819</v>
      </c>
    </row>
    <row r="279" spans="1:16" x14ac:dyDescent="0.25">
      <c r="A279">
        <f>'Front Page'!A280</f>
        <v>278</v>
      </c>
      <c r="B279" t="str">
        <f>'Front Page'!B280</f>
        <v xml:space="preserve">20.c.ps.170.111 </v>
      </c>
      <c r="C279" t="str">
        <f>'Front Page'!C280</f>
        <v xml:space="preserve">Bok Tower Gardens, Inc. </v>
      </c>
      <c r="D279">
        <f>'Front Page'!E280</f>
        <v>150000</v>
      </c>
      <c r="E279" s="3">
        <f>ROUND('Front Page'!F280,4)</f>
        <v>90.832999999999998</v>
      </c>
      <c r="F279">
        <f t="shared" si="16"/>
        <v>136249.5</v>
      </c>
      <c r="G279">
        <f>IF((D279*(E279/100)*Sheet2!$B$4)&gt;1000,(D279*(E279/100)*Sheet2!$B$4),1000)</f>
        <v>25838.960935225434</v>
      </c>
      <c r="M279">
        <f>IF(G279=1000,1000,(F279*Sheet2!$B$8))</f>
        <v>25796.924839611882</v>
      </c>
      <c r="N279">
        <f t="shared" si="19"/>
        <v>25796.924839611882</v>
      </c>
      <c r="O279">
        <f t="shared" si="17"/>
        <v>25796.924839611882</v>
      </c>
      <c r="P279">
        <f t="shared" si="18"/>
        <v>25812</v>
      </c>
    </row>
    <row r="280" spans="1:16" x14ac:dyDescent="0.25">
      <c r="A280">
        <f>'Front Page'!A281</f>
        <v>279</v>
      </c>
      <c r="B280" t="str">
        <f>'Front Page'!B281</f>
        <v xml:space="preserve">20.c.ps.109.293 </v>
      </c>
      <c r="C280" t="str">
        <f>'Front Page'!C281</f>
        <v xml:space="preserve">Miami Beach Film Society, Inc. </v>
      </c>
      <c r="D280">
        <f>'Front Page'!E281</f>
        <v>43000</v>
      </c>
      <c r="E280" s="3">
        <f>ROUND('Front Page'!F281,4)</f>
        <v>90.75</v>
      </c>
      <c r="F280">
        <f t="shared" si="16"/>
        <v>39022.5</v>
      </c>
      <c r="G280">
        <f>IF((D280*(E280/100)*Sheet2!$B$4)&gt;1000,(D280*(E280/100)*Sheet2!$B$4),1000)</f>
        <v>7400.400391156184</v>
      </c>
      <c r="M280">
        <f>IF(G280=1000,1000,(F280*Sheet2!$B$8))</f>
        <v>7388.3610549305104</v>
      </c>
      <c r="N280">
        <f t="shared" si="19"/>
        <v>7388.3610549305104</v>
      </c>
      <c r="O280">
        <f t="shared" si="17"/>
        <v>7388.3610549305104</v>
      </c>
      <c r="P280">
        <f t="shared" si="18"/>
        <v>7403</v>
      </c>
    </row>
    <row r="281" spans="1:16" x14ac:dyDescent="0.25">
      <c r="A281">
        <f>'Front Page'!A282</f>
        <v>280</v>
      </c>
      <c r="B281" t="str">
        <f>'Front Page'!B282</f>
        <v xml:space="preserve">20.c.ps.180.226 </v>
      </c>
      <c r="C281" t="str">
        <f>'Front Page'!C282</f>
        <v xml:space="preserve">Sunfest of Palm Beach County, Inc. </v>
      </c>
      <c r="D281">
        <f>'Front Page'!E282</f>
        <v>150000</v>
      </c>
      <c r="E281" s="3">
        <f>ROUND('Front Page'!F282,4)</f>
        <v>90.713999999999999</v>
      </c>
      <c r="F281">
        <f t="shared" si="16"/>
        <v>136071</v>
      </c>
      <c r="G281">
        <f>IF((D281*(E281/100)*Sheet2!$B$4)&gt;1000,(D281*(E281/100)*Sheet2!$B$4),1000)</f>
        <v>25805.1094016276</v>
      </c>
      <c r="M281">
        <f>IF(G281=1000,1000,(F281*Sheet2!$B$8))</f>
        <v>25763.128377357923</v>
      </c>
      <c r="N281">
        <f t="shared" si="19"/>
        <v>25763.128377357923</v>
      </c>
      <c r="O281">
        <f t="shared" si="17"/>
        <v>25763.128377357923</v>
      </c>
      <c r="P281">
        <f t="shared" si="18"/>
        <v>25778</v>
      </c>
    </row>
    <row r="282" spans="1:16" x14ac:dyDescent="0.25">
      <c r="A282">
        <f>'Front Page'!A283</f>
        <v>281</v>
      </c>
      <c r="B282" t="str">
        <f>'Front Page'!B283</f>
        <v xml:space="preserve">20.c.ps.170.430 </v>
      </c>
      <c r="C282" t="str">
        <f>'Front Page'!C283</f>
        <v xml:space="preserve">Fort Lauderdale Historical Society, Inc. </v>
      </c>
      <c r="D282">
        <f>'Front Page'!E283</f>
        <v>85000</v>
      </c>
      <c r="E282" s="3">
        <f>ROUND('Front Page'!F283,4)</f>
        <v>90.713999999999999</v>
      </c>
      <c r="F282">
        <f t="shared" si="16"/>
        <v>77106.899999999994</v>
      </c>
      <c r="G282">
        <f>IF((D282*(E282/100)*Sheet2!$B$4)&gt;1000,(D282*(E282/100)*Sheet2!$B$4),1000)</f>
        <v>14622.895327588973</v>
      </c>
      <c r="M282">
        <f>IF(G282=1000,1000,(F282*Sheet2!$B$8))</f>
        <v>14599.106080502821</v>
      </c>
      <c r="N282">
        <f t="shared" si="19"/>
        <v>14599.106080502821</v>
      </c>
      <c r="O282">
        <f t="shared" si="17"/>
        <v>14599.106080502821</v>
      </c>
      <c r="P282">
        <f t="shared" si="18"/>
        <v>14614</v>
      </c>
    </row>
    <row r="283" spans="1:16" x14ac:dyDescent="0.25">
      <c r="A283">
        <f>'Front Page'!A284</f>
        <v>282</v>
      </c>
      <c r="B283" t="str">
        <f>'Front Page'!B284</f>
        <v xml:space="preserve">20.c.ps.109.214 </v>
      </c>
      <c r="C283" t="str">
        <f>'Front Page'!C284</f>
        <v xml:space="preserve">Friends of the Festival, Inc. </v>
      </c>
      <c r="D283">
        <f>'Front Page'!E284</f>
        <v>39300</v>
      </c>
      <c r="E283" s="3">
        <f>ROUND('Front Page'!F284,4)</f>
        <v>90.667000000000002</v>
      </c>
      <c r="F283">
        <f t="shared" si="16"/>
        <v>35632.131000000001</v>
      </c>
      <c r="G283">
        <f>IF((D283*(E283/100)*Sheet2!$B$4)&gt;1000,(D283*(E283/100)*Sheet2!$B$4),1000)</f>
        <v>6757.4357406657282</v>
      </c>
      <c r="M283">
        <f>IF(G283=1000,1000,(F283*Sheet2!$B$8))</f>
        <v>6746.4424110342025</v>
      </c>
      <c r="N283">
        <f t="shared" si="19"/>
        <v>6746.4424110342025</v>
      </c>
      <c r="O283">
        <f t="shared" si="17"/>
        <v>6746.4424110342025</v>
      </c>
      <c r="P283">
        <f t="shared" si="18"/>
        <v>6761</v>
      </c>
    </row>
    <row r="284" spans="1:16" x14ac:dyDescent="0.25">
      <c r="A284">
        <f>'Front Page'!A285</f>
        <v>283</v>
      </c>
      <c r="B284" t="str">
        <f>'Front Page'!B285</f>
        <v xml:space="preserve">20.c.ps.170.696 </v>
      </c>
      <c r="C284" t="str">
        <f>'Front Page'!C285</f>
        <v xml:space="preserve">Tampa Museum of Art, Inc. </v>
      </c>
      <c r="D284">
        <f>'Front Page'!E285</f>
        <v>150000</v>
      </c>
      <c r="E284" s="3">
        <f>ROUND('Front Page'!F285,4)</f>
        <v>90.667000000000002</v>
      </c>
      <c r="F284">
        <f t="shared" si="16"/>
        <v>136000.5</v>
      </c>
      <c r="G284">
        <f>IF((D284*(E284/100)*Sheet2!$B$4)&gt;1000,(D284*(E284/100)*Sheet2!$B$4),1000)</f>
        <v>25791.7394681898</v>
      </c>
      <c r="M284">
        <f>IF(G284=1000,1000,(F284*Sheet2!$B$8))</f>
        <v>25749.780194787032</v>
      </c>
      <c r="N284">
        <f t="shared" si="19"/>
        <v>25749.780194787032</v>
      </c>
      <c r="O284">
        <f t="shared" si="17"/>
        <v>25749.780194787032</v>
      </c>
      <c r="P284">
        <f t="shared" si="18"/>
        <v>25765</v>
      </c>
    </row>
    <row r="285" spans="1:16" x14ac:dyDescent="0.25">
      <c r="A285">
        <f>'Front Page'!A286</f>
        <v>284</v>
      </c>
      <c r="B285" t="str">
        <f>'Front Page'!B286</f>
        <v xml:space="preserve">20.c.ps.500.573 </v>
      </c>
      <c r="C285" t="str">
        <f>'Front Page'!C286</f>
        <v xml:space="preserve">Cultural Council of Greater Jacksonville, Inc. </v>
      </c>
      <c r="D285">
        <f>'Front Page'!E286</f>
        <v>150000</v>
      </c>
      <c r="E285" s="3">
        <f>ROUND('Front Page'!F286,4)</f>
        <v>90.667000000000002</v>
      </c>
      <c r="F285">
        <f t="shared" si="16"/>
        <v>136000.5</v>
      </c>
      <c r="G285">
        <f>IF((D285*(E285/100)*Sheet2!$B$4)&gt;1000,(D285*(E285/100)*Sheet2!$B$4),1000)</f>
        <v>25791.7394681898</v>
      </c>
      <c r="M285">
        <f>IF(G285=1000,1000,(F285*Sheet2!$B$8))</f>
        <v>25749.780194787032</v>
      </c>
      <c r="N285">
        <f t="shared" si="19"/>
        <v>25749.780194787032</v>
      </c>
      <c r="O285">
        <f t="shared" si="17"/>
        <v>25749.780194787032</v>
      </c>
      <c r="P285">
        <f t="shared" si="18"/>
        <v>25765</v>
      </c>
    </row>
    <row r="286" spans="1:16" x14ac:dyDescent="0.25">
      <c r="A286">
        <f>'Front Page'!A287</f>
        <v>285</v>
      </c>
      <c r="B286" t="str">
        <f>'Front Page'!B287</f>
        <v xml:space="preserve">20.c.ps.180.786 </v>
      </c>
      <c r="C286" t="str">
        <f>'Front Page'!C287</f>
        <v xml:space="preserve">Creative City Project, Inc. </v>
      </c>
      <c r="D286">
        <f>'Front Page'!E287</f>
        <v>46000</v>
      </c>
      <c r="E286" s="3">
        <f>ROUND('Front Page'!F287,4)</f>
        <v>90.667000000000002</v>
      </c>
      <c r="F286">
        <f t="shared" si="16"/>
        <v>41706.82</v>
      </c>
      <c r="G286">
        <f>IF((D286*(E286/100)*Sheet2!$B$4)&gt;1000,(D286*(E286/100)*Sheet2!$B$4),1000)</f>
        <v>7909.4667702448724</v>
      </c>
      <c r="M286">
        <f>IF(G286=1000,1000,(F286*Sheet2!$B$8))</f>
        <v>7896.5992597346894</v>
      </c>
      <c r="N286">
        <f t="shared" si="19"/>
        <v>7896.5992597346894</v>
      </c>
      <c r="O286">
        <f t="shared" si="17"/>
        <v>7896.5992597346894</v>
      </c>
      <c r="P286">
        <f t="shared" si="18"/>
        <v>7912</v>
      </c>
    </row>
    <row r="287" spans="1:16" x14ac:dyDescent="0.25">
      <c r="A287">
        <f>'Front Page'!A288</f>
        <v>286</v>
      </c>
      <c r="B287" t="str">
        <f>'Front Page'!B288</f>
        <v xml:space="preserve">20.c.ps.180.745 </v>
      </c>
      <c r="C287" t="str">
        <f>'Front Page'!C288</f>
        <v xml:space="preserve">Gasparilla Music Foundation, Inc </v>
      </c>
      <c r="D287">
        <f>'Front Page'!E288</f>
        <v>139300</v>
      </c>
      <c r="E287" s="3">
        <f>ROUND('Front Page'!F288,4)</f>
        <v>90.570999999999998</v>
      </c>
      <c r="F287">
        <f t="shared" si="16"/>
        <v>126165.40300000001</v>
      </c>
      <c r="G287">
        <f>IF((D287*(E287/100)*Sheet2!$B$4)&gt;1000,(D287*(E287/100)*Sheet2!$B$4),1000)</f>
        <v>23926.56794699411</v>
      </c>
      <c r="M287">
        <f>IF(G287=1000,1000,(F287*Sheet2!$B$8))</f>
        <v>23887.643026582435</v>
      </c>
      <c r="N287">
        <f t="shared" si="19"/>
        <v>23887.643026582435</v>
      </c>
      <c r="O287">
        <f t="shared" si="17"/>
        <v>23887.643026582435</v>
      </c>
      <c r="P287">
        <f t="shared" si="18"/>
        <v>23903</v>
      </c>
    </row>
    <row r="288" spans="1:16" x14ac:dyDescent="0.25">
      <c r="A288">
        <f>'Front Page'!A289</f>
        <v>287</v>
      </c>
      <c r="B288" t="str">
        <f>'Front Page'!B289</f>
        <v xml:space="preserve">20.c.ps.170.098 </v>
      </c>
      <c r="C288" t="str">
        <f>'Front Page'!C289</f>
        <v xml:space="preserve">Davie School Foundation, Inc. </v>
      </c>
      <c r="D288">
        <f>'Front Page'!E289</f>
        <v>67359</v>
      </c>
      <c r="E288" s="3">
        <f>ROUND('Front Page'!F289,4)</f>
        <v>90.570999999999998</v>
      </c>
      <c r="F288">
        <f t="shared" si="16"/>
        <v>61007.71989</v>
      </c>
      <c r="G288">
        <f>IF((D288*(E288/100)*Sheet2!$B$4)&gt;1000,(D288*(E288/100)*Sheet2!$B$4),1000)</f>
        <v>11569.775235761494</v>
      </c>
      <c r="M288">
        <f>IF(G288=1000,1000,(F288*Sheet2!$B$8))</f>
        <v>11550.952954971759</v>
      </c>
      <c r="N288">
        <f t="shared" si="19"/>
        <v>11550.952954971759</v>
      </c>
      <c r="O288">
        <f t="shared" si="17"/>
        <v>11550.952954971759</v>
      </c>
      <c r="P288">
        <f t="shared" si="18"/>
        <v>11566</v>
      </c>
    </row>
    <row r="289" spans="1:16" x14ac:dyDescent="0.25">
      <c r="A289">
        <f>'Front Page'!A290</f>
        <v>288</v>
      </c>
      <c r="B289" t="str">
        <f>'Front Page'!B290</f>
        <v xml:space="preserve">20.c.ps.114.656 </v>
      </c>
      <c r="C289" t="str">
        <f>'Front Page'!C290</f>
        <v xml:space="preserve">Barrier Island Group for the Arts, Inc. </v>
      </c>
      <c r="D289">
        <f>'Front Page'!E290</f>
        <v>25000</v>
      </c>
      <c r="E289" s="3">
        <f>ROUND('Front Page'!F290,4)</f>
        <v>90.570999999999998</v>
      </c>
      <c r="F289">
        <f t="shared" si="16"/>
        <v>22642.75</v>
      </c>
      <c r="G289">
        <f>IF((D289*(E289/100)*Sheet2!$B$4)&gt;1000,(D289*(E289/100)*Sheet2!$B$4),1000)</f>
        <v>4294.0717779960705</v>
      </c>
      <c r="M289">
        <f>IF(G289=1000,1000,(F289*Sheet2!$B$8))</f>
        <v>4287.0859703127126</v>
      </c>
      <c r="N289">
        <f t="shared" si="19"/>
        <v>4287.0859703127126</v>
      </c>
      <c r="O289">
        <f t="shared" si="17"/>
        <v>4287.0859703127126</v>
      </c>
      <c r="P289">
        <f t="shared" si="18"/>
        <v>4302</v>
      </c>
    </row>
    <row r="290" spans="1:16" x14ac:dyDescent="0.25">
      <c r="A290">
        <f>'Front Page'!A291</f>
        <v>289</v>
      </c>
      <c r="B290" t="str">
        <f>'Front Page'!B291</f>
        <v xml:space="preserve">20.c.ps.141.180 </v>
      </c>
      <c r="C290" t="str">
        <f>'Front Page'!C291</f>
        <v xml:space="preserve">Limelight Theatre, Inc. </v>
      </c>
      <c r="D290">
        <f>'Front Page'!E291</f>
        <v>76000</v>
      </c>
      <c r="E290" s="3">
        <f>ROUND('Front Page'!F291,4)</f>
        <v>90.570999999999998</v>
      </c>
      <c r="F290">
        <f t="shared" si="16"/>
        <v>68833.960000000006</v>
      </c>
      <c r="G290">
        <f>IF((D290*(E290/100)*Sheet2!$B$4)&gt;1000,(D290*(E290/100)*Sheet2!$B$4),1000)</f>
        <v>13053.978205108056</v>
      </c>
      <c r="M290">
        <f>IF(G290=1000,1000,(F290*Sheet2!$B$8))</f>
        <v>13032.741349750648</v>
      </c>
      <c r="N290">
        <f t="shared" si="19"/>
        <v>13032.741349750648</v>
      </c>
      <c r="O290">
        <f t="shared" si="17"/>
        <v>13032.741349750648</v>
      </c>
      <c r="P290">
        <f t="shared" si="18"/>
        <v>13048</v>
      </c>
    </row>
    <row r="291" spans="1:16" x14ac:dyDescent="0.25">
      <c r="A291">
        <f>'Front Page'!A292</f>
        <v>290</v>
      </c>
      <c r="B291" t="str">
        <f>'Front Page'!B292</f>
        <v xml:space="preserve">20.c.ps.114.259 </v>
      </c>
      <c r="C291" t="str">
        <f>'Front Page'!C292</f>
        <v xml:space="preserve">The Cultural Center at Ponte Vedra Beach, Inc. </v>
      </c>
      <c r="D291">
        <f>'Front Page'!E292</f>
        <v>90000</v>
      </c>
      <c r="E291" s="3">
        <f>ROUND('Front Page'!F292,4)</f>
        <v>90.570999999999998</v>
      </c>
      <c r="F291">
        <f t="shared" si="16"/>
        <v>81513.899999999994</v>
      </c>
      <c r="G291">
        <f>IF((D291*(E291/100)*Sheet2!$B$4)&gt;1000,(D291*(E291/100)*Sheet2!$B$4),1000)</f>
        <v>15458.658400785855</v>
      </c>
      <c r="M291">
        <f>IF(G291=1000,1000,(F291*Sheet2!$B$8))</f>
        <v>15433.509493125764</v>
      </c>
      <c r="N291">
        <f t="shared" si="19"/>
        <v>15433.509493125764</v>
      </c>
      <c r="O291">
        <f t="shared" si="17"/>
        <v>15433.509493125764</v>
      </c>
      <c r="P291">
        <f t="shared" si="18"/>
        <v>15448</v>
      </c>
    </row>
    <row r="292" spans="1:16" x14ac:dyDescent="0.25">
      <c r="A292">
        <f>'Front Page'!A293</f>
        <v>291</v>
      </c>
      <c r="B292" t="str">
        <f>'Front Page'!B293</f>
        <v xml:space="preserve">20.c.ps.170.329 </v>
      </c>
      <c r="C292" t="str">
        <f>'Front Page'!C293</f>
        <v xml:space="preserve">Vero Beach Museum of Art, Inc. </v>
      </c>
      <c r="D292">
        <f>'Front Page'!E293</f>
        <v>150000</v>
      </c>
      <c r="E292" s="3">
        <f>ROUND('Front Page'!F293,4)</f>
        <v>90.5</v>
      </c>
      <c r="F292">
        <f t="shared" si="16"/>
        <v>135750</v>
      </c>
      <c r="G292">
        <f>IF((D292*(E292/100)*Sheet2!$B$4)&gt;1000,(D292*(E292/100)*Sheet2!$B$4),1000)</f>
        <v>25744.233534485284</v>
      </c>
      <c r="M292">
        <f>IF(G292=1000,1000,(F292*Sheet2!$B$8))</f>
        <v>25702.351546077694</v>
      </c>
      <c r="N292">
        <f t="shared" si="19"/>
        <v>25702.351546077694</v>
      </c>
      <c r="O292">
        <f t="shared" si="17"/>
        <v>25702.351546077694</v>
      </c>
      <c r="P292">
        <f t="shared" si="18"/>
        <v>25717</v>
      </c>
    </row>
    <row r="293" spans="1:16" x14ac:dyDescent="0.25">
      <c r="A293">
        <f>'Front Page'!A294</f>
        <v>292</v>
      </c>
      <c r="B293" t="str">
        <f>'Front Page'!B294</f>
        <v xml:space="preserve">20.c.ps.180.201 </v>
      </c>
      <c r="C293" t="str">
        <f>'Front Page'!C294</f>
        <v xml:space="preserve">WSLR </v>
      </c>
      <c r="D293">
        <f>'Front Page'!E294</f>
        <v>25000</v>
      </c>
      <c r="E293" s="3">
        <f>ROUND('Front Page'!F294,4)</f>
        <v>90.5</v>
      </c>
      <c r="F293">
        <f t="shared" si="16"/>
        <v>22625</v>
      </c>
      <c r="G293">
        <f>IF((D293*(E293/100)*Sheet2!$B$4)&gt;1000,(D293*(E293/100)*Sheet2!$B$4),1000)</f>
        <v>4290.7055890808806</v>
      </c>
      <c r="M293">
        <f>IF(G293=1000,1000,(F293*Sheet2!$B$8))</f>
        <v>4283.7252576796154</v>
      </c>
      <c r="N293">
        <f t="shared" si="19"/>
        <v>4283.7252576796154</v>
      </c>
      <c r="O293">
        <f t="shared" si="17"/>
        <v>4283.7252576796154</v>
      </c>
      <c r="P293">
        <f t="shared" si="18"/>
        <v>4299</v>
      </c>
    </row>
    <row r="294" spans="1:16" x14ac:dyDescent="0.25">
      <c r="A294">
        <f>'Front Page'!A295</f>
        <v>293</v>
      </c>
      <c r="B294" t="str">
        <f>'Front Page'!B295</f>
        <v xml:space="preserve">20.c.ps.500.294 </v>
      </c>
      <c r="C294" t="str">
        <f>'Front Page'!C295</f>
        <v xml:space="preserve">Cultural Council of Palm Beach County, Inc. </v>
      </c>
      <c r="D294">
        <f>'Front Page'!E295</f>
        <v>150000</v>
      </c>
      <c r="E294" s="3">
        <f>ROUND('Front Page'!F295,4)</f>
        <v>90.5</v>
      </c>
      <c r="F294">
        <f t="shared" si="16"/>
        <v>135750</v>
      </c>
      <c r="G294">
        <f>IF((D294*(E294/100)*Sheet2!$B$4)&gt;1000,(D294*(E294/100)*Sheet2!$B$4),1000)</f>
        <v>25744.233534485284</v>
      </c>
      <c r="M294">
        <f>IF(G294=1000,1000,(F294*Sheet2!$B$8))</f>
        <v>25702.351546077694</v>
      </c>
      <c r="N294">
        <f t="shared" si="19"/>
        <v>25702.351546077694</v>
      </c>
      <c r="O294">
        <f t="shared" si="17"/>
        <v>25702.351546077694</v>
      </c>
      <c r="P294">
        <f t="shared" si="18"/>
        <v>25717</v>
      </c>
    </row>
    <row r="295" spans="1:16" x14ac:dyDescent="0.25">
      <c r="A295">
        <f>'Front Page'!A296</f>
        <v>294</v>
      </c>
      <c r="B295" t="str">
        <f>'Front Page'!B296</f>
        <v xml:space="preserve">20.c.ps.180.328 </v>
      </c>
      <c r="C295" t="str">
        <f>'Front Page'!C296</f>
        <v xml:space="preserve">Miami Dade College </v>
      </c>
      <c r="D295">
        <f>'Front Page'!E296</f>
        <v>90000</v>
      </c>
      <c r="E295" s="3">
        <f>ROUND('Front Page'!F296,4)</f>
        <v>90.5</v>
      </c>
      <c r="F295">
        <f t="shared" si="16"/>
        <v>81450</v>
      </c>
      <c r="G295">
        <f>IF((D295*(E295/100)*Sheet2!$B$4)&gt;1000,(D295*(E295/100)*Sheet2!$B$4),1000)</f>
        <v>15446.54012069117</v>
      </c>
      <c r="M295">
        <f>IF(G295=1000,1000,(F295*Sheet2!$B$8))</f>
        <v>15421.410927646617</v>
      </c>
      <c r="N295">
        <f t="shared" si="19"/>
        <v>15421.410927646617</v>
      </c>
      <c r="O295">
        <f t="shared" si="17"/>
        <v>15421.410927646617</v>
      </c>
      <c r="P295">
        <f t="shared" si="18"/>
        <v>15436</v>
      </c>
    </row>
    <row r="296" spans="1:16" x14ac:dyDescent="0.25">
      <c r="A296">
        <f>'Front Page'!A297</f>
        <v>295</v>
      </c>
      <c r="B296" t="str">
        <f>'Front Page'!B297</f>
        <v xml:space="preserve">20.c.ps.170.561 </v>
      </c>
      <c r="C296" t="str">
        <f>'Front Page'!C297</f>
        <v xml:space="preserve">The Florida International University Board of Trustees </v>
      </c>
      <c r="D296">
        <f>'Front Page'!E297</f>
        <v>150000</v>
      </c>
      <c r="E296" s="3">
        <f>ROUND('Front Page'!F297,4)</f>
        <v>90.429000000000002</v>
      </c>
      <c r="F296">
        <f t="shared" si="16"/>
        <v>135643.5</v>
      </c>
      <c r="G296">
        <f>IF((D296*(E296/100)*Sheet2!$B$4)&gt;1000,(D296*(E296/100)*Sheet2!$B$4),1000)</f>
        <v>25724.03640099414</v>
      </c>
      <c r="M296">
        <f>IF(G296=1000,1000,(F296*Sheet2!$B$8))</f>
        <v>25682.187270279115</v>
      </c>
      <c r="N296">
        <f t="shared" si="19"/>
        <v>25682.187270279115</v>
      </c>
      <c r="O296">
        <f t="shared" si="17"/>
        <v>25682.187270279115</v>
      </c>
      <c r="P296">
        <f t="shared" si="18"/>
        <v>25697</v>
      </c>
    </row>
    <row r="297" spans="1:16" x14ac:dyDescent="0.25">
      <c r="A297">
        <f>'Front Page'!A298</f>
        <v>296</v>
      </c>
      <c r="B297" t="str">
        <f>'Front Page'!B298</f>
        <v xml:space="preserve">20.c.ps.170.283 </v>
      </c>
      <c r="C297" t="str">
        <f>'Front Page'!C298</f>
        <v xml:space="preserve">Flamingo Gardens, Inc. </v>
      </c>
      <c r="D297">
        <f>'Front Page'!E298</f>
        <v>150000</v>
      </c>
      <c r="E297" s="3">
        <f>ROUND('Front Page'!F298,4)</f>
        <v>90.429000000000002</v>
      </c>
      <c r="F297">
        <f t="shared" si="16"/>
        <v>135643.5</v>
      </c>
      <c r="G297">
        <f>IF((D297*(E297/100)*Sheet2!$B$4)&gt;1000,(D297*(E297/100)*Sheet2!$B$4),1000)</f>
        <v>25724.03640099414</v>
      </c>
      <c r="M297">
        <f>IF(G297=1000,1000,(F297*Sheet2!$B$8))</f>
        <v>25682.187270279115</v>
      </c>
      <c r="N297">
        <f t="shared" si="19"/>
        <v>25682.187270279115</v>
      </c>
      <c r="O297">
        <f t="shared" si="17"/>
        <v>25682.187270279115</v>
      </c>
      <c r="P297">
        <f t="shared" si="18"/>
        <v>25697</v>
      </c>
    </row>
    <row r="298" spans="1:16" x14ac:dyDescent="0.25">
      <c r="A298">
        <f>'Front Page'!A299</f>
        <v>297</v>
      </c>
      <c r="B298" t="str">
        <f>'Front Page'!B299</f>
        <v xml:space="preserve">20.c.ps.105.363 </v>
      </c>
      <c r="C298" t="str">
        <f>'Front Page'!C299</f>
        <v xml:space="preserve">The St. Augustine Art Association </v>
      </c>
      <c r="D298">
        <f>'Front Page'!E299</f>
        <v>40000</v>
      </c>
      <c r="E298" s="3">
        <f>ROUND('Front Page'!F299,4)</f>
        <v>90.4</v>
      </c>
      <c r="F298">
        <f t="shared" si="16"/>
        <v>36160</v>
      </c>
      <c r="G298">
        <f>IF((D298*(E298/100)*Sheet2!$B$4)&gt;1000,(D298*(E298/100)*Sheet2!$B$4),1000)</f>
        <v>6857.5431646923598</v>
      </c>
      <c r="M298">
        <f>IF(G298=1000,1000,(F298*Sheet2!$B$8))</f>
        <v>6846.3869753677309</v>
      </c>
      <c r="N298">
        <f t="shared" si="19"/>
        <v>6846.3869753677309</v>
      </c>
      <c r="O298">
        <f t="shared" si="17"/>
        <v>6846.3869753677309</v>
      </c>
      <c r="P298">
        <f t="shared" si="18"/>
        <v>6861</v>
      </c>
    </row>
    <row r="299" spans="1:16" x14ac:dyDescent="0.25">
      <c r="A299">
        <f>'Front Page'!A300</f>
        <v>298</v>
      </c>
      <c r="B299" t="str">
        <f>'Front Page'!B300</f>
        <v xml:space="preserve">20.c.ps.142.130 </v>
      </c>
      <c r="C299" t="str">
        <f>'Front Page'!C300</f>
        <v xml:space="preserve">Arca Images, Inc. </v>
      </c>
      <c r="D299">
        <f>'Front Page'!E300</f>
        <v>15000</v>
      </c>
      <c r="E299" s="3">
        <f>ROUND('Front Page'!F300,4)</f>
        <v>90.332999999999998</v>
      </c>
      <c r="F299">
        <f t="shared" si="16"/>
        <v>13549.949999999999</v>
      </c>
      <c r="G299">
        <f>IF((D299*(E299/100)*Sheet2!$B$4)&gt;1000,(D299*(E299/100)*Sheet2!$B$4),1000)</f>
        <v>2569.672760078076</v>
      </c>
      <c r="M299">
        <f>IF(G299=1000,1000,(F299*Sheet2!$B$8))</f>
        <v>2565.4922897368356</v>
      </c>
      <c r="N299">
        <f t="shared" si="19"/>
        <v>2565.4922897368356</v>
      </c>
      <c r="O299">
        <f t="shared" si="17"/>
        <v>2565.4922897368356</v>
      </c>
      <c r="P299">
        <f t="shared" si="18"/>
        <v>2580</v>
      </c>
    </row>
    <row r="300" spans="1:16" x14ac:dyDescent="0.25">
      <c r="A300">
        <f>'Front Page'!A301</f>
        <v>299</v>
      </c>
      <c r="B300" t="str">
        <f>'Front Page'!B301</f>
        <v xml:space="preserve">20.c.ps.114.751 </v>
      </c>
      <c r="C300" t="str">
        <f>'Front Page'!C301</f>
        <v xml:space="preserve">Santa Fe College </v>
      </c>
      <c r="D300">
        <f>'Front Page'!E301</f>
        <v>48288</v>
      </c>
      <c r="E300" s="3">
        <f>ROUND('Front Page'!F301,4)</f>
        <v>90.286000000000001</v>
      </c>
      <c r="F300">
        <f t="shared" si="16"/>
        <v>43597.303679999997</v>
      </c>
      <c r="G300">
        <f>IF((D300*(E300/100)*Sheet2!$B$4)&gt;1000,(D300*(E300/100)*Sheet2!$B$4),1000)</f>
        <v>8267.9865002710467</v>
      </c>
      <c r="M300">
        <f>IF(G300=1000,1000,(F300*Sheet2!$B$8))</f>
        <v>8254.5357321875999</v>
      </c>
      <c r="N300">
        <f t="shared" si="19"/>
        <v>8254.5357321875999</v>
      </c>
      <c r="O300">
        <f t="shared" si="17"/>
        <v>8254.5357321875999</v>
      </c>
      <c r="P300">
        <f t="shared" si="18"/>
        <v>8269</v>
      </c>
    </row>
    <row r="301" spans="1:16" x14ac:dyDescent="0.25">
      <c r="A301">
        <f>'Front Page'!A302</f>
        <v>300</v>
      </c>
      <c r="B301" t="str">
        <f>'Front Page'!B302</f>
        <v xml:space="preserve">20.c.ps.109.350 </v>
      </c>
      <c r="C301" t="str">
        <f>'Front Page'!C302</f>
        <v xml:space="preserve">The University of Central Florida Board of Trustees </v>
      </c>
      <c r="D301">
        <f>'Front Page'!E302</f>
        <v>150000</v>
      </c>
      <c r="E301" s="3">
        <f>ROUND('Front Page'!F302,4)</f>
        <v>90.25</v>
      </c>
      <c r="F301">
        <f t="shared" si="16"/>
        <v>135375</v>
      </c>
      <c r="G301">
        <f>IF((D301*(E301/100)*Sheet2!$B$4)&gt;1000,(D301*(E301/100)*Sheet2!$B$4),1000)</f>
        <v>25673.116867262946</v>
      </c>
      <c r="M301">
        <f>IF(G301=1000,1000,(F301*Sheet2!$B$8))</f>
        <v>25631.350574955934</v>
      </c>
      <c r="N301">
        <f t="shared" si="19"/>
        <v>25631.350574955934</v>
      </c>
      <c r="O301">
        <f t="shared" si="17"/>
        <v>25631.350574955934</v>
      </c>
      <c r="P301">
        <f t="shared" si="18"/>
        <v>25646</v>
      </c>
    </row>
    <row r="302" spans="1:16" x14ac:dyDescent="0.25">
      <c r="A302">
        <f>'Front Page'!A303</f>
        <v>301</v>
      </c>
      <c r="B302" t="str">
        <f>'Front Page'!B303</f>
        <v xml:space="preserve">20.c.ps.102.160 </v>
      </c>
      <c r="C302" t="str">
        <f>'Front Page'!C303</f>
        <v xml:space="preserve">Melbourne Municipal Band Association, Inc. </v>
      </c>
      <c r="D302">
        <f>'Front Page'!E303</f>
        <v>40000</v>
      </c>
      <c r="E302" s="3">
        <f>ROUND('Front Page'!F303,4)</f>
        <v>90.2</v>
      </c>
      <c r="F302">
        <f t="shared" si="16"/>
        <v>36080</v>
      </c>
      <c r="G302">
        <f>IF((D302*(E302/100)*Sheet2!$B$4)&gt;1000,(D302*(E302/100)*Sheet2!$B$4),1000)</f>
        <v>6842.3716090182616</v>
      </c>
      <c r="M302">
        <f>IF(G302=1000,1000,(F302*Sheet2!$B$8))</f>
        <v>6831.2401015284213</v>
      </c>
      <c r="N302">
        <f t="shared" si="19"/>
        <v>6831.2401015284213</v>
      </c>
      <c r="O302">
        <f t="shared" si="17"/>
        <v>6831.2401015284213</v>
      </c>
      <c r="P302">
        <f t="shared" si="18"/>
        <v>6846</v>
      </c>
    </row>
    <row r="303" spans="1:16" x14ac:dyDescent="0.25">
      <c r="A303">
        <f>'Front Page'!A304</f>
        <v>302</v>
      </c>
      <c r="B303" t="str">
        <f>'Front Page'!B304</f>
        <v xml:space="preserve">20.c.ps.500.070 </v>
      </c>
      <c r="C303" t="str">
        <f>'Front Page'!C304</f>
        <v xml:space="preserve">Monroe Council of the Arts Corporation </v>
      </c>
      <c r="D303">
        <f>'Front Page'!E304</f>
        <v>39223</v>
      </c>
      <c r="E303" s="3">
        <f>ROUND('Front Page'!F304,4)</f>
        <v>90.167000000000002</v>
      </c>
      <c r="F303">
        <f t="shared" si="16"/>
        <v>35366.202409999998</v>
      </c>
      <c r="G303">
        <f>IF((D303*(E303/100)*Sheet2!$B$4)&gt;1000,(D303*(E303/100)*Sheet2!$B$4),1000)</f>
        <v>6707.0038605592354</v>
      </c>
      <c r="M303">
        <f>IF(G303=1000,1000,(F303*Sheet2!$B$8))</f>
        <v>6696.0925759967595</v>
      </c>
      <c r="N303">
        <f t="shared" si="19"/>
        <v>6696.0925759967595</v>
      </c>
      <c r="O303">
        <f t="shared" si="17"/>
        <v>6696.0925759967595</v>
      </c>
      <c r="P303">
        <f t="shared" si="18"/>
        <v>6711</v>
      </c>
    </row>
    <row r="304" spans="1:16" x14ac:dyDescent="0.25">
      <c r="A304">
        <f>'Front Page'!A305</f>
        <v>303</v>
      </c>
      <c r="B304" t="str">
        <f>'Front Page'!B305</f>
        <v xml:space="preserve">20.c.ps.180.139 </v>
      </c>
      <c r="C304" t="str">
        <f>'Front Page'!C305</f>
        <v xml:space="preserve">Fundarte, Inc. </v>
      </c>
      <c r="D304">
        <f>'Front Page'!E305</f>
        <v>73000</v>
      </c>
      <c r="E304" s="3">
        <f>ROUND('Front Page'!F305,4)</f>
        <v>90.167000000000002</v>
      </c>
      <c r="F304">
        <f t="shared" si="16"/>
        <v>65821.91</v>
      </c>
      <c r="G304">
        <f>IF((D304*(E304/100)*Sheet2!$B$4)&gt;1000,(D304*(E304/100)*Sheet2!$B$4),1000)</f>
        <v>12482.759651755965</v>
      </c>
      <c r="M304">
        <f>IF(G304=1000,1000,(F304*Sheet2!$B$8))</f>
        <v>12462.452082904509</v>
      </c>
      <c r="N304">
        <f t="shared" si="19"/>
        <v>12462.452082904509</v>
      </c>
      <c r="O304">
        <f t="shared" si="17"/>
        <v>12462.452082904509</v>
      </c>
      <c r="P304">
        <f t="shared" si="18"/>
        <v>12477</v>
      </c>
    </row>
    <row r="305" spans="1:16" x14ac:dyDescent="0.25">
      <c r="A305">
        <f>'Front Page'!A306</f>
        <v>304</v>
      </c>
      <c r="B305" t="str">
        <f>'Front Page'!B306</f>
        <v xml:space="preserve">20.c.ps.500.149 </v>
      </c>
      <c r="C305" t="str">
        <f>'Front Page'!C306</f>
        <v xml:space="preserve">Tallahassee-Leon County Cultural Resources Commission </v>
      </c>
      <c r="D305">
        <f>'Front Page'!E306</f>
        <v>150000</v>
      </c>
      <c r="E305" s="3">
        <f>ROUND('Front Page'!F306,4)</f>
        <v>90.167000000000002</v>
      </c>
      <c r="F305">
        <f t="shared" si="16"/>
        <v>135250.5</v>
      </c>
      <c r="G305">
        <f>IF((D305*(E305/100)*Sheet2!$B$4)&gt;1000,(D305*(E305/100)*Sheet2!$B$4),1000)</f>
        <v>25649.506133745133</v>
      </c>
      <c r="M305">
        <f>IF(G305=1000,1000,(F305*Sheet2!$B$8))</f>
        <v>25607.778252543507</v>
      </c>
      <c r="N305">
        <f t="shared" si="19"/>
        <v>25607.778252543507</v>
      </c>
      <c r="O305">
        <f t="shared" si="17"/>
        <v>25607.778252543507</v>
      </c>
      <c r="P305">
        <f t="shared" si="18"/>
        <v>25623</v>
      </c>
    </row>
    <row r="306" spans="1:16" x14ac:dyDescent="0.25">
      <c r="A306">
        <f>'Front Page'!A307</f>
        <v>305</v>
      </c>
      <c r="B306" t="str">
        <f>'Front Page'!B307</f>
        <v xml:space="preserve">20.c.ps.142.618 </v>
      </c>
      <c r="C306" t="str">
        <f>'Front Page'!C307</f>
        <v xml:space="preserve">Miami Dade College </v>
      </c>
      <c r="D306">
        <f>'Front Page'!E307</f>
        <v>36029</v>
      </c>
      <c r="E306" s="3">
        <f>ROUND('Front Page'!F307,4)</f>
        <v>90.167000000000002</v>
      </c>
      <c r="F306">
        <f t="shared" si="16"/>
        <v>32486.26843</v>
      </c>
      <c r="G306">
        <f>IF((D306*(E306/100)*Sheet2!$B$4)&gt;1000,(D306*(E306/100)*Sheet2!$B$4),1000)</f>
        <v>6160.8403766180227</v>
      </c>
      <c r="M306">
        <f>IF(G306=1000,1000,(F306*Sheet2!$B$8))</f>
        <v>6150.817617739267</v>
      </c>
      <c r="N306">
        <f t="shared" si="19"/>
        <v>6150.817617739267</v>
      </c>
      <c r="O306">
        <f t="shared" si="17"/>
        <v>6150.817617739267</v>
      </c>
      <c r="P306">
        <f t="shared" si="18"/>
        <v>6166</v>
      </c>
    </row>
    <row r="307" spans="1:16" x14ac:dyDescent="0.25">
      <c r="A307">
        <f>'Front Page'!A308</f>
        <v>306</v>
      </c>
      <c r="B307" t="str">
        <f>'Front Page'!B308</f>
        <v xml:space="preserve">20.c.ps.170.290 </v>
      </c>
      <c r="C307" t="str">
        <f>'Front Page'!C308</f>
        <v xml:space="preserve">Emerald Coast Science Center </v>
      </c>
      <c r="D307">
        <f>'Front Page'!E308</f>
        <v>24579</v>
      </c>
      <c r="E307" s="3">
        <f>ROUND('Front Page'!F308,4)</f>
        <v>90.143000000000001</v>
      </c>
      <c r="F307">
        <f t="shared" si="16"/>
        <v>22156.24797</v>
      </c>
      <c r="G307">
        <f>IF((D307*(E307/100)*Sheet2!$B$4)&gt;1000,(D307*(E307/100)*Sheet2!$B$4),1000)</f>
        <v>4201.8093700747368</v>
      </c>
      <c r="M307">
        <f>IF(G307=1000,1000,(F307*Sheet2!$B$8))</f>
        <v>4194.97365942549</v>
      </c>
      <c r="N307">
        <f t="shared" si="19"/>
        <v>4194.97365942549</v>
      </c>
      <c r="O307">
        <f t="shared" si="17"/>
        <v>4194.97365942549</v>
      </c>
      <c r="P307">
        <f t="shared" si="18"/>
        <v>4210</v>
      </c>
    </row>
    <row r="308" spans="1:16" x14ac:dyDescent="0.25">
      <c r="A308">
        <f>'Front Page'!A309</f>
        <v>307</v>
      </c>
      <c r="B308" t="str">
        <f>'Front Page'!B309</f>
        <v xml:space="preserve">20.c.ps.141.617 </v>
      </c>
      <c r="C308" t="str">
        <f>'Front Page'!C309</f>
        <v xml:space="preserve">Ritz Community Theater Projects, Inc. </v>
      </c>
      <c r="D308">
        <f>'Front Page'!E309</f>
        <v>25000</v>
      </c>
      <c r="E308" s="3">
        <f>ROUND('Front Page'!F309,4)</f>
        <v>90.143000000000001</v>
      </c>
      <c r="F308">
        <f t="shared" si="16"/>
        <v>22535.75</v>
      </c>
      <c r="G308">
        <f>IF((D308*(E308/100)*Sheet2!$B$4)&gt;1000,(D308*(E308/100)*Sheet2!$B$4),1000)</f>
        <v>4273.7798222819647</v>
      </c>
      <c r="M308">
        <f>IF(G308=1000,1000,(F308*Sheet2!$B$8))</f>
        <v>4266.8270265526362</v>
      </c>
      <c r="N308">
        <f t="shared" si="19"/>
        <v>4266.8270265526362</v>
      </c>
      <c r="O308">
        <f t="shared" si="17"/>
        <v>4266.8270265526362</v>
      </c>
      <c r="P308">
        <f t="shared" si="18"/>
        <v>4282</v>
      </c>
    </row>
    <row r="309" spans="1:16" x14ac:dyDescent="0.25">
      <c r="A309">
        <f>'Front Page'!A310</f>
        <v>308</v>
      </c>
      <c r="B309" t="str">
        <f>'Front Page'!B310</f>
        <v xml:space="preserve">20.c.ps.170.385 </v>
      </c>
      <c r="C309" t="str">
        <f>'Front Page'!C310</f>
        <v xml:space="preserve">Expanding and Preserving Our Cultural Heritage, Inc. </v>
      </c>
      <c r="D309">
        <f>'Front Page'!E310</f>
        <v>50121</v>
      </c>
      <c r="E309" s="3">
        <f>ROUND('Front Page'!F310,4)</f>
        <v>90.143000000000001</v>
      </c>
      <c r="F309">
        <f t="shared" si="16"/>
        <v>45180.57303</v>
      </c>
      <c r="G309">
        <f>IF((D309*(E309/100)*Sheet2!$B$4)&gt;1000,(D309*(E309/100)*Sheet2!$B$4),1000)</f>
        <v>8568.2447389037734</v>
      </c>
      <c r="M309">
        <f>IF(G309=1000,1000,(F309*Sheet2!$B$8))</f>
        <v>8554.305495913788</v>
      </c>
      <c r="N309">
        <f t="shared" si="19"/>
        <v>8554.305495913788</v>
      </c>
      <c r="O309">
        <f t="shared" si="17"/>
        <v>8554.305495913788</v>
      </c>
      <c r="P309">
        <f t="shared" si="18"/>
        <v>8569</v>
      </c>
    </row>
    <row r="310" spans="1:16" x14ac:dyDescent="0.25">
      <c r="A310">
        <f>'Front Page'!A311</f>
        <v>309</v>
      </c>
      <c r="B310" t="str">
        <f>'Front Page'!B311</f>
        <v xml:space="preserve">20.c.ps.101.152 </v>
      </c>
      <c r="C310" t="str">
        <f>'Front Page'!C311</f>
        <v xml:space="preserve">Karen Peterson and Dancers, Inc. </v>
      </c>
      <c r="D310">
        <f>'Front Page'!E311</f>
        <v>40000</v>
      </c>
      <c r="E310" s="3">
        <f>ROUND('Front Page'!F311,4)</f>
        <v>90.143000000000001</v>
      </c>
      <c r="F310">
        <f t="shared" si="16"/>
        <v>36057.199999999997</v>
      </c>
      <c r="G310">
        <f>IF((D310*(E310/100)*Sheet2!$B$4)&gt;1000,(D310*(E310/100)*Sheet2!$B$4),1000)</f>
        <v>6838.0477156511424</v>
      </c>
      <c r="M310">
        <f>IF(G310=1000,1000,(F310*Sheet2!$B$8))</f>
        <v>6826.9232424842176</v>
      </c>
      <c r="N310">
        <f t="shared" si="19"/>
        <v>6826.9232424842176</v>
      </c>
      <c r="O310">
        <f t="shared" si="17"/>
        <v>6826.9232424842176</v>
      </c>
      <c r="P310">
        <f t="shared" si="18"/>
        <v>6842</v>
      </c>
    </row>
    <row r="311" spans="1:16" x14ac:dyDescent="0.25">
      <c r="A311">
        <f>'Front Page'!A312</f>
        <v>310</v>
      </c>
      <c r="B311" t="str">
        <f>'Front Page'!B312</f>
        <v xml:space="preserve">20.c.ps.114.382 </v>
      </c>
      <c r="C311" t="str">
        <f>'Front Page'!C312</f>
        <v xml:space="preserve">Firehouse Cultural Center, Inc. </v>
      </c>
      <c r="D311">
        <f>'Front Page'!E312</f>
        <v>40000</v>
      </c>
      <c r="E311" s="3">
        <f>ROUND('Front Page'!F312,4)</f>
        <v>90.143000000000001</v>
      </c>
      <c r="F311">
        <f t="shared" si="16"/>
        <v>36057.199999999997</v>
      </c>
      <c r="G311">
        <f>IF((D311*(E311/100)*Sheet2!$B$4)&gt;1000,(D311*(E311/100)*Sheet2!$B$4),1000)</f>
        <v>6838.0477156511424</v>
      </c>
      <c r="M311">
        <f>IF(G311=1000,1000,(F311*Sheet2!$B$8))</f>
        <v>6826.9232424842176</v>
      </c>
      <c r="N311">
        <f t="shared" si="19"/>
        <v>6826.9232424842176</v>
      </c>
      <c r="O311">
        <f t="shared" si="17"/>
        <v>6826.9232424842176</v>
      </c>
      <c r="P311">
        <f t="shared" si="18"/>
        <v>6842</v>
      </c>
    </row>
    <row r="312" spans="1:16" x14ac:dyDescent="0.25">
      <c r="A312">
        <f>'Front Page'!A313</f>
        <v>311</v>
      </c>
      <c r="B312" t="str">
        <f>'Front Page'!B313</f>
        <v xml:space="preserve">20.c.ps.102.126 </v>
      </c>
      <c r="C312" t="str">
        <f>'Front Page'!C313</f>
        <v xml:space="preserve">Master Chorale of South Florida, Inc. </v>
      </c>
      <c r="D312">
        <f>'Front Page'!E313</f>
        <v>29205</v>
      </c>
      <c r="E312" s="3">
        <f>ROUND('Front Page'!F313,4)</f>
        <v>90</v>
      </c>
      <c r="F312">
        <f t="shared" si="16"/>
        <v>26284.5</v>
      </c>
      <c r="G312">
        <f>IF((D312*(E312/100)*Sheet2!$B$4)&gt;1000,(D312*(E312/100)*Sheet2!$B$4),1000)</f>
        <v>4984.7094389479071</v>
      </c>
      <c r="M312">
        <f>IF(G312=1000,1000,(F312*Sheet2!$B$8))</f>
        <v>4976.6000678665132</v>
      </c>
      <c r="N312">
        <f t="shared" si="19"/>
        <v>4976.6000678665132</v>
      </c>
      <c r="O312">
        <f t="shared" si="17"/>
        <v>4976.6000678665132</v>
      </c>
      <c r="P312">
        <f t="shared" si="18"/>
        <v>4992</v>
      </c>
    </row>
    <row r="313" spans="1:16" x14ac:dyDescent="0.25">
      <c r="A313">
        <f>'Front Page'!A314</f>
        <v>312</v>
      </c>
      <c r="B313" t="str">
        <f>'Front Page'!B314</f>
        <v xml:space="preserve">20.c.ps.114.369 </v>
      </c>
      <c r="C313" t="str">
        <f>'Front Page'!C314</f>
        <v xml:space="preserve">City of Coral Springs </v>
      </c>
      <c r="D313">
        <f>'Front Page'!E314</f>
        <v>150000</v>
      </c>
      <c r="E313" s="3">
        <f>ROUND('Front Page'!F314,4)</f>
        <v>90</v>
      </c>
      <c r="F313">
        <f t="shared" si="16"/>
        <v>135000</v>
      </c>
      <c r="G313">
        <f>IF((D313*(E313/100)*Sheet2!$B$4)&gt;1000,(D313*(E313/100)*Sheet2!$B$4),1000)</f>
        <v>25602.000200040613</v>
      </c>
      <c r="M313">
        <f>IF(G313=1000,1000,(F313*Sheet2!$B$8))</f>
        <v>25560.349603834173</v>
      </c>
      <c r="N313">
        <f t="shared" si="19"/>
        <v>25560.349603834173</v>
      </c>
      <c r="O313">
        <f t="shared" si="17"/>
        <v>25560.349603834173</v>
      </c>
      <c r="P313">
        <f t="shared" si="18"/>
        <v>25575</v>
      </c>
    </row>
    <row r="314" spans="1:16" x14ac:dyDescent="0.25">
      <c r="A314">
        <f>'Front Page'!A315</f>
        <v>313</v>
      </c>
      <c r="B314" t="str">
        <f>'Front Page'!B315</f>
        <v xml:space="preserve">20.c.ps.141.413 </v>
      </c>
      <c r="C314" t="str">
        <f>'Front Page'!C315</f>
        <v xml:space="preserve">The Lake Worth Playhouse, Inc. </v>
      </c>
      <c r="D314">
        <f>'Front Page'!E315</f>
        <v>90000</v>
      </c>
      <c r="E314" s="3">
        <f>ROUND('Front Page'!F315,4)</f>
        <v>90</v>
      </c>
      <c r="F314">
        <f t="shared" si="16"/>
        <v>81000</v>
      </c>
      <c r="G314">
        <f>IF((D314*(E314/100)*Sheet2!$B$4)&gt;1000,(D314*(E314/100)*Sheet2!$B$4),1000)</f>
        <v>15361.200120024367</v>
      </c>
      <c r="M314">
        <f>IF(G314=1000,1000,(F314*Sheet2!$B$8))</f>
        <v>15336.209762300503</v>
      </c>
      <c r="N314">
        <f t="shared" si="19"/>
        <v>15336.209762300503</v>
      </c>
      <c r="O314">
        <f t="shared" si="17"/>
        <v>15336.209762300503</v>
      </c>
      <c r="P314">
        <f t="shared" si="18"/>
        <v>15351</v>
      </c>
    </row>
    <row r="315" spans="1:16" x14ac:dyDescent="0.25">
      <c r="A315">
        <f>'Front Page'!A316</f>
        <v>314</v>
      </c>
      <c r="B315" t="str">
        <f>'Front Page'!B316</f>
        <v xml:space="preserve">20.c.ps.114.407 </v>
      </c>
      <c r="C315" t="str">
        <f>'Front Page'!C316</f>
        <v xml:space="preserve">The Florida Historical Society </v>
      </c>
      <c r="D315">
        <f>'Front Page'!E316</f>
        <v>90000</v>
      </c>
      <c r="E315" s="3">
        <f>ROUND('Front Page'!F316,4)</f>
        <v>90</v>
      </c>
      <c r="F315">
        <f t="shared" si="16"/>
        <v>81000</v>
      </c>
      <c r="G315">
        <f>IF((D315*(E315/100)*Sheet2!$B$4)&gt;1000,(D315*(E315/100)*Sheet2!$B$4),1000)</f>
        <v>15361.200120024367</v>
      </c>
      <c r="M315">
        <f>IF(G315=1000,1000,(F315*Sheet2!$B$8))</f>
        <v>15336.209762300503</v>
      </c>
      <c r="N315">
        <f t="shared" si="19"/>
        <v>15336.209762300503</v>
      </c>
      <c r="O315">
        <f t="shared" si="17"/>
        <v>15336.209762300503</v>
      </c>
      <c r="P315">
        <f t="shared" si="18"/>
        <v>15351</v>
      </c>
    </row>
    <row r="316" spans="1:16" x14ac:dyDescent="0.25">
      <c r="A316">
        <f>'Front Page'!A317</f>
        <v>315</v>
      </c>
      <c r="B316" t="str">
        <f>'Front Page'!B317</f>
        <v xml:space="preserve">20.c.ps.500.693 </v>
      </c>
      <c r="C316" t="str">
        <f>'Front Page'!C317</f>
        <v xml:space="preserve">Brevard Cultural Alliance, Inc. </v>
      </c>
      <c r="D316">
        <f>'Front Page'!E317</f>
        <v>90000</v>
      </c>
      <c r="E316" s="3">
        <f>ROUND('Front Page'!F317,4)</f>
        <v>90</v>
      </c>
      <c r="F316">
        <f t="shared" si="16"/>
        <v>81000</v>
      </c>
      <c r="G316">
        <f>IF((D316*(E316/100)*Sheet2!$B$4)&gt;1000,(D316*(E316/100)*Sheet2!$B$4),1000)</f>
        <v>15361.200120024367</v>
      </c>
      <c r="M316">
        <f>IF(G316=1000,1000,(F316*Sheet2!$B$8))</f>
        <v>15336.209762300503</v>
      </c>
      <c r="N316">
        <f t="shared" si="19"/>
        <v>15336.209762300503</v>
      </c>
      <c r="O316">
        <f t="shared" si="17"/>
        <v>15336.209762300503</v>
      </c>
      <c r="P316">
        <f t="shared" si="18"/>
        <v>15351</v>
      </c>
    </row>
    <row r="317" spans="1:16" x14ac:dyDescent="0.25">
      <c r="A317">
        <f>'Front Page'!A318</f>
        <v>316</v>
      </c>
      <c r="B317" t="str">
        <f>'Front Page'!B318</f>
        <v xml:space="preserve">20.c.ps.170.685 </v>
      </c>
      <c r="C317" t="str">
        <f>'Front Page'!C318</f>
        <v xml:space="preserve">Museum of Contemporary Art, Inc. </v>
      </c>
      <c r="D317">
        <f>'Front Page'!E318</f>
        <v>150000</v>
      </c>
      <c r="E317" s="3">
        <f>ROUND('Front Page'!F318,4)</f>
        <v>90</v>
      </c>
      <c r="F317">
        <f t="shared" si="16"/>
        <v>135000</v>
      </c>
      <c r="G317">
        <f>IF((D317*(E317/100)*Sheet2!$B$4)&gt;1000,(D317*(E317/100)*Sheet2!$B$4),1000)</f>
        <v>25602.000200040613</v>
      </c>
      <c r="M317">
        <f>IF(G317=1000,1000,(F317*Sheet2!$B$8))</f>
        <v>25560.349603834173</v>
      </c>
      <c r="N317">
        <f t="shared" si="19"/>
        <v>25560.349603834173</v>
      </c>
      <c r="O317">
        <f t="shared" si="17"/>
        <v>25560.349603834173</v>
      </c>
      <c r="P317">
        <f t="shared" si="18"/>
        <v>25575</v>
      </c>
    </row>
    <row r="318" spans="1:16" x14ac:dyDescent="0.25">
      <c r="A318">
        <f>'Front Page'!A319</f>
        <v>317</v>
      </c>
      <c r="B318" t="str">
        <f>'Front Page'!B319</f>
        <v xml:space="preserve">20.c.ps.114.397 </v>
      </c>
      <c r="C318" t="str">
        <f>'Front Page'!C319</f>
        <v xml:space="preserve">Bas Fisher Invitational, Inc. </v>
      </c>
      <c r="D318">
        <f>'Front Page'!E319</f>
        <v>40000</v>
      </c>
      <c r="E318" s="3">
        <f>ROUND('Front Page'!F319,4)</f>
        <v>90</v>
      </c>
      <c r="F318">
        <f t="shared" si="16"/>
        <v>36000</v>
      </c>
      <c r="G318">
        <f>IF((D318*(E318/100)*Sheet2!$B$4)&gt;1000,(D318*(E318/100)*Sheet2!$B$4),1000)</f>
        <v>6827.2000533441633</v>
      </c>
      <c r="M318">
        <f>IF(G318=1000,1000,(F318*Sheet2!$B$8))</f>
        <v>6816.0932276891126</v>
      </c>
      <c r="N318">
        <f t="shared" si="19"/>
        <v>6816.0932276891126</v>
      </c>
      <c r="O318">
        <f t="shared" si="17"/>
        <v>6816.0932276891126</v>
      </c>
      <c r="P318">
        <f t="shared" si="18"/>
        <v>6831</v>
      </c>
    </row>
    <row r="319" spans="1:16" x14ac:dyDescent="0.25">
      <c r="A319">
        <f>'Front Page'!A320</f>
        <v>318</v>
      </c>
      <c r="B319" t="str">
        <f>'Front Page'!B320</f>
        <v xml:space="preserve">20.c.ps.170.365 </v>
      </c>
      <c r="C319" t="str">
        <f>'Front Page'!C320</f>
        <v xml:space="preserve">Florida Keys History and Discovery Foundation, Inc. </v>
      </c>
      <c r="D319">
        <f>'Front Page'!E320</f>
        <v>25000</v>
      </c>
      <c r="E319" s="3">
        <f>ROUND('Front Page'!F320,4)</f>
        <v>89.856999999999999</v>
      </c>
      <c r="F319">
        <f t="shared" si="16"/>
        <v>22464.25</v>
      </c>
      <c r="G319">
        <f>IF((D319*(E319/100)*Sheet2!$B$4)&gt;1000,(D319*(E319/100)*Sheet2!$B$4),1000)</f>
        <v>4260.2202443982396</v>
      </c>
      <c r="M319">
        <f>IF(G319=1000,1000,(F319*Sheet2!$B$8))</f>
        <v>4253.2895080587541</v>
      </c>
      <c r="N319">
        <f t="shared" si="19"/>
        <v>4253.2895080587541</v>
      </c>
      <c r="O319">
        <f t="shared" si="17"/>
        <v>4253.2895080587541</v>
      </c>
      <c r="P319">
        <f t="shared" si="18"/>
        <v>4268</v>
      </c>
    </row>
    <row r="320" spans="1:16" x14ac:dyDescent="0.25">
      <c r="A320">
        <f>'Front Page'!A321</f>
        <v>319</v>
      </c>
      <c r="B320" t="str">
        <f>'Front Page'!B321</f>
        <v xml:space="preserve">20.c.ps.141.722 </v>
      </c>
      <c r="C320" t="str">
        <f>'Front Page'!C321</f>
        <v xml:space="preserve">New Tampa Players </v>
      </c>
      <c r="D320">
        <f>'Front Page'!E321</f>
        <v>18000</v>
      </c>
      <c r="E320" s="3">
        <f>ROUND('Front Page'!F321,4)</f>
        <v>89.856999999999999</v>
      </c>
      <c r="F320">
        <f t="shared" si="16"/>
        <v>16174.26</v>
      </c>
      <c r="G320">
        <f>IF((D320*(E320/100)*Sheet2!$B$4)&gt;1000,(D320*(E320/100)*Sheet2!$B$4),1000)</f>
        <v>3067.3585759667326</v>
      </c>
      <c r="M320">
        <f>IF(G320=1000,1000,(F320*Sheet2!$B$8))</f>
        <v>3062.3684458023031</v>
      </c>
      <c r="N320">
        <f t="shared" si="19"/>
        <v>3062.3684458023031</v>
      </c>
      <c r="O320">
        <f t="shared" si="17"/>
        <v>3062.3684458023031</v>
      </c>
      <c r="P320">
        <f t="shared" si="18"/>
        <v>3077</v>
      </c>
    </row>
    <row r="321" spans="1:16" x14ac:dyDescent="0.25">
      <c r="A321">
        <f>'Front Page'!A322</f>
        <v>320</v>
      </c>
      <c r="B321" t="str">
        <f>'Front Page'!B322</f>
        <v xml:space="preserve">20.c.ps.102.041 </v>
      </c>
      <c r="C321" t="str">
        <f>'Front Page'!C322</f>
        <v xml:space="preserve">Alhambra Music, Inc. </v>
      </c>
      <c r="D321">
        <f>'Front Page'!E322</f>
        <v>15361</v>
      </c>
      <c r="E321" s="3">
        <f>ROUND('Front Page'!F322,4)</f>
        <v>89.8</v>
      </c>
      <c r="F321">
        <f t="shared" si="16"/>
        <v>13794.178</v>
      </c>
      <c r="G321">
        <f>IF((D321*(E321/100)*Sheet2!$B$4)&gt;1000,(D321*(E321/100)*Sheet2!$B$4),1000)</f>
        <v>2615.9892438177467</v>
      </c>
      <c r="M321">
        <f>IF(G321=1000,1000,(F321*Sheet2!$B$8))</f>
        <v>2611.7334235371704</v>
      </c>
      <c r="N321">
        <f t="shared" si="19"/>
        <v>2611.7334235371704</v>
      </c>
      <c r="O321">
        <f t="shared" si="17"/>
        <v>2611.7334235371704</v>
      </c>
      <c r="P321">
        <f t="shared" si="18"/>
        <v>2627</v>
      </c>
    </row>
    <row r="322" spans="1:16" x14ac:dyDescent="0.25">
      <c r="A322">
        <f>'Front Page'!A323</f>
        <v>321</v>
      </c>
      <c r="B322" t="str">
        <f>'Front Page'!B323</f>
        <v xml:space="preserve">20.c.ps.141.247 </v>
      </c>
      <c r="C322" t="str">
        <f>'Front Page'!C323</f>
        <v xml:space="preserve">Brevard Regional Arts Group, Inc. </v>
      </c>
      <c r="D322">
        <f>'Front Page'!E323</f>
        <v>90000</v>
      </c>
      <c r="E322" s="3">
        <f>ROUND('Front Page'!F323,4)</f>
        <v>89.713999999999999</v>
      </c>
      <c r="F322">
        <f t="shared" ref="F322:F340" si="20">D322*(E322/100)</f>
        <v>80742.599999999991</v>
      </c>
      <c r="G322">
        <f>IF((D322*(E322/100)*Sheet2!$B$4)&gt;1000,(D322*(E322/100)*Sheet2!$B$4),1000)</f>
        <v>15312.385639642955</v>
      </c>
      <c r="M322">
        <f>IF(G322=1000,1000,(F322*Sheet2!$B$8))</f>
        <v>15287.474695722523</v>
      </c>
      <c r="N322">
        <f t="shared" si="19"/>
        <v>15287.474695722523</v>
      </c>
      <c r="O322">
        <f t="shared" ref="O322:O340" si="21">IF(N322&lt;1000,1000,N322)</f>
        <v>15287.474695722523</v>
      </c>
      <c r="P322">
        <f t="shared" ref="P322:P340" si="22">ROUND(IF(O322=1000,1000,(O322+$J$11)),0)</f>
        <v>15302</v>
      </c>
    </row>
    <row r="323" spans="1:16" x14ac:dyDescent="0.25">
      <c r="A323">
        <f>'Front Page'!A324</f>
        <v>322</v>
      </c>
      <c r="B323" t="str">
        <f>'Front Page'!B324</f>
        <v xml:space="preserve">20.c.ps.170.483 </v>
      </c>
      <c r="C323" t="str">
        <f>'Front Page'!C324</f>
        <v xml:space="preserve">Fort Pierce Utilities Authority </v>
      </c>
      <c r="D323">
        <f>'Front Page'!E324</f>
        <v>25000</v>
      </c>
      <c r="E323" s="3">
        <f>ROUND('Front Page'!F324,4)</f>
        <v>89.713999999999999</v>
      </c>
      <c r="F323">
        <f t="shared" si="20"/>
        <v>22428.5</v>
      </c>
      <c r="G323">
        <f>IF((D323*(E323/100)*Sheet2!$B$4)&gt;1000,(D323*(E323/100)*Sheet2!$B$4),1000)</f>
        <v>4253.4404554563771</v>
      </c>
      <c r="M323">
        <f>IF(G323=1000,1000,(F323*Sheet2!$B$8))</f>
        <v>4246.5207488118131</v>
      </c>
      <c r="N323">
        <f t="shared" si="19"/>
        <v>4246.5207488118131</v>
      </c>
      <c r="O323">
        <f t="shared" si="21"/>
        <v>4246.5207488118131</v>
      </c>
      <c r="P323">
        <f t="shared" si="22"/>
        <v>4261</v>
      </c>
    </row>
    <row r="324" spans="1:16" x14ac:dyDescent="0.25">
      <c r="A324">
        <f>'Front Page'!A325</f>
        <v>323</v>
      </c>
      <c r="B324" t="str">
        <f>'Front Page'!B325</f>
        <v xml:space="preserve">20.c.ps.180.784 </v>
      </c>
      <c r="C324" t="str">
        <f>'Front Page'!C325</f>
        <v xml:space="preserve">City of Pompano Beach Parks, Recreation and Cultural Affairs </v>
      </c>
      <c r="D324">
        <f>'Front Page'!E325</f>
        <v>150000</v>
      </c>
      <c r="E324" s="3">
        <f>ROUND('Front Page'!F325,4)</f>
        <v>89.713999999999999</v>
      </c>
      <c r="F324">
        <f t="shared" si="20"/>
        <v>134571</v>
      </c>
      <c r="G324">
        <f>IF((D324*(E324/100)*Sheet2!$B$4)&gt;1000,(D324*(E324/100)*Sheet2!$B$4),1000)</f>
        <v>25520.642732738263</v>
      </c>
      <c r="M324">
        <f>IF(G324=1000,1000,(F324*Sheet2!$B$8))</f>
        <v>25479.124492870877</v>
      </c>
      <c r="N324">
        <f t="shared" ref="N324:N340" si="23">M324</f>
        <v>25479.124492870877</v>
      </c>
      <c r="O324">
        <f t="shared" si="21"/>
        <v>25479.124492870877</v>
      </c>
      <c r="P324">
        <f t="shared" si="22"/>
        <v>25494</v>
      </c>
    </row>
    <row r="325" spans="1:16" x14ac:dyDescent="0.25">
      <c r="A325">
        <f>'Front Page'!A326</f>
        <v>324</v>
      </c>
      <c r="B325" t="str">
        <f>'Front Page'!B326</f>
        <v xml:space="preserve">20.c.ps.141.665 </v>
      </c>
      <c r="C325" t="str">
        <f>'Front Page'!C326</f>
        <v xml:space="preserve">Eight O'Clock Theatre, Inc </v>
      </c>
      <c r="D325">
        <f>'Front Page'!E326</f>
        <v>25000</v>
      </c>
      <c r="E325" s="3">
        <f>ROUND('Front Page'!F326,4)</f>
        <v>89.713999999999999</v>
      </c>
      <c r="F325">
        <f t="shared" si="20"/>
        <v>22428.5</v>
      </c>
      <c r="G325">
        <f>IF((D325*(E325/100)*Sheet2!$B$4)&gt;1000,(D325*(E325/100)*Sheet2!$B$4),1000)</f>
        <v>4253.4404554563771</v>
      </c>
      <c r="M325">
        <f>IF(G325=1000,1000,(F325*Sheet2!$B$8))</f>
        <v>4246.5207488118131</v>
      </c>
      <c r="N325">
        <f t="shared" si="23"/>
        <v>4246.5207488118131</v>
      </c>
      <c r="O325">
        <f t="shared" si="21"/>
        <v>4246.5207488118131</v>
      </c>
      <c r="P325">
        <f t="shared" si="22"/>
        <v>4261</v>
      </c>
    </row>
    <row r="326" spans="1:16" x14ac:dyDescent="0.25">
      <c r="A326">
        <f>'Front Page'!A327</f>
        <v>325</v>
      </c>
      <c r="B326" t="str">
        <f>'Front Page'!B327</f>
        <v xml:space="preserve">20.c.ps.170.324 </v>
      </c>
      <c r="C326" t="str">
        <f>'Front Page'!C327</f>
        <v xml:space="preserve">The Florida Aquarium, Inc. </v>
      </c>
      <c r="D326">
        <f>'Front Page'!E327</f>
        <v>150000</v>
      </c>
      <c r="E326" s="3">
        <f>ROUND('Front Page'!F327,4)</f>
        <v>89.667000000000002</v>
      </c>
      <c r="F326">
        <f t="shared" si="20"/>
        <v>134500.5</v>
      </c>
      <c r="G326">
        <f>IF((D326*(E326/100)*Sheet2!$B$4)&gt;1000,(D326*(E326/100)*Sheet2!$B$4),1000)</f>
        <v>25507.272799300463</v>
      </c>
      <c r="M326">
        <f>IF(G326=1000,1000,(F326*Sheet2!$B$8))</f>
        <v>25465.776310299985</v>
      </c>
      <c r="N326">
        <f t="shared" si="23"/>
        <v>25465.776310299985</v>
      </c>
      <c r="O326">
        <f t="shared" si="21"/>
        <v>25465.776310299985</v>
      </c>
      <c r="P326">
        <f t="shared" si="22"/>
        <v>25481</v>
      </c>
    </row>
    <row r="327" spans="1:16" x14ac:dyDescent="0.25">
      <c r="A327">
        <f>'Front Page'!A328</f>
        <v>326</v>
      </c>
      <c r="B327" t="str">
        <f>'Front Page'!B328</f>
        <v xml:space="preserve">20.c.ps.200.272 </v>
      </c>
      <c r="C327" t="str">
        <f>'Front Page'!C328</f>
        <v xml:space="preserve">Center for Creative Education, Inc. </v>
      </c>
      <c r="D327">
        <f>'Front Page'!E328</f>
        <v>73534</v>
      </c>
      <c r="E327" s="3">
        <f>ROUND('Front Page'!F328,4)</f>
        <v>89.667000000000002</v>
      </c>
      <c r="F327">
        <f t="shared" si="20"/>
        <v>65935.731780000002</v>
      </c>
      <c r="G327">
        <f>IF((D327*(E327/100)*Sheet2!$B$4)&gt;1000,(D327*(E327/100)*Sheet2!$B$4),1000)</f>
        <v>12504.345320158402</v>
      </c>
      <c r="M327">
        <f>IF(G327=1000,1000,(F327*Sheet2!$B$8))</f>
        <v>12484.002634677328</v>
      </c>
      <c r="N327">
        <f t="shared" si="23"/>
        <v>12484.002634677328</v>
      </c>
      <c r="O327">
        <f t="shared" si="21"/>
        <v>12484.002634677328</v>
      </c>
      <c r="P327">
        <f t="shared" si="22"/>
        <v>12499</v>
      </c>
    </row>
    <row r="328" spans="1:16" x14ac:dyDescent="0.25">
      <c r="A328">
        <f>'Front Page'!A329</f>
        <v>327</v>
      </c>
      <c r="B328" t="str">
        <f>'Front Page'!B329</f>
        <v xml:space="preserve">20.c.ps.500.478 </v>
      </c>
      <c r="C328" t="str">
        <f>'Front Page'!C329</f>
        <v xml:space="preserve">The Arts Council, Inc. </v>
      </c>
      <c r="D328">
        <f>'Front Page'!E329</f>
        <v>58500</v>
      </c>
      <c r="E328" s="3">
        <f>ROUND('Front Page'!F329,4)</f>
        <v>89.667000000000002</v>
      </c>
      <c r="F328">
        <f t="shared" si="20"/>
        <v>52455.195</v>
      </c>
      <c r="G328">
        <f>IF((D328*(E328/100)*Sheet2!$B$4)&gt;1000,(D328*(E328/100)*Sheet2!$B$4),1000)</f>
        <v>9947.8363917271799</v>
      </c>
      <c r="M328">
        <f>IF(G328=1000,1000,(F328*Sheet2!$B$8))</f>
        <v>9931.6527610169942</v>
      </c>
      <c r="N328">
        <f t="shared" si="23"/>
        <v>9931.6527610169942</v>
      </c>
      <c r="O328">
        <f t="shared" si="21"/>
        <v>9931.6527610169942</v>
      </c>
      <c r="P328">
        <f t="shared" si="22"/>
        <v>9947</v>
      </c>
    </row>
    <row r="329" spans="1:16" x14ac:dyDescent="0.25">
      <c r="A329">
        <f>'Front Page'!A330</f>
        <v>328</v>
      </c>
      <c r="B329" t="str">
        <f>'Front Page'!B330</f>
        <v xml:space="preserve">20.c.ps.142.542 </v>
      </c>
      <c r="C329" t="str">
        <f>'Front Page'!C330</f>
        <v xml:space="preserve">Flagler Auditorium Governing Board, Inc. </v>
      </c>
      <c r="D329">
        <f>'Front Page'!E330</f>
        <v>76500</v>
      </c>
      <c r="E329" s="3">
        <f>ROUND('Front Page'!F330,4)</f>
        <v>89.667000000000002</v>
      </c>
      <c r="F329">
        <f t="shared" si="20"/>
        <v>68595.255000000005</v>
      </c>
      <c r="G329">
        <f>IF((D329*(E329/100)*Sheet2!$B$4)&gt;1000,(D329*(E329/100)*Sheet2!$B$4),1000)</f>
        <v>13008.709127643237</v>
      </c>
      <c r="M329">
        <f>IF(G329=1000,1000,(F329*Sheet2!$B$8))</f>
        <v>12987.545918252994</v>
      </c>
      <c r="N329">
        <f t="shared" si="23"/>
        <v>12987.545918252994</v>
      </c>
      <c r="O329">
        <f t="shared" si="21"/>
        <v>12987.545918252994</v>
      </c>
      <c r="P329">
        <f t="shared" si="22"/>
        <v>13002</v>
      </c>
    </row>
    <row r="330" spans="1:16" x14ac:dyDescent="0.25">
      <c r="A330">
        <f>'Front Page'!A331</f>
        <v>329</v>
      </c>
      <c r="B330" t="str">
        <f>'Front Page'!B331</f>
        <v xml:space="preserve">20.c.ps.142.609 </v>
      </c>
      <c r="C330" t="str">
        <f>'Front Page'!C331</f>
        <v xml:space="preserve">Gulfshore Playhouse, Inc. </v>
      </c>
      <c r="D330">
        <f>'Front Page'!E331</f>
        <v>150000</v>
      </c>
      <c r="E330" s="3">
        <f>ROUND('Front Page'!F331,4)</f>
        <v>89.667000000000002</v>
      </c>
      <c r="F330">
        <f t="shared" si="20"/>
        <v>134500.5</v>
      </c>
      <c r="G330">
        <f>IF((D330*(E330/100)*Sheet2!$B$4)&gt;1000,(D330*(E330/100)*Sheet2!$B$4),1000)</f>
        <v>25507.272799300463</v>
      </c>
      <c r="M330">
        <f>IF(G330=1000,1000,(F330*Sheet2!$B$8))</f>
        <v>25465.776310299985</v>
      </c>
      <c r="N330">
        <f t="shared" si="23"/>
        <v>25465.776310299985</v>
      </c>
      <c r="O330">
        <f t="shared" si="21"/>
        <v>25465.776310299985</v>
      </c>
      <c r="P330">
        <f t="shared" si="22"/>
        <v>25481</v>
      </c>
    </row>
    <row r="331" spans="1:16" x14ac:dyDescent="0.25">
      <c r="A331">
        <f>'Front Page'!A332</f>
        <v>330</v>
      </c>
      <c r="B331" t="str">
        <f>'Front Page'!B332</f>
        <v xml:space="preserve">20.c.ps.170.095 </v>
      </c>
      <c r="C331" t="str">
        <f>'Front Page'!C332</f>
        <v xml:space="preserve">SWFL Holocaust Museum </v>
      </c>
      <c r="D331">
        <f>'Front Page'!E332</f>
        <v>25000</v>
      </c>
      <c r="E331" s="3">
        <f>ROUND('Front Page'!F332,4)</f>
        <v>89.570999999999998</v>
      </c>
      <c r="F331">
        <f t="shared" si="20"/>
        <v>22392.75</v>
      </c>
      <c r="G331">
        <f>IF((D331*(E331/100)*Sheet2!$B$4)&gt;1000,(D331*(E331/100)*Sheet2!$B$4),1000)</f>
        <v>4246.6606665145146</v>
      </c>
      <c r="M331">
        <f>IF(G331=1000,1000,(F331*Sheet2!$B$8))</f>
        <v>4239.7519895648711</v>
      </c>
      <c r="N331">
        <f t="shared" si="23"/>
        <v>4239.7519895648711</v>
      </c>
      <c r="O331">
        <f t="shared" si="21"/>
        <v>4239.7519895648711</v>
      </c>
      <c r="P331">
        <f t="shared" si="22"/>
        <v>4255</v>
      </c>
    </row>
    <row r="332" spans="1:16" x14ac:dyDescent="0.25">
      <c r="A332">
        <f>'Front Page'!A333</f>
        <v>331</v>
      </c>
      <c r="B332" t="str">
        <f>'Front Page'!B333</f>
        <v xml:space="preserve">20.c.ps.101.205 </v>
      </c>
      <c r="C332" t="str">
        <f>'Front Page'!C333</f>
        <v xml:space="preserve">The Sarasota Cuban Ballet School </v>
      </c>
      <c r="D332">
        <f>'Front Page'!E333</f>
        <v>25000</v>
      </c>
      <c r="E332" s="3">
        <f>ROUND('Front Page'!F333,4)</f>
        <v>89.570999999999998</v>
      </c>
      <c r="F332">
        <f t="shared" si="20"/>
        <v>22392.75</v>
      </c>
      <c r="G332">
        <f>IF((D332*(E332/100)*Sheet2!$B$4)&gt;1000,(D332*(E332/100)*Sheet2!$B$4),1000)</f>
        <v>4246.6606665145146</v>
      </c>
      <c r="M332">
        <f>IF(G332=1000,1000,(F332*Sheet2!$B$8))</f>
        <v>4239.7519895648711</v>
      </c>
      <c r="N332">
        <f t="shared" si="23"/>
        <v>4239.7519895648711</v>
      </c>
      <c r="O332">
        <f t="shared" si="21"/>
        <v>4239.7519895648711</v>
      </c>
      <c r="P332">
        <f t="shared" si="22"/>
        <v>4255</v>
      </c>
    </row>
    <row r="333" spans="1:16" x14ac:dyDescent="0.25">
      <c r="A333">
        <f>'Front Page'!A334</f>
        <v>332</v>
      </c>
      <c r="B333" t="str">
        <f>'Front Page'!B334</f>
        <v xml:space="preserve">20.c.ps.102.667 </v>
      </c>
      <c r="C333" t="str">
        <f>'Front Page'!C334</f>
        <v xml:space="preserve">Panama City Pops Orchestra </v>
      </c>
      <c r="D333">
        <f>'Front Page'!E334</f>
        <v>37800</v>
      </c>
      <c r="E333" s="3">
        <f>ROUND('Front Page'!F334,4)</f>
        <v>89.570999999999998</v>
      </c>
      <c r="F333">
        <f t="shared" si="20"/>
        <v>33857.838000000003</v>
      </c>
      <c r="G333">
        <f>IF((D333*(E333/100)*Sheet2!$B$4)&gt;1000,(D333*(E333/100)*Sheet2!$B$4),1000)</f>
        <v>6420.9509277699462</v>
      </c>
      <c r="M333">
        <f>IF(G333=1000,1000,(F333*Sheet2!$B$8))</f>
        <v>6410.505008222086</v>
      </c>
      <c r="N333">
        <f t="shared" si="23"/>
        <v>6410.505008222086</v>
      </c>
      <c r="O333">
        <f t="shared" si="21"/>
        <v>6410.505008222086</v>
      </c>
      <c r="P333">
        <f t="shared" si="22"/>
        <v>6425</v>
      </c>
    </row>
    <row r="334" spans="1:16" x14ac:dyDescent="0.25">
      <c r="A334">
        <f>'Front Page'!A335</f>
        <v>333</v>
      </c>
      <c r="B334" t="str">
        <f>'Front Page'!B335</f>
        <v xml:space="preserve">20.c.ps.109.256 </v>
      </c>
      <c r="C334" t="str">
        <f>'Front Page'!C335</f>
        <v xml:space="preserve">Coral Gables Cinemateque Inc. </v>
      </c>
      <c r="D334">
        <f>'Front Page'!E335</f>
        <v>96486</v>
      </c>
      <c r="E334" s="3">
        <f>ROUND('Front Page'!F335,4)</f>
        <v>89.5</v>
      </c>
      <c r="F334">
        <f t="shared" si="20"/>
        <v>86354.97</v>
      </c>
      <c r="G334">
        <f>IF((D334*(E334/100)*Sheet2!$B$4)&gt;1000,(D334*(E334/100)*Sheet2!$B$4),1000)</f>
        <v>16376.740438625933</v>
      </c>
      <c r="M334">
        <f>IF(G334=1000,1000,(F334*Sheet2!$B$8))</f>
        <v>16350.097949841569</v>
      </c>
      <c r="N334">
        <f t="shared" si="23"/>
        <v>16350.097949841569</v>
      </c>
      <c r="O334">
        <f t="shared" si="21"/>
        <v>16350.097949841569</v>
      </c>
      <c r="P334">
        <f t="shared" si="22"/>
        <v>16365</v>
      </c>
    </row>
    <row r="335" spans="1:16" x14ac:dyDescent="0.25">
      <c r="A335">
        <f>'Front Page'!A336</f>
        <v>334</v>
      </c>
      <c r="B335" t="str">
        <f>'Front Page'!B336</f>
        <v xml:space="preserve">20.c.ps.109.766 </v>
      </c>
      <c r="C335" t="str">
        <f>'Front Page'!C336</f>
        <v xml:space="preserve">The Tampa Film Institute, Inc. </v>
      </c>
      <c r="D335">
        <f>'Front Page'!E336</f>
        <v>58000</v>
      </c>
      <c r="E335" s="3">
        <f>ROUND('Front Page'!F336,4)</f>
        <v>89.5</v>
      </c>
      <c r="F335">
        <f t="shared" si="20"/>
        <v>51910</v>
      </c>
      <c r="G335">
        <f>IF((D335*(E335/100)*Sheet2!$B$4)&gt;1000,(D335*(E335/100)*Sheet2!$B$4),1000)</f>
        <v>9844.443188030431</v>
      </c>
      <c r="M335">
        <f>IF(G335=1000,1000,(F335*Sheet2!$B$8))</f>
        <v>9828.4277624817169</v>
      </c>
      <c r="N335">
        <f t="shared" si="23"/>
        <v>9828.4277624817169</v>
      </c>
      <c r="O335">
        <f t="shared" si="21"/>
        <v>9828.4277624817169</v>
      </c>
      <c r="P335">
        <f t="shared" si="22"/>
        <v>9843</v>
      </c>
    </row>
    <row r="336" spans="1:16" x14ac:dyDescent="0.25">
      <c r="A336">
        <f>'Front Page'!A337</f>
        <v>335</v>
      </c>
      <c r="B336" t="str">
        <f>'Front Page'!B337</f>
        <v xml:space="preserve">20.c.ps.109.651 </v>
      </c>
      <c r="C336" t="str">
        <f>'Front Page'!C337</f>
        <v xml:space="preserve">Key West Film Festival Corporation </v>
      </c>
      <c r="D336">
        <f>'Front Page'!E337</f>
        <v>25000</v>
      </c>
      <c r="E336" s="3">
        <f>ROUND('Front Page'!F337,4)</f>
        <v>89.5</v>
      </c>
      <c r="F336">
        <f t="shared" si="20"/>
        <v>22375</v>
      </c>
      <c r="G336">
        <f>IF((D336*(E336/100)*Sheet2!$B$4)&gt;1000,(D336*(E336/100)*Sheet2!$B$4),1000)</f>
        <v>4243.2944775993237</v>
      </c>
      <c r="M336">
        <f>IF(G336=1000,1000,(F336*Sheet2!$B$8))</f>
        <v>4236.3912769317749</v>
      </c>
      <c r="N336">
        <f t="shared" si="23"/>
        <v>4236.3912769317749</v>
      </c>
      <c r="O336">
        <f t="shared" si="21"/>
        <v>4236.3912769317749</v>
      </c>
      <c r="P336">
        <f t="shared" si="22"/>
        <v>4251</v>
      </c>
    </row>
    <row r="337" spans="1:16" x14ac:dyDescent="0.25">
      <c r="A337">
        <f>'Front Page'!A338</f>
        <v>336</v>
      </c>
      <c r="B337" t="str">
        <f>'Front Page'!B338</f>
        <v xml:space="preserve">20.c.ps.114.048 </v>
      </c>
      <c r="C337" t="str">
        <f>'Front Page'!C338</f>
        <v xml:space="preserve">Aequalis, Inc. </v>
      </c>
      <c r="D337">
        <f>'Front Page'!E338</f>
        <v>49664</v>
      </c>
      <c r="E337" s="3">
        <f>ROUND('Front Page'!F338,4)</f>
        <v>89.429000000000002</v>
      </c>
      <c r="F337">
        <f t="shared" si="20"/>
        <v>44414.018560000004</v>
      </c>
      <c r="G337">
        <f>IF((D337*(E337/100)*Sheet2!$B$4)&gt;1000,(D337*(E337/100)*Sheet2!$B$4),1000)</f>
        <v>8422.8719411683524</v>
      </c>
      <c r="M337">
        <f>IF(G337=1000,1000,(F337*Sheet2!$B$8))</f>
        <v>8409.1691978131821</v>
      </c>
      <c r="N337">
        <f t="shared" si="23"/>
        <v>8409.1691978131821</v>
      </c>
      <c r="O337">
        <f t="shared" si="21"/>
        <v>8409.1691978131821</v>
      </c>
      <c r="P337">
        <f t="shared" si="22"/>
        <v>8424</v>
      </c>
    </row>
    <row r="338" spans="1:16" x14ac:dyDescent="0.25">
      <c r="A338">
        <f>'Front Page'!A339</f>
        <v>337</v>
      </c>
      <c r="B338" t="str">
        <f>'Front Page'!B339</f>
        <v xml:space="preserve">20.c.ps.102.729 </v>
      </c>
      <c r="C338" t="str">
        <f>'Front Page'!C339</f>
        <v xml:space="preserve">Miami Youth for Chamber Music, Inc. </v>
      </c>
      <c r="D338">
        <f>'Front Page'!E339</f>
        <v>32000</v>
      </c>
      <c r="E338" s="3">
        <f>ROUND('Front Page'!F339,4)</f>
        <v>89.4</v>
      </c>
      <c r="F338">
        <f t="shared" si="20"/>
        <v>28608</v>
      </c>
      <c r="G338">
        <f>IF((D338*(E338/100)*Sheet2!$B$4)&gt;1000,(D338*(E338/100)*Sheet2!$B$4),1000)</f>
        <v>5425.3483090574955</v>
      </c>
      <c r="M338">
        <f>IF(G338=1000,1000,(F338*Sheet2!$B$8))</f>
        <v>5416.522084936948</v>
      </c>
      <c r="N338">
        <f t="shared" si="23"/>
        <v>5416.522084936948</v>
      </c>
      <c r="O338">
        <f t="shared" si="21"/>
        <v>5416.522084936948</v>
      </c>
      <c r="P338">
        <f t="shared" si="22"/>
        <v>5431</v>
      </c>
    </row>
    <row r="339" spans="1:16" x14ac:dyDescent="0.25">
      <c r="A339">
        <f>'Front Page'!A340</f>
        <v>338</v>
      </c>
      <c r="B339" t="str">
        <f>'Front Page'!B340</f>
        <v xml:space="preserve">20.c.ps.102.379 </v>
      </c>
      <c r="C339" t="str">
        <f>'Front Page'!C340</f>
        <v xml:space="preserve">Pensacola Children's Chorus, Inc. </v>
      </c>
      <c r="D339">
        <f>'Front Page'!E340</f>
        <v>90414</v>
      </c>
      <c r="E339" s="3">
        <f>ROUND('Front Page'!F340,4)</f>
        <v>89.375</v>
      </c>
      <c r="F339">
        <f t="shared" si="20"/>
        <v>80807.512499999997</v>
      </c>
      <c r="G339">
        <f>IF((D339*(E339/100)*Sheet2!$B$4)&gt;1000,(D339*(E339/100)*Sheet2!$B$4),1000)</f>
        <v>15324.695934739142</v>
      </c>
      <c r="M339">
        <f>IF(G339=1000,1000,(F339*Sheet2!$B$8))</f>
        <v>15299.764963823702</v>
      </c>
      <c r="N339">
        <f t="shared" si="23"/>
        <v>15299.764963823702</v>
      </c>
      <c r="O339">
        <f t="shared" si="21"/>
        <v>15299.764963823702</v>
      </c>
      <c r="P339">
        <f t="shared" si="22"/>
        <v>15315</v>
      </c>
    </row>
    <row r="340" spans="1:16" x14ac:dyDescent="0.25">
      <c r="A340">
        <f>'Front Page'!A341</f>
        <v>339</v>
      </c>
      <c r="B340" t="str">
        <f>'Front Page'!B341</f>
        <v xml:space="preserve">20.c.ps.101.377 </v>
      </c>
      <c r="C340" t="str">
        <f>'Front Page'!C341</f>
        <v xml:space="preserve">Boca Ballet Theatre Company </v>
      </c>
      <c r="D340">
        <f>'Front Page'!E341</f>
        <v>110000</v>
      </c>
      <c r="E340" s="3">
        <f>ROUND('Front Page'!F341,4)</f>
        <v>89.332999999999998</v>
      </c>
      <c r="F340">
        <f t="shared" si="20"/>
        <v>98266.299999999988</v>
      </c>
      <c r="G340">
        <f>IF((D340*(E340/100)*Sheet2!$B$4)&gt;1000,(D340*(E340/100)*Sheet2!$B$4),1000)</f>
        <v>18635.658016720376</v>
      </c>
      <c r="M340">
        <f>IF(G340=1000,1000,(F340*Sheet2!$B$8))</f>
        <v>18605.340609446292</v>
      </c>
      <c r="N340">
        <f t="shared" si="23"/>
        <v>18605.340609446292</v>
      </c>
      <c r="O340">
        <f t="shared" si="21"/>
        <v>18605.340609446292</v>
      </c>
      <c r="P340">
        <f t="shared" si="22"/>
        <v>18620</v>
      </c>
    </row>
    <row r="341" spans="1:16" x14ac:dyDescent="0.25">
      <c r="A341">
        <f>'Front Page'!A342</f>
        <v>340</v>
      </c>
      <c r="B341" t="str">
        <f>'Front Page'!B342</f>
        <v xml:space="preserve">20.c.ps.500.473 </v>
      </c>
      <c r="C341" t="str">
        <f>'Front Page'!C342</f>
        <v xml:space="preserve">Arts &amp; Cultural Alliance of Sarasota County, Inc. </v>
      </c>
      <c r="D341">
        <f>'Front Page'!E342</f>
        <v>55567</v>
      </c>
      <c r="E341" s="3">
        <f>ROUND('Front Page'!F342,4)</f>
        <v>89.332999999999998</v>
      </c>
      <c r="F341">
        <f t="shared" ref="F341:F404" si="24">D341*(E341/100)</f>
        <v>49639.668109999999</v>
      </c>
      <c r="G341">
        <f>IF((D341*(E341/100)*Sheet2!$B$4)&gt;1000,(D341*(E341/100)*Sheet2!$B$4),1000)</f>
        <v>9413.8873546827381</v>
      </c>
      <c r="M341">
        <f>IF(G341=1000,1000,(F341*Sheet2!$B$8))</f>
        <v>9398.5723785918381</v>
      </c>
      <c r="N341">
        <f t="shared" ref="N341:N404" si="25">M341</f>
        <v>9398.5723785918381</v>
      </c>
      <c r="O341">
        <f t="shared" ref="O341:O404" si="26">IF(N341&lt;1000,1000,N341)</f>
        <v>9398.5723785918381</v>
      </c>
      <c r="P341">
        <f t="shared" ref="P341:P404" si="27">ROUND(IF(O341=1000,1000,(O341+$J$11)),0)</f>
        <v>9414</v>
      </c>
    </row>
    <row r="342" spans="1:16" x14ac:dyDescent="0.25">
      <c r="A342">
        <f>'Front Page'!A343</f>
        <v>341</v>
      </c>
      <c r="B342" t="str">
        <f>'Front Page'!B343</f>
        <v xml:space="preserve">20.c.ps.170.491 </v>
      </c>
      <c r="C342" t="str">
        <f>'Front Page'!C343</f>
        <v xml:space="preserve">Holocaust Memorial Committee </v>
      </c>
      <c r="D342">
        <f>'Front Page'!E343</f>
        <v>85500</v>
      </c>
      <c r="E342" s="3">
        <f>ROUND('Front Page'!F343,4)</f>
        <v>89.286000000000001</v>
      </c>
      <c r="F342">
        <f t="shared" si="24"/>
        <v>76339.53</v>
      </c>
      <c r="G342">
        <f>IF((D342*(E342/100)*Sheet2!$B$4)&gt;1000,(D342*(E342/100)*Sheet2!$B$4),1000)</f>
        <v>14477.367869118565</v>
      </c>
      <c r="M342">
        <f>IF(G342=1000,1000,(F342*Sheet2!$B$8))</f>
        <v>14453.815373276939</v>
      </c>
      <c r="N342">
        <f t="shared" si="25"/>
        <v>14453.815373276939</v>
      </c>
      <c r="O342">
        <f t="shared" si="26"/>
        <v>14453.815373276939</v>
      </c>
      <c r="P342">
        <f t="shared" si="27"/>
        <v>14469</v>
      </c>
    </row>
    <row r="343" spans="1:16" x14ac:dyDescent="0.25">
      <c r="A343">
        <f>'Front Page'!A344</f>
        <v>342</v>
      </c>
      <c r="B343" t="str">
        <f>'Front Page'!B344</f>
        <v xml:space="preserve">20.c.ps.102.075 </v>
      </c>
      <c r="C343" t="str">
        <f>'Front Page'!C344</f>
        <v xml:space="preserve">Tampa, Florida, Chapter No. 1 of S.P.E.B.S.Q.S.A., Inc. </v>
      </c>
      <c r="D343">
        <f>'Front Page'!E344</f>
        <v>24000</v>
      </c>
      <c r="E343" s="3">
        <f>ROUND('Front Page'!F344,4)</f>
        <v>89.2</v>
      </c>
      <c r="F343">
        <f t="shared" si="24"/>
        <v>21408</v>
      </c>
      <c r="G343">
        <f>IF((D343*(E343/100)*Sheet2!$B$4)&gt;1000,(D343*(E343/100)*Sheet2!$B$4),1000)</f>
        <v>4059.9082983886624</v>
      </c>
      <c r="M343">
        <f>IF(G343=1000,1000,(F343*Sheet2!$B$8))</f>
        <v>4053.3034393991256</v>
      </c>
      <c r="N343">
        <f t="shared" si="25"/>
        <v>4053.3034393991256</v>
      </c>
      <c r="O343">
        <f t="shared" si="26"/>
        <v>4053.3034393991256</v>
      </c>
      <c r="P343">
        <f t="shared" si="27"/>
        <v>4068</v>
      </c>
    </row>
    <row r="344" spans="1:16" x14ac:dyDescent="0.25">
      <c r="A344">
        <f>'Front Page'!A345</f>
        <v>343</v>
      </c>
      <c r="B344" t="str">
        <f>'Front Page'!B345</f>
        <v xml:space="preserve">20.c.ps.170.167 </v>
      </c>
      <c r="C344" t="str">
        <f>'Front Page'!C345</f>
        <v xml:space="preserve">College of Central Florida Foundation, Inc. </v>
      </c>
      <c r="D344">
        <f>'Front Page'!E345</f>
        <v>150000</v>
      </c>
      <c r="E344" s="3">
        <f>ROUND('Front Page'!F345,4)</f>
        <v>89.167000000000002</v>
      </c>
      <c r="F344">
        <f t="shared" si="24"/>
        <v>133750.5</v>
      </c>
      <c r="G344">
        <f>IF((D344*(E344/100)*Sheet2!$B$4)&gt;1000,(D344*(E344/100)*Sheet2!$B$4),1000)</f>
        <v>25365.039464855792</v>
      </c>
      <c r="M344">
        <f>IF(G344=1000,1000,(F344*Sheet2!$B$8))</f>
        <v>25323.77436805646</v>
      </c>
      <c r="N344">
        <f t="shared" si="25"/>
        <v>25323.77436805646</v>
      </c>
      <c r="O344">
        <f t="shared" si="26"/>
        <v>25323.77436805646</v>
      </c>
      <c r="P344">
        <f t="shared" si="27"/>
        <v>25339</v>
      </c>
    </row>
    <row r="345" spans="1:16" x14ac:dyDescent="0.25">
      <c r="A345">
        <f>'Front Page'!A346</f>
        <v>344</v>
      </c>
      <c r="B345" t="str">
        <f>'Front Page'!B346</f>
        <v xml:space="preserve">20.c.ps.500.591 </v>
      </c>
      <c r="C345" t="str">
        <f>'Front Page'!C346</f>
        <v xml:space="preserve">Franklin's Promise Coalition, Inc. </v>
      </c>
      <c r="D345">
        <f>'Front Page'!E346</f>
        <v>90000</v>
      </c>
      <c r="E345" s="3">
        <f>ROUND('Front Page'!F346,4)</f>
        <v>89.167000000000002</v>
      </c>
      <c r="F345">
        <f t="shared" si="24"/>
        <v>80250.3</v>
      </c>
      <c r="G345">
        <f>IF((D345*(E345/100)*Sheet2!$B$4)&gt;1000,(D345*(E345/100)*Sheet2!$B$4),1000)</f>
        <v>15219.023678913476</v>
      </c>
      <c r="M345">
        <f>IF(G345=1000,1000,(F345*Sheet2!$B$8))</f>
        <v>15194.264620833877</v>
      </c>
      <c r="N345">
        <f t="shared" si="25"/>
        <v>15194.264620833877</v>
      </c>
      <c r="O345">
        <f t="shared" si="26"/>
        <v>15194.264620833877</v>
      </c>
      <c r="P345">
        <f t="shared" si="27"/>
        <v>15209</v>
      </c>
    </row>
    <row r="346" spans="1:16" x14ac:dyDescent="0.25">
      <c r="A346">
        <f>'Front Page'!A347</f>
        <v>345</v>
      </c>
      <c r="B346" t="str">
        <f>'Front Page'!B347</f>
        <v xml:space="preserve">20.c.ps.142.443 </v>
      </c>
      <c r="C346" t="str">
        <f>'Front Page'!C347</f>
        <v xml:space="preserve">The Broward Stage Door Theater Co., Inc. </v>
      </c>
      <c r="D346">
        <f>'Front Page'!E347</f>
        <v>107500</v>
      </c>
      <c r="E346" s="3">
        <f>ROUND('Front Page'!F347,4)</f>
        <v>89.167000000000002</v>
      </c>
      <c r="F346">
        <f t="shared" si="24"/>
        <v>95854.524999999994</v>
      </c>
      <c r="G346">
        <f>IF((D346*(E346/100)*Sheet2!$B$4)&gt;1000,(D346*(E346/100)*Sheet2!$B$4),1000)</f>
        <v>18178.27828314665</v>
      </c>
      <c r="M346">
        <f>IF(G346=1000,1000,(F346*Sheet2!$B$8))</f>
        <v>18148.704963773795</v>
      </c>
      <c r="N346">
        <f t="shared" si="25"/>
        <v>18148.704963773795</v>
      </c>
      <c r="O346">
        <f t="shared" si="26"/>
        <v>18148.704963773795</v>
      </c>
      <c r="P346">
        <f t="shared" si="27"/>
        <v>18164</v>
      </c>
    </row>
    <row r="347" spans="1:16" x14ac:dyDescent="0.25">
      <c r="A347">
        <f>'Front Page'!A348</f>
        <v>346</v>
      </c>
      <c r="B347" t="str">
        <f>'Front Page'!B348</f>
        <v xml:space="preserve">20.c.ps.180.118 </v>
      </c>
      <c r="C347" t="str">
        <f>'Front Page'!C348</f>
        <v xml:space="preserve">Daytona Beach Symphony Society, Inc. </v>
      </c>
      <c r="D347">
        <f>'Front Page'!E348</f>
        <v>90000</v>
      </c>
      <c r="E347" s="3">
        <f>ROUND('Front Page'!F348,4)</f>
        <v>89.167000000000002</v>
      </c>
      <c r="F347">
        <f t="shared" si="24"/>
        <v>80250.3</v>
      </c>
      <c r="G347">
        <f>IF((D347*(E347/100)*Sheet2!$B$4)&gt;1000,(D347*(E347/100)*Sheet2!$B$4),1000)</f>
        <v>15219.023678913476</v>
      </c>
      <c r="M347">
        <f>IF(G347=1000,1000,(F347*Sheet2!$B$8))</f>
        <v>15194.264620833877</v>
      </c>
      <c r="N347">
        <f t="shared" si="25"/>
        <v>15194.264620833877</v>
      </c>
      <c r="O347">
        <f t="shared" si="26"/>
        <v>15194.264620833877</v>
      </c>
      <c r="P347">
        <f t="shared" si="27"/>
        <v>15209</v>
      </c>
    </row>
    <row r="348" spans="1:16" x14ac:dyDescent="0.25">
      <c r="A348">
        <f>'Front Page'!A349</f>
        <v>347</v>
      </c>
      <c r="B348" t="str">
        <f>'Front Page'!B349</f>
        <v xml:space="preserve">20.c.ps.170.325 </v>
      </c>
      <c r="C348" t="str">
        <f>'Front Page'!C349</f>
        <v xml:space="preserve">Lighthouse Archaeological Maritime Program, Inc. </v>
      </c>
      <c r="D348">
        <f>'Front Page'!E349</f>
        <v>42500</v>
      </c>
      <c r="E348" s="3">
        <f>ROUND('Front Page'!F349,4)</f>
        <v>89.143000000000001</v>
      </c>
      <c r="F348">
        <f t="shared" si="24"/>
        <v>37885.775000000001</v>
      </c>
      <c r="G348">
        <f>IF((D348*(E348/100)*Sheet2!$B$4)&gt;1000,(D348*(E348/100)*Sheet2!$B$4),1000)</f>
        <v>7184.8268083606936</v>
      </c>
      <c r="M348">
        <f>IF(G348=1000,1000,(F348*Sheet2!$B$8))</f>
        <v>7173.1381778681525</v>
      </c>
      <c r="N348">
        <f t="shared" si="25"/>
        <v>7173.1381778681525</v>
      </c>
      <c r="O348">
        <f t="shared" si="26"/>
        <v>7173.1381778681525</v>
      </c>
      <c r="P348">
        <f t="shared" si="27"/>
        <v>7188</v>
      </c>
    </row>
    <row r="349" spans="1:16" x14ac:dyDescent="0.25">
      <c r="A349">
        <f>'Front Page'!A350</f>
        <v>348</v>
      </c>
      <c r="B349" t="str">
        <f>'Front Page'!B350</f>
        <v xml:space="preserve">20.c.ps.102.606 </v>
      </c>
      <c r="C349" t="str">
        <f>'Front Page'!C350</f>
        <v xml:space="preserve">Gloria Musicae, Inc. </v>
      </c>
      <c r="D349">
        <f>'Front Page'!E350</f>
        <v>25000</v>
      </c>
      <c r="E349" s="3">
        <f>ROUND('Front Page'!F350,4)</f>
        <v>89.143000000000001</v>
      </c>
      <c r="F349">
        <f t="shared" si="24"/>
        <v>22285.75</v>
      </c>
      <c r="G349">
        <f>IF((D349*(E349/100)*Sheet2!$B$4)&gt;1000,(D349*(E349/100)*Sheet2!$B$4),1000)</f>
        <v>4226.3687108004078</v>
      </c>
      <c r="M349">
        <f>IF(G349=1000,1000,(F349*Sheet2!$B$8))</f>
        <v>4219.4930458047957</v>
      </c>
      <c r="N349">
        <f t="shared" si="25"/>
        <v>4219.4930458047957</v>
      </c>
      <c r="O349">
        <f t="shared" si="26"/>
        <v>4219.4930458047957</v>
      </c>
      <c r="P349">
        <f t="shared" si="27"/>
        <v>4234</v>
      </c>
    </row>
    <row r="350" spans="1:16" x14ac:dyDescent="0.25">
      <c r="A350">
        <f>'Front Page'!A351</f>
        <v>349</v>
      </c>
      <c r="B350" t="str">
        <f>'Front Page'!B351</f>
        <v xml:space="preserve">20.c.ps.170.536 </v>
      </c>
      <c r="C350" t="str">
        <f>'Front Page'!C351</f>
        <v xml:space="preserve">Lightner Museum of Hobbies  </v>
      </c>
      <c r="D350">
        <f>'Front Page'!E351</f>
        <v>90000</v>
      </c>
      <c r="E350" s="3">
        <f>ROUND('Front Page'!F351,4)</f>
        <v>89</v>
      </c>
      <c r="F350">
        <f t="shared" si="24"/>
        <v>80100</v>
      </c>
      <c r="G350">
        <f>IF((D350*(E350/100)*Sheet2!$B$4)&gt;1000,(D350*(E350/100)*Sheet2!$B$4),1000)</f>
        <v>15190.520118690763</v>
      </c>
      <c r="M350">
        <f>IF(G350=1000,1000,(F350*Sheet2!$B$8))</f>
        <v>15165.807431608275</v>
      </c>
      <c r="N350">
        <f t="shared" si="25"/>
        <v>15165.807431608275</v>
      </c>
      <c r="O350">
        <f t="shared" si="26"/>
        <v>15165.807431608275</v>
      </c>
      <c r="P350">
        <f t="shared" si="27"/>
        <v>15181</v>
      </c>
    </row>
    <row r="351" spans="1:16" x14ac:dyDescent="0.25">
      <c r="A351">
        <f>'Front Page'!A352</f>
        <v>350</v>
      </c>
      <c r="B351" t="str">
        <f>'Front Page'!B352</f>
        <v xml:space="preserve">20.c.ps.170.712 </v>
      </c>
      <c r="C351" t="str">
        <f>'Front Page'!C352</f>
        <v xml:space="preserve">Winter Park Historical Association, Inc </v>
      </c>
      <c r="D351">
        <f>'Front Page'!E352</f>
        <v>22159</v>
      </c>
      <c r="E351" s="3">
        <f>ROUND('Front Page'!F352,4)</f>
        <v>89</v>
      </c>
      <c r="F351">
        <f t="shared" si="24"/>
        <v>19721.510000000002</v>
      </c>
      <c r="G351">
        <f>IF((D351*(E351/100)*Sheet2!$B$4)&gt;1000,(D351*(E351/100)*Sheet2!$B$4),1000)</f>
        <v>3740.0748367785404</v>
      </c>
      <c r="M351">
        <f>IF(G351=1000,1000,(F351*Sheet2!$B$8))</f>
        <v>3733.99029863342</v>
      </c>
      <c r="N351">
        <f t="shared" si="25"/>
        <v>3733.99029863342</v>
      </c>
      <c r="O351">
        <f t="shared" si="26"/>
        <v>3733.99029863342</v>
      </c>
      <c r="P351">
        <f t="shared" si="27"/>
        <v>3749</v>
      </c>
    </row>
    <row r="352" spans="1:16" x14ac:dyDescent="0.25">
      <c r="A352">
        <f>'Front Page'!A353</f>
        <v>351</v>
      </c>
      <c r="B352" t="str">
        <f>'Front Page'!B353</f>
        <v xml:space="preserve">20.c.ps.102.289 </v>
      </c>
      <c r="C352" t="str">
        <f>'Front Page'!C353</f>
        <v xml:space="preserve">Lynn University, Inc. </v>
      </c>
      <c r="D352">
        <f>'Front Page'!E353</f>
        <v>150000</v>
      </c>
      <c r="E352" s="3">
        <f>ROUND('Front Page'!F353,4)</f>
        <v>89</v>
      </c>
      <c r="F352">
        <f t="shared" si="24"/>
        <v>133500</v>
      </c>
      <c r="G352">
        <f>IF((D352*(E352/100)*Sheet2!$B$4)&gt;1000,(D352*(E352/100)*Sheet2!$B$4),1000)</f>
        <v>25317.533531151272</v>
      </c>
      <c r="M352">
        <f>IF(G352=1000,1000,(F352*Sheet2!$B$8))</f>
        <v>25276.345719347126</v>
      </c>
      <c r="N352">
        <f t="shared" si="25"/>
        <v>25276.345719347126</v>
      </c>
      <c r="O352">
        <f t="shared" si="26"/>
        <v>25276.345719347126</v>
      </c>
      <c r="P352">
        <f t="shared" si="27"/>
        <v>25291</v>
      </c>
    </row>
    <row r="353" spans="1:16" x14ac:dyDescent="0.25">
      <c r="A353">
        <f>'Front Page'!A354</f>
        <v>352</v>
      </c>
      <c r="B353" t="str">
        <f>'Front Page'!B354</f>
        <v xml:space="preserve">20.c.ps.142.411 </v>
      </c>
      <c r="C353" t="str">
        <f>'Front Page'!C354</f>
        <v xml:space="preserve">Bits 'N Pieces Puppet Theatre, Inc. </v>
      </c>
      <c r="D353">
        <f>'Front Page'!E354</f>
        <v>23000</v>
      </c>
      <c r="E353" s="3">
        <f>ROUND('Front Page'!F354,4)</f>
        <v>89</v>
      </c>
      <c r="F353">
        <f t="shared" si="24"/>
        <v>20470</v>
      </c>
      <c r="G353">
        <f>IF((D353*(E353/100)*Sheet2!$B$4)&gt;1000,(D353*(E353/100)*Sheet2!$B$4),1000)</f>
        <v>3882.0218081098619</v>
      </c>
      <c r="M353">
        <f>IF(G353=1000,1000,(F353*Sheet2!$B$8))</f>
        <v>3875.706343633226</v>
      </c>
      <c r="N353">
        <f t="shared" si="25"/>
        <v>3875.706343633226</v>
      </c>
      <c r="O353">
        <f t="shared" si="26"/>
        <v>3875.706343633226</v>
      </c>
      <c r="P353">
        <f t="shared" si="27"/>
        <v>3891</v>
      </c>
    </row>
    <row r="354" spans="1:16" x14ac:dyDescent="0.25">
      <c r="A354">
        <f>'Front Page'!A355</f>
        <v>353</v>
      </c>
      <c r="B354" t="str">
        <f>'Front Page'!B355</f>
        <v xml:space="preserve">20.c.ps.102.330 </v>
      </c>
      <c r="C354" t="str">
        <f>'Front Page'!C355</f>
        <v xml:space="preserve">Civic Orchestra of Jacksonville Inc. </v>
      </c>
      <c r="D354">
        <f>'Front Page'!E355</f>
        <v>6850</v>
      </c>
      <c r="E354" s="3">
        <f>ROUND('Front Page'!F355,4)</f>
        <v>89</v>
      </c>
      <c r="F354">
        <f t="shared" si="24"/>
        <v>6096.5</v>
      </c>
      <c r="G354">
        <f>IF((D354*(E354/100)*Sheet2!$B$4)&gt;1000,(D354*(E354/100)*Sheet2!$B$4),1000)</f>
        <v>1156.1673645892415</v>
      </c>
      <c r="M354">
        <f>IF(G354=1000,1000,(F354*Sheet2!$B$8))</f>
        <v>1154.286454516852</v>
      </c>
      <c r="N354">
        <f t="shared" si="25"/>
        <v>1154.286454516852</v>
      </c>
      <c r="O354">
        <f t="shared" si="26"/>
        <v>1154.286454516852</v>
      </c>
      <c r="P354">
        <f t="shared" si="27"/>
        <v>1169</v>
      </c>
    </row>
    <row r="355" spans="1:16" x14ac:dyDescent="0.25">
      <c r="A355">
        <f>'Front Page'!A356</f>
        <v>354</v>
      </c>
      <c r="B355" t="str">
        <f>'Front Page'!B356</f>
        <v xml:space="preserve">20.c.ps.102.435 </v>
      </c>
      <c r="C355" t="str">
        <f>'Front Page'!C356</f>
        <v xml:space="preserve">Orchestra Miami, Inc. </v>
      </c>
      <c r="D355">
        <f>'Front Page'!E356</f>
        <v>40000</v>
      </c>
      <c r="E355" s="3">
        <f>ROUND('Front Page'!F356,4)</f>
        <v>89</v>
      </c>
      <c r="F355">
        <f t="shared" si="24"/>
        <v>35600</v>
      </c>
      <c r="G355">
        <f>IF((D355*(E355/100)*Sheet2!$B$4)&gt;1000,(D355*(E355/100)*Sheet2!$B$4),1000)</f>
        <v>6751.3422749736728</v>
      </c>
      <c r="M355">
        <f>IF(G355=1000,1000,(F355*Sheet2!$B$8))</f>
        <v>6740.3588584925665</v>
      </c>
      <c r="N355">
        <f t="shared" si="25"/>
        <v>6740.3588584925665</v>
      </c>
      <c r="O355">
        <f t="shared" si="26"/>
        <v>6740.3588584925665</v>
      </c>
      <c r="P355">
        <f t="shared" si="27"/>
        <v>6755</v>
      </c>
    </row>
    <row r="356" spans="1:16" x14ac:dyDescent="0.25">
      <c r="A356">
        <f>'Front Page'!A357</f>
        <v>355</v>
      </c>
      <c r="B356" t="str">
        <f>'Front Page'!B357</f>
        <v xml:space="preserve">20.c.ps.200.580 </v>
      </c>
      <c r="C356" t="str">
        <f>'Front Page'!C357</f>
        <v xml:space="preserve">Young Musicians Unite, Inc  </v>
      </c>
      <c r="D356">
        <f>'Front Page'!E357</f>
        <v>13399</v>
      </c>
      <c r="E356" s="3">
        <f>ROUND('Front Page'!F357,4)</f>
        <v>89</v>
      </c>
      <c r="F356">
        <f t="shared" si="24"/>
        <v>11925.11</v>
      </c>
      <c r="G356">
        <f>IF((D356*(E356/100)*Sheet2!$B$4)&gt;1000,(D356*(E356/100)*Sheet2!$B$4),1000)</f>
        <v>2261.5308785593061</v>
      </c>
      <c r="M356">
        <f>IF(G356=1000,1000,(F356*Sheet2!$B$8))</f>
        <v>2257.8517086235474</v>
      </c>
      <c r="N356">
        <f t="shared" si="25"/>
        <v>2257.8517086235474</v>
      </c>
      <c r="O356">
        <f t="shared" si="26"/>
        <v>2257.8517086235474</v>
      </c>
      <c r="P356">
        <f t="shared" si="27"/>
        <v>2273</v>
      </c>
    </row>
    <row r="357" spans="1:16" x14ac:dyDescent="0.25">
      <c r="A357">
        <f>'Front Page'!A358</f>
        <v>356</v>
      </c>
      <c r="B357" t="str">
        <f>'Front Page'!B358</f>
        <v xml:space="preserve">20.c.ps.102.094 </v>
      </c>
      <c r="C357" t="str">
        <f>'Front Page'!C358</f>
        <v xml:space="preserve">Opera Naples, Inc. </v>
      </c>
      <c r="D357">
        <f>'Front Page'!E358</f>
        <v>130000</v>
      </c>
      <c r="E357" s="3">
        <f>ROUND('Front Page'!F358,4)</f>
        <v>88.875</v>
      </c>
      <c r="F357">
        <f t="shared" si="24"/>
        <v>115537.5</v>
      </c>
      <c r="G357">
        <f>IF((D357*(E357/100)*Sheet2!$B$4)&gt;1000,(D357*(E357/100)*Sheet2!$B$4),1000)</f>
        <v>21911.045171201426</v>
      </c>
      <c r="M357">
        <f>IF(G357=1000,1000,(F357*Sheet2!$B$8))</f>
        <v>21875.399202614746</v>
      </c>
      <c r="N357">
        <f t="shared" si="25"/>
        <v>21875.399202614746</v>
      </c>
      <c r="O357">
        <f t="shared" si="26"/>
        <v>21875.399202614746</v>
      </c>
      <c r="P357">
        <f t="shared" si="27"/>
        <v>21890</v>
      </c>
    </row>
    <row r="358" spans="1:16" x14ac:dyDescent="0.25">
      <c r="A358">
        <f>'Front Page'!A359</f>
        <v>357</v>
      </c>
      <c r="B358" t="str">
        <f>'Front Page'!B359</f>
        <v xml:space="preserve">20.c.ps.141.170 </v>
      </c>
      <c r="C358" t="str">
        <f>'Front Page'!C359</f>
        <v xml:space="preserve">Shoestring Theatre, Inc. </v>
      </c>
      <c r="D358">
        <f>'Front Page'!E359</f>
        <v>11000</v>
      </c>
      <c r="E358" s="3">
        <f>ROUND('Front Page'!F359,4)</f>
        <v>88.856999999999999</v>
      </c>
      <c r="F358">
        <f t="shared" si="24"/>
        <v>9774.27</v>
      </c>
      <c r="G358">
        <f>IF((D358*(E358/100)*Sheet2!$B$4)&gt;1000,(D358*(E358/100)*Sheet2!$B$4),1000)</f>
        <v>1853.6360184833404</v>
      </c>
      <c r="M358">
        <f>IF(G358=1000,1000,(F358*Sheet2!$B$8))</f>
        <v>1850.6204320168017</v>
      </c>
      <c r="N358">
        <f t="shared" si="25"/>
        <v>1850.6204320168017</v>
      </c>
      <c r="O358">
        <f t="shared" si="26"/>
        <v>1850.6204320168017</v>
      </c>
      <c r="P358">
        <f t="shared" si="27"/>
        <v>1866</v>
      </c>
    </row>
    <row r="359" spans="1:16" x14ac:dyDescent="0.25">
      <c r="A359">
        <f>'Front Page'!A360</f>
        <v>358</v>
      </c>
      <c r="B359" t="str">
        <f>'Front Page'!B360</f>
        <v xml:space="preserve">20.c.ps.200.426 </v>
      </c>
      <c r="C359" t="str">
        <f>'Front Page'!C360</f>
        <v xml:space="preserve">Making Light Productions </v>
      </c>
      <c r="D359">
        <f>'Front Page'!E360</f>
        <v>21610</v>
      </c>
      <c r="E359" s="3">
        <f>ROUND('Front Page'!F360,4)</f>
        <v>88.832999999999998</v>
      </c>
      <c r="F359">
        <f t="shared" si="24"/>
        <v>19196.811299999998</v>
      </c>
      <c r="G359">
        <f>IF((D359*(E359/100)*Sheet2!$B$4)&gt;1000,(D359*(E359/100)*Sheet2!$B$4),1000)</f>
        <v>3640.5686425388285</v>
      </c>
      <c r="M359">
        <f>IF(G359=1000,1000,(F359*Sheet2!$B$8))</f>
        <v>3634.64598597655</v>
      </c>
      <c r="N359">
        <f t="shared" si="25"/>
        <v>3634.64598597655</v>
      </c>
      <c r="O359">
        <f t="shared" si="26"/>
        <v>3634.64598597655</v>
      </c>
      <c r="P359">
        <f t="shared" si="27"/>
        <v>3650</v>
      </c>
    </row>
    <row r="360" spans="1:16" x14ac:dyDescent="0.25">
      <c r="A360">
        <f>'Front Page'!A361</f>
        <v>359</v>
      </c>
      <c r="B360" t="str">
        <f>'Front Page'!B361</f>
        <v xml:space="preserve">20.c.ps.105.182 </v>
      </c>
      <c r="C360" t="str">
        <f>'Front Page'!C361</f>
        <v xml:space="preserve">Lemoyne Art Foundation, Inc. </v>
      </c>
      <c r="D360">
        <f>'Front Page'!E361</f>
        <v>25000</v>
      </c>
      <c r="E360" s="3">
        <f>ROUND('Front Page'!F361,4)</f>
        <v>88.8</v>
      </c>
      <c r="F360">
        <f t="shared" si="24"/>
        <v>22200</v>
      </c>
      <c r="G360">
        <f>IF((D360*(E360/100)*Sheet2!$B$4)&gt;1000,(D360*(E360/100)*Sheet2!$B$4),1000)</f>
        <v>4210.1066995622341</v>
      </c>
      <c r="M360">
        <f>IF(G360=1000,1000,(F360*Sheet2!$B$8))</f>
        <v>4203.2574904082858</v>
      </c>
      <c r="N360">
        <f t="shared" si="25"/>
        <v>4203.2574904082858</v>
      </c>
      <c r="O360">
        <f t="shared" si="26"/>
        <v>4203.2574904082858</v>
      </c>
      <c r="P360">
        <f t="shared" si="27"/>
        <v>4218</v>
      </c>
    </row>
    <row r="361" spans="1:16" x14ac:dyDescent="0.25">
      <c r="A361">
        <f>'Front Page'!A362</f>
        <v>360</v>
      </c>
      <c r="B361" t="str">
        <f>'Front Page'!B362</f>
        <v xml:space="preserve">20.c.ps.141.758 </v>
      </c>
      <c r="C361" t="str">
        <f>'Front Page'!C362</f>
        <v xml:space="preserve">Bay Street Players, Inc. </v>
      </c>
      <c r="D361">
        <f>'Front Page'!E362</f>
        <v>20000</v>
      </c>
      <c r="E361" s="3">
        <f>ROUND('Front Page'!F362,4)</f>
        <v>88.713999999999999</v>
      </c>
      <c r="F361">
        <f t="shared" si="24"/>
        <v>17742.8</v>
      </c>
      <c r="G361">
        <f>IF((D361*(E361/100)*Sheet2!$B$4)&gt;1000,(D361*(E361/100)*Sheet2!$B$4),1000)</f>
        <v>3364.8234751798559</v>
      </c>
      <c r="M361">
        <f>IF(G361=1000,1000,(F361*Sheet2!$B$8))</f>
        <v>3359.3494144511769</v>
      </c>
      <c r="N361">
        <f t="shared" si="25"/>
        <v>3359.3494144511769</v>
      </c>
      <c r="O361">
        <f t="shared" si="26"/>
        <v>3359.3494144511769</v>
      </c>
      <c r="P361">
        <f t="shared" si="27"/>
        <v>3374</v>
      </c>
    </row>
    <row r="362" spans="1:16" x14ac:dyDescent="0.25">
      <c r="A362">
        <f>'Front Page'!A363</f>
        <v>361</v>
      </c>
      <c r="B362" t="str">
        <f>'Front Page'!B363</f>
        <v xml:space="preserve">20.c.ps.170.592 </v>
      </c>
      <c r="C362" t="str">
        <f>'Front Page'!C363</f>
        <v xml:space="preserve">West Florida Historic Preservation, Inc  </v>
      </c>
      <c r="D362">
        <f>'Front Page'!E363</f>
        <v>90000</v>
      </c>
      <c r="E362" s="3">
        <f>ROUND('Front Page'!F363,4)</f>
        <v>88.713999999999999</v>
      </c>
      <c r="F362">
        <f t="shared" si="24"/>
        <v>79842.600000000006</v>
      </c>
      <c r="G362">
        <f>IF((D362*(E362/100)*Sheet2!$B$4)&gt;1000,(D362*(E362/100)*Sheet2!$B$4),1000)</f>
        <v>15141.705638309353</v>
      </c>
      <c r="M362">
        <f>IF(G362=1000,1000,(F362*Sheet2!$B$8))</f>
        <v>15117.072365030299</v>
      </c>
      <c r="N362">
        <f t="shared" si="25"/>
        <v>15117.072365030299</v>
      </c>
      <c r="O362">
        <f t="shared" si="26"/>
        <v>15117.072365030299</v>
      </c>
      <c r="P362">
        <f t="shared" si="27"/>
        <v>15132</v>
      </c>
    </row>
    <row r="363" spans="1:16" x14ac:dyDescent="0.25">
      <c r="A363">
        <f>'Front Page'!A364</f>
        <v>362</v>
      </c>
      <c r="B363" t="str">
        <f>'Front Page'!B364</f>
        <v xml:space="preserve">20.c.ps.101.235 </v>
      </c>
      <c r="C363" t="str">
        <f>'Front Page'!C364</f>
        <v xml:space="preserve">Academy of Ballet Arts, Inc. </v>
      </c>
      <c r="D363">
        <f>'Front Page'!E364</f>
        <v>24000</v>
      </c>
      <c r="E363" s="3">
        <f>ROUND('Front Page'!F364,4)</f>
        <v>88.713999999999999</v>
      </c>
      <c r="F363">
        <f t="shared" si="24"/>
        <v>21291.360000000001</v>
      </c>
      <c r="G363">
        <f>IF((D363*(E363/100)*Sheet2!$B$4)&gt;1000,(D363*(E363/100)*Sheet2!$B$4),1000)</f>
        <v>4037.7881702158274</v>
      </c>
      <c r="M363">
        <f>IF(G363=1000,1000,(F363*Sheet2!$B$8))</f>
        <v>4031.219297341413</v>
      </c>
      <c r="N363">
        <f t="shared" si="25"/>
        <v>4031.219297341413</v>
      </c>
      <c r="O363">
        <f t="shared" si="26"/>
        <v>4031.219297341413</v>
      </c>
      <c r="P363">
        <f t="shared" si="27"/>
        <v>4046</v>
      </c>
    </row>
    <row r="364" spans="1:16" x14ac:dyDescent="0.25">
      <c r="A364">
        <f>'Front Page'!A365</f>
        <v>363</v>
      </c>
      <c r="B364" t="str">
        <f>'Front Page'!B365</f>
        <v xml:space="preserve">20.c.ps.600.277 </v>
      </c>
      <c r="C364" t="str">
        <f>'Front Page'!C365</f>
        <v xml:space="preserve">Florida Art Education Association, Incorporated </v>
      </c>
      <c r="D364">
        <f>'Front Page'!E365</f>
        <v>36150</v>
      </c>
      <c r="E364" s="3">
        <f>ROUND('Front Page'!F365,4)</f>
        <v>88.667000000000002</v>
      </c>
      <c r="F364">
        <f t="shared" si="24"/>
        <v>32053.120500000001</v>
      </c>
      <c r="G364">
        <f>IF((D364*(E364/100)*Sheet2!$B$4)&gt;1000,(D364*(E364/100)*Sheet2!$B$4),1000)</f>
        <v>6078.6962774290805</v>
      </c>
      <c r="M364">
        <f>IF(G364=1000,1000,(F364*Sheet2!$B$8))</f>
        <v>6068.8071546209185</v>
      </c>
      <c r="N364">
        <f t="shared" si="25"/>
        <v>6068.8071546209185</v>
      </c>
      <c r="O364">
        <f t="shared" si="26"/>
        <v>6068.8071546209185</v>
      </c>
      <c r="P364">
        <f t="shared" si="27"/>
        <v>6084</v>
      </c>
    </row>
    <row r="365" spans="1:16" x14ac:dyDescent="0.25">
      <c r="A365">
        <f>'Front Page'!A366</f>
        <v>364</v>
      </c>
      <c r="B365" t="str">
        <f>'Front Page'!B366</f>
        <v xml:space="preserve">20.c.ps.600.521 </v>
      </c>
      <c r="C365" t="str">
        <f>'Front Page'!C366</f>
        <v xml:space="preserve">Florida Association of Museums Foundation, Inc. </v>
      </c>
      <c r="D365">
        <f>'Front Page'!E366</f>
        <v>61985</v>
      </c>
      <c r="E365" s="3">
        <f>ROUND('Front Page'!F366,4)</f>
        <v>88.667000000000002</v>
      </c>
      <c r="F365">
        <f t="shared" si="24"/>
        <v>54960.239950000003</v>
      </c>
      <c r="G365">
        <f>IF((D365*(E365/100)*Sheet2!$B$4)&gt;1000,(D365*(E365/100)*Sheet2!$B$4),1000)</f>
        <v>10422.904253290222</v>
      </c>
      <c r="M365">
        <f>IF(G365=1000,1000,(F365*Sheet2!$B$8))</f>
        <v>10405.9477587601</v>
      </c>
      <c r="N365">
        <f t="shared" si="25"/>
        <v>10405.9477587601</v>
      </c>
      <c r="O365">
        <f t="shared" si="26"/>
        <v>10405.9477587601</v>
      </c>
      <c r="P365">
        <f t="shared" si="27"/>
        <v>10421</v>
      </c>
    </row>
    <row r="366" spans="1:16" x14ac:dyDescent="0.25">
      <c r="A366">
        <f>'Front Page'!A367</f>
        <v>365</v>
      </c>
      <c r="B366" t="str">
        <f>'Front Page'!B367</f>
        <v xml:space="preserve">20.c.ps.500.313 </v>
      </c>
      <c r="C366" t="str">
        <f>'Front Page'!C367</f>
        <v xml:space="preserve">Arts Council of Hillsborough County </v>
      </c>
      <c r="D366">
        <f>'Front Page'!E367</f>
        <v>145956</v>
      </c>
      <c r="E366" s="3">
        <f>ROUND('Front Page'!F367,4)</f>
        <v>88.667000000000002</v>
      </c>
      <c r="F366">
        <f t="shared" si="24"/>
        <v>129414.80652000001</v>
      </c>
      <c r="G366">
        <f>IF((D366*(E366/100)*Sheet2!$B$4)&gt;1000,(D366*(E366/100)*Sheet2!$B$4),1000)</f>
        <v>24542.79927713524</v>
      </c>
      <c r="M366">
        <f>IF(G366=1000,1000,(F366*Sheet2!$B$8))</f>
        <v>24502.871841213026</v>
      </c>
      <c r="N366">
        <f t="shared" si="25"/>
        <v>24502.871841213026</v>
      </c>
      <c r="O366">
        <f t="shared" si="26"/>
        <v>24502.871841213026</v>
      </c>
      <c r="P366">
        <f t="shared" si="27"/>
        <v>24518</v>
      </c>
    </row>
    <row r="367" spans="1:16" x14ac:dyDescent="0.25">
      <c r="A367">
        <f>'Front Page'!A368</f>
        <v>366</v>
      </c>
      <c r="B367" t="str">
        <f>'Front Page'!B368</f>
        <v xml:space="preserve">20.c.ps.600.273 </v>
      </c>
      <c r="C367" t="str">
        <f>'Front Page'!C368</f>
        <v xml:space="preserve">Florida School Music Association, Incorporated </v>
      </c>
      <c r="D367">
        <f>'Front Page'!E368</f>
        <v>68165</v>
      </c>
      <c r="E367" s="3">
        <f>ROUND('Front Page'!F368,4)</f>
        <v>88.667000000000002</v>
      </c>
      <c r="F367">
        <f t="shared" si="24"/>
        <v>60439.860550000005</v>
      </c>
      <c r="G367">
        <f>IF((D367*(E367/100)*Sheet2!$B$4)&gt;1000,(D367*(E367/100)*Sheet2!$B$4),1000)</f>
        <v>11462.083865863162</v>
      </c>
      <c r="M367">
        <f>IF(G367=1000,1000,(F367*Sheet2!$B$8))</f>
        <v>11443.436782703593</v>
      </c>
      <c r="N367">
        <f t="shared" si="25"/>
        <v>11443.436782703593</v>
      </c>
      <c r="O367">
        <f t="shared" si="26"/>
        <v>11443.436782703593</v>
      </c>
      <c r="P367">
        <f t="shared" si="27"/>
        <v>11458</v>
      </c>
    </row>
    <row r="368" spans="1:16" x14ac:dyDescent="0.25">
      <c r="A368">
        <f>'Front Page'!A369</f>
        <v>367</v>
      </c>
      <c r="B368" t="str">
        <f>'Front Page'!B369</f>
        <v xml:space="preserve">20.c.ps.180.161 </v>
      </c>
      <c r="C368" t="str">
        <f>'Front Page'!C369</f>
        <v xml:space="preserve">Theatreworks, Inc. </v>
      </c>
      <c r="D368">
        <f>'Front Page'!E369</f>
        <v>45000</v>
      </c>
      <c r="E368" s="3">
        <f>ROUND('Front Page'!F369,4)</f>
        <v>88.667000000000002</v>
      </c>
      <c r="F368">
        <f t="shared" si="24"/>
        <v>39900.15</v>
      </c>
      <c r="G368">
        <f>IF((D368*(E368/100)*Sheet2!$B$4)&gt;1000,(D368*(E368/100)*Sheet2!$B$4),1000)</f>
        <v>7566.8418391233372</v>
      </c>
      <c r="M368">
        <f>IF(G368=1000,1000,(F368*Sheet2!$B$8))</f>
        <v>7554.5317277438817</v>
      </c>
      <c r="N368">
        <f t="shared" si="25"/>
        <v>7554.5317277438817</v>
      </c>
      <c r="O368">
        <f t="shared" si="26"/>
        <v>7554.5317277438817</v>
      </c>
      <c r="P368">
        <f t="shared" si="27"/>
        <v>7569</v>
      </c>
    </row>
    <row r="369" spans="1:16" x14ac:dyDescent="0.25">
      <c r="A369">
        <f>'Front Page'!A370</f>
        <v>368</v>
      </c>
      <c r="B369" t="str">
        <f>'Front Page'!B370</f>
        <v xml:space="preserve">20.c.ps.102.405 </v>
      </c>
      <c r="C369" t="str">
        <f>'Front Page'!C370</f>
        <v xml:space="preserve">THE CHAMBER MUSIC SOCIETY OF PALM BEACH INC </v>
      </c>
      <c r="D369">
        <f>'Front Page'!E370</f>
        <v>25000</v>
      </c>
      <c r="E369" s="3">
        <f>ROUND('Front Page'!F370,4)</f>
        <v>88.570999999999998</v>
      </c>
      <c r="F369">
        <f t="shared" si="24"/>
        <v>22142.75</v>
      </c>
      <c r="G369">
        <f>IF((D369*(E369/100)*Sheet2!$B$4)&gt;1000,(D369*(E369/100)*Sheet2!$B$4),1000)</f>
        <v>4199.2495550329577</v>
      </c>
      <c r="M369">
        <f>IF(G369=1000,1000,(F369*Sheet2!$B$8))</f>
        <v>4192.4180088170306</v>
      </c>
      <c r="N369">
        <f t="shared" si="25"/>
        <v>4192.4180088170306</v>
      </c>
      <c r="O369">
        <f t="shared" si="26"/>
        <v>4192.4180088170306</v>
      </c>
      <c r="P369">
        <f t="shared" si="27"/>
        <v>4207</v>
      </c>
    </row>
    <row r="370" spans="1:16" x14ac:dyDescent="0.25">
      <c r="A370">
        <f>'Front Page'!A371</f>
        <v>369</v>
      </c>
      <c r="B370" t="str">
        <f>'Front Page'!B371</f>
        <v xml:space="preserve">20.c.ps.114.090 </v>
      </c>
      <c r="C370" t="str">
        <f>'Front Page'!C371</f>
        <v xml:space="preserve">Art League of Marco Island, Inc.  </v>
      </c>
      <c r="D370">
        <f>'Front Page'!E371</f>
        <v>89000</v>
      </c>
      <c r="E370" s="3">
        <f>ROUND('Front Page'!F371,4)</f>
        <v>88.570999999999998</v>
      </c>
      <c r="F370">
        <f t="shared" si="24"/>
        <v>78828.19</v>
      </c>
      <c r="G370">
        <f>IF((D370*(E370/100)*Sheet2!$B$4)&gt;1000,(D370*(E370/100)*Sheet2!$B$4),1000)</f>
        <v>14949.328415917329</v>
      </c>
      <c r="M370">
        <f>IF(G370=1000,1000,(F370*Sheet2!$B$8))</f>
        <v>14925.008111388628</v>
      </c>
      <c r="N370">
        <f t="shared" si="25"/>
        <v>14925.008111388628</v>
      </c>
      <c r="O370">
        <f t="shared" si="26"/>
        <v>14925.008111388628</v>
      </c>
      <c r="P370">
        <f t="shared" si="27"/>
        <v>14940</v>
      </c>
    </row>
    <row r="371" spans="1:16" x14ac:dyDescent="0.25">
      <c r="A371">
        <f>'Front Page'!A372</f>
        <v>370</v>
      </c>
      <c r="B371" t="str">
        <f>'Front Page'!B372</f>
        <v xml:space="preserve">20.c.ps.101.556 </v>
      </c>
      <c r="C371" t="str">
        <f>'Front Page'!C372</f>
        <v xml:space="preserve">Central Florida Ballet. Inc. </v>
      </c>
      <c r="D371">
        <f>'Front Page'!E372</f>
        <v>90000</v>
      </c>
      <c r="E371" s="3">
        <f>ROUND('Front Page'!F372,4)</f>
        <v>88.570999999999998</v>
      </c>
      <c r="F371">
        <f t="shared" si="24"/>
        <v>79713.899999999994</v>
      </c>
      <c r="G371">
        <f>IF((D371*(E371/100)*Sheet2!$B$4)&gt;1000,(D371*(E371/100)*Sheet2!$B$4),1000)</f>
        <v>15117.298398118646</v>
      </c>
      <c r="M371">
        <f>IF(G371=1000,1000,(F371*Sheet2!$B$8))</f>
        <v>15092.704831741308</v>
      </c>
      <c r="N371">
        <f t="shared" si="25"/>
        <v>15092.704831741308</v>
      </c>
      <c r="O371">
        <f t="shared" si="26"/>
        <v>15092.704831741308</v>
      </c>
      <c r="P371">
        <f t="shared" si="27"/>
        <v>15108</v>
      </c>
    </row>
    <row r="372" spans="1:16" x14ac:dyDescent="0.25">
      <c r="A372">
        <f>'Front Page'!A373</f>
        <v>371</v>
      </c>
      <c r="B372" t="str">
        <f>'Front Page'!B373</f>
        <v xml:space="preserve">20.c.ps.105.179 </v>
      </c>
      <c r="C372" t="str">
        <f>'Front Page'!C373</f>
        <v xml:space="preserve">Florida Gulf Coast University Board of Trustees </v>
      </c>
      <c r="D372">
        <f>'Front Page'!E373</f>
        <v>25000</v>
      </c>
      <c r="E372" s="3">
        <f>ROUND('Front Page'!F373,4)</f>
        <v>88.5</v>
      </c>
      <c r="F372">
        <f t="shared" si="24"/>
        <v>22125</v>
      </c>
      <c r="G372">
        <f>IF((D372*(E372/100)*Sheet2!$B$4)&gt;1000,(D372*(E372/100)*Sheet2!$B$4),1000)</f>
        <v>4195.8833661177669</v>
      </c>
      <c r="M372">
        <f>IF(G372=1000,1000,(F372*Sheet2!$B$8))</f>
        <v>4189.0572961839334</v>
      </c>
      <c r="N372">
        <f t="shared" si="25"/>
        <v>4189.0572961839334</v>
      </c>
      <c r="O372">
        <f t="shared" si="26"/>
        <v>4189.0572961839334</v>
      </c>
      <c r="P372">
        <f t="shared" si="27"/>
        <v>4204</v>
      </c>
    </row>
    <row r="373" spans="1:16" x14ac:dyDescent="0.25">
      <c r="A373">
        <f>'Front Page'!A374</f>
        <v>372</v>
      </c>
      <c r="B373" t="str">
        <f>'Front Page'!B374</f>
        <v xml:space="preserve">20.c.ps.170.336 </v>
      </c>
      <c r="C373" t="str">
        <f>'Front Page'!C374</f>
        <v xml:space="preserve">Boca Raton Historical Society, Inc. </v>
      </c>
      <c r="D373">
        <f>'Front Page'!E374</f>
        <v>89000</v>
      </c>
      <c r="E373" s="3">
        <f>ROUND('Front Page'!F374,4)</f>
        <v>88.429000000000002</v>
      </c>
      <c r="F373">
        <f t="shared" si="24"/>
        <v>78701.81</v>
      </c>
      <c r="G373">
        <f>IF((D373*(E373/100)*Sheet2!$B$4)&gt;1000,(D373*(E373/100)*Sheet2!$B$4),1000)</f>
        <v>14925.361150841172</v>
      </c>
      <c r="M373">
        <f>IF(G373=1000,1000,(F373*Sheet2!$B$8))</f>
        <v>14901.079837440979</v>
      </c>
      <c r="N373">
        <f t="shared" si="25"/>
        <v>14901.079837440979</v>
      </c>
      <c r="O373">
        <f t="shared" si="26"/>
        <v>14901.079837440979</v>
      </c>
      <c r="P373">
        <f t="shared" si="27"/>
        <v>14916</v>
      </c>
    </row>
    <row r="374" spans="1:16" x14ac:dyDescent="0.25">
      <c r="A374">
        <f>'Front Page'!A375</f>
        <v>373</v>
      </c>
      <c r="B374" t="str">
        <f>'Front Page'!B375</f>
        <v xml:space="preserve">20.c.ps.170.412 </v>
      </c>
      <c r="C374" t="str">
        <f>'Front Page'!C375</f>
        <v xml:space="preserve">Osceola County Historical Society </v>
      </c>
      <c r="D374">
        <f>'Front Page'!E375</f>
        <v>90000</v>
      </c>
      <c r="E374" s="3">
        <f>ROUND('Front Page'!F375,4)</f>
        <v>88.429000000000002</v>
      </c>
      <c r="F374">
        <f t="shared" si="24"/>
        <v>79586.100000000006</v>
      </c>
      <c r="G374">
        <f>IF((D374*(E374/100)*Sheet2!$B$4)&gt;1000,(D374*(E374/100)*Sheet2!$B$4),1000)</f>
        <v>15093.061837929275</v>
      </c>
      <c r="M374">
        <f>IF(G374=1000,1000,(F374*Sheet2!$B$8))</f>
        <v>15068.507700783013</v>
      </c>
      <c r="N374">
        <f t="shared" si="25"/>
        <v>15068.507700783013</v>
      </c>
      <c r="O374">
        <f t="shared" si="26"/>
        <v>15068.507700783013</v>
      </c>
      <c r="P374">
        <f t="shared" si="27"/>
        <v>15083</v>
      </c>
    </row>
    <row r="375" spans="1:16" x14ac:dyDescent="0.25">
      <c r="A375">
        <f>'Front Page'!A376</f>
        <v>374</v>
      </c>
      <c r="B375" t="str">
        <f>'Front Page'!B376</f>
        <v xml:space="preserve">20.c.ps.180.569 </v>
      </c>
      <c r="C375" t="str">
        <f>'Front Page'!C376</f>
        <v xml:space="preserve">City of Fort Pierce </v>
      </c>
      <c r="D375">
        <f>'Front Page'!E376</f>
        <v>150000</v>
      </c>
      <c r="E375" s="3">
        <f>ROUND('Front Page'!F376,4)</f>
        <v>88.429000000000002</v>
      </c>
      <c r="F375">
        <f t="shared" si="24"/>
        <v>132643.5</v>
      </c>
      <c r="G375">
        <f>IF((D375*(E375/100)*Sheet2!$B$4)&gt;1000,(D375*(E375/100)*Sheet2!$B$4),1000)</f>
        <v>25155.103063215458</v>
      </c>
      <c r="M375">
        <f>IF(G375=1000,1000,(F375*Sheet2!$B$8))</f>
        <v>25114.179501305021</v>
      </c>
      <c r="N375">
        <f t="shared" si="25"/>
        <v>25114.179501305021</v>
      </c>
      <c r="O375">
        <f t="shared" si="26"/>
        <v>25114.179501305021</v>
      </c>
      <c r="P375">
        <f t="shared" si="27"/>
        <v>25129</v>
      </c>
    </row>
    <row r="376" spans="1:16" x14ac:dyDescent="0.25">
      <c r="A376">
        <f>'Front Page'!A377</f>
        <v>375</v>
      </c>
      <c r="B376" t="str">
        <f>'Front Page'!B377</f>
        <v xml:space="preserve">20.c.ps.170.581 </v>
      </c>
      <c r="C376" t="str">
        <f>'Front Page'!C377</f>
        <v xml:space="preserve">Key West Art and Historical Society, Inc. </v>
      </c>
      <c r="D376">
        <f>'Front Page'!E377</f>
        <v>150000</v>
      </c>
      <c r="E376" s="3">
        <f>ROUND('Front Page'!F377,4)</f>
        <v>88.429000000000002</v>
      </c>
      <c r="F376">
        <f t="shared" si="24"/>
        <v>132643.5</v>
      </c>
      <c r="G376">
        <f>IF((D376*(E376/100)*Sheet2!$B$4)&gt;1000,(D376*(E376/100)*Sheet2!$B$4),1000)</f>
        <v>25155.103063215458</v>
      </c>
      <c r="M376">
        <f>IF(G376=1000,1000,(F376*Sheet2!$B$8))</f>
        <v>25114.179501305021</v>
      </c>
      <c r="N376">
        <f t="shared" si="25"/>
        <v>25114.179501305021</v>
      </c>
      <c r="O376">
        <f t="shared" si="26"/>
        <v>25114.179501305021</v>
      </c>
      <c r="P376">
        <f t="shared" si="27"/>
        <v>25129</v>
      </c>
    </row>
    <row r="377" spans="1:16" x14ac:dyDescent="0.25">
      <c r="A377">
        <f>'Front Page'!A378</f>
        <v>376</v>
      </c>
      <c r="B377" t="str">
        <f>'Front Page'!B378</f>
        <v xml:space="preserve">20.c.ps.102.444 </v>
      </c>
      <c r="C377" t="str">
        <f>'Front Page'!C378</f>
        <v xml:space="preserve">The Opera Atelier, Inc </v>
      </c>
      <c r="D377">
        <f>'Front Page'!E378</f>
        <v>16969</v>
      </c>
      <c r="E377" s="3">
        <f>ROUND('Front Page'!F378,4)</f>
        <v>88.4</v>
      </c>
      <c r="F377">
        <f t="shared" si="24"/>
        <v>15000.596</v>
      </c>
      <c r="G377">
        <f>IF((D377*(E377/100)*Sheet2!$B$4)&gt;1000,(D377*(E377/100)*Sheet2!$B$4),1000)</f>
        <v>2844.7797169831733</v>
      </c>
      <c r="M377">
        <f>IF(G377=1000,1000,(F377*Sheet2!$B$8))</f>
        <v>2840.151689080566</v>
      </c>
      <c r="N377">
        <f t="shared" si="25"/>
        <v>2840.151689080566</v>
      </c>
      <c r="O377">
        <f t="shared" si="26"/>
        <v>2840.151689080566</v>
      </c>
      <c r="P377">
        <f t="shared" si="27"/>
        <v>2855</v>
      </c>
    </row>
    <row r="378" spans="1:16" x14ac:dyDescent="0.25">
      <c r="A378">
        <f>'Front Page'!A379</f>
        <v>377</v>
      </c>
      <c r="B378" t="str">
        <f>'Front Page'!B379</f>
        <v xml:space="preserve">20.c.ps.102.433 </v>
      </c>
      <c r="C378" t="str">
        <f>'Front Page'!C379</f>
        <v xml:space="preserve">Annasemble Community Orchestra of Gainesville Inc </v>
      </c>
      <c r="D378">
        <f>'Front Page'!E379</f>
        <v>1445</v>
      </c>
      <c r="E378" s="3">
        <f>ROUND('Front Page'!F379,4)</f>
        <v>88.4</v>
      </c>
      <c r="F378">
        <f t="shared" si="24"/>
        <v>1277.3800000000001</v>
      </c>
      <c r="G378">
        <f>IF((D378*(E378/100)*Sheet2!$B$4)&gt;1000,(D378*(E378/100)*Sheet2!$B$4),1000)</f>
        <v>1000</v>
      </c>
      <c r="M378">
        <f>IF(G378=1000,1000,(F378*Sheet2!$B$8))</f>
        <v>1000</v>
      </c>
      <c r="N378">
        <f t="shared" si="25"/>
        <v>1000</v>
      </c>
      <c r="O378">
        <f t="shared" si="26"/>
        <v>1000</v>
      </c>
      <c r="P378">
        <f t="shared" si="27"/>
        <v>1000</v>
      </c>
    </row>
    <row r="379" spans="1:16" x14ac:dyDescent="0.25">
      <c r="A379">
        <f>'Front Page'!A380</f>
        <v>378</v>
      </c>
      <c r="B379" t="str">
        <f>'Front Page'!B380</f>
        <v xml:space="preserve">20.c.ps.170.087 </v>
      </c>
      <c r="C379" t="str">
        <f>'Front Page'!C380</f>
        <v xml:space="preserve">West Volusia Historical Society, Inc. </v>
      </c>
      <c r="D379">
        <f>'Front Page'!E380</f>
        <v>15158</v>
      </c>
      <c r="E379" s="3">
        <f>ROUND('Front Page'!F380,4)</f>
        <v>88.332999999999998</v>
      </c>
      <c r="F379">
        <f t="shared" si="24"/>
        <v>13389.51614</v>
      </c>
      <c r="G379">
        <f>IF((D379*(E379/100)*Sheet2!$B$4)&gt;1000,(D379*(E379/100)*Sheet2!$B$4),1000)</f>
        <v>2539.2473695905705</v>
      </c>
      <c r="M379">
        <f>IF(G379=1000,1000,(F379*Sheet2!$B$8))</f>
        <v>2535.1163967746684</v>
      </c>
      <c r="N379">
        <f t="shared" si="25"/>
        <v>2535.1163967746684</v>
      </c>
      <c r="O379">
        <f t="shared" si="26"/>
        <v>2535.1163967746684</v>
      </c>
      <c r="P379">
        <f t="shared" si="27"/>
        <v>2550</v>
      </c>
    </row>
    <row r="380" spans="1:16" x14ac:dyDescent="0.25">
      <c r="A380">
        <f>'Front Page'!A381</f>
        <v>379</v>
      </c>
      <c r="B380" t="str">
        <f>'Front Page'!B381</f>
        <v xml:space="preserve">20.c.ps.101.193 </v>
      </c>
      <c r="C380" t="str">
        <f>'Front Page'!C381</f>
        <v xml:space="preserve">Jacksonville Dance Theatre  </v>
      </c>
      <c r="D380">
        <f>'Front Page'!E381</f>
        <v>9995</v>
      </c>
      <c r="E380" s="3">
        <f>ROUND('Front Page'!F381,4)</f>
        <v>88.286000000000001</v>
      </c>
      <c r="F380">
        <f t="shared" si="24"/>
        <v>8824.1857</v>
      </c>
      <c r="G380">
        <f>IF((D380*(E380/100)*Sheet2!$B$4)&gt;1000,(D380*(E380/100)*Sheet2!$B$4),1000)</f>
        <v>1673.4578078266334</v>
      </c>
      <c r="M380">
        <f>IF(G380=1000,1000,(F380*Sheet2!$B$8))</f>
        <v>1670.7353441566975</v>
      </c>
      <c r="N380">
        <f t="shared" si="25"/>
        <v>1670.7353441566975</v>
      </c>
      <c r="O380">
        <f t="shared" si="26"/>
        <v>1670.7353441566975</v>
      </c>
      <c r="P380">
        <f t="shared" si="27"/>
        <v>1686</v>
      </c>
    </row>
    <row r="381" spans="1:16" x14ac:dyDescent="0.25">
      <c r="A381">
        <f>'Front Page'!A382</f>
        <v>380</v>
      </c>
      <c r="B381" t="str">
        <f>'Front Page'!B382</f>
        <v xml:space="preserve">20.c.ps.101.074 </v>
      </c>
      <c r="C381" t="str">
        <f>'Front Page'!C382</f>
        <v xml:space="preserve">Peter London Global Dance Company, Inc. </v>
      </c>
      <c r="D381">
        <f>'Front Page'!E382</f>
        <v>23000</v>
      </c>
      <c r="E381" s="3">
        <f>ROUND('Front Page'!F382,4)</f>
        <v>88.286000000000001</v>
      </c>
      <c r="F381">
        <f t="shared" si="24"/>
        <v>20305.78</v>
      </c>
      <c r="G381">
        <f>IF((D381*(E381/100)*Sheet2!$B$4)&gt;1000,(D381*(E381/100)*Sheet2!$B$4),1000)</f>
        <v>3850.8783971998564</v>
      </c>
      <c r="M381">
        <f>IF(G381=1000,1000,(F381*Sheet2!$B$8))</f>
        <v>3844.6135983595836</v>
      </c>
      <c r="N381">
        <f t="shared" si="25"/>
        <v>3844.6135983595836</v>
      </c>
      <c r="O381">
        <f t="shared" si="26"/>
        <v>3844.6135983595836</v>
      </c>
      <c r="P381">
        <f t="shared" si="27"/>
        <v>3860</v>
      </c>
    </row>
    <row r="382" spans="1:16" x14ac:dyDescent="0.25">
      <c r="A382">
        <f>'Front Page'!A383</f>
        <v>381</v>
      </c>
      <c r="B382" t="str">
        <f>'Front Page'!B383</f>
        <v xml:space="preserve">20.c.ps.170.348 </v>
      </c>
      <c r="C382" t="str">
        <f>'Front Page'!C383</f>
        <v xml:space="preserve">The Tampa Bay History Center, Inc. </v>
      </c>
      <c r="D382">
        <f>'Front Page'!E383</f>
        <v>150000</v>
      </c>
      <c r="E382" s="3">
        <f>ROUND('Front Page'!F383,4)</f>
        <v>88.286000000000001</v>
      </c>
      <c r="F382">
        <f t="shared" si="24"/>
        <v>132429</v>
      </c>
      <c r="G382">
        <f>IF((D382*(E382/100)*Sheet2!$B$4)&gt;1000,(D382*(E382/100)*Sheet2!$B$4),1000)</f>
        <v>25114.424329564285</v>
      </c>
      <c r="M382">
        <f>IF(G382=1000,1000,(F382*Sheet2!$B$8))</f>
        <v>25073.566945823375</v>
      </c>
      <c r="N382">
        <f t="shared" si="25"/>
        <v>25073.566945823375</v>
      </c>
      <c r="O382">
        <f t="shared" si="26"/>
        <v>25073.566945823375</v>
      </c>
      <c r="P382">
        <f t="shared" si="27"/>
        <v>25089</v>
      </c>
    </row>
    <row r="383" spans="1:16" x14ac:dyDescent="0.25">
      <c r="A383">
        <f>'Front Page'!A384</f>
        <v>382</v>
      </c>
      <c r="B383" t="str">
        <f>'Front Page'!B384</f>
        <v xml:space="preserve">20.c.ps.102.140 </v>
      </c>
      <c r="C383" t="str">
        <f>'Front Page'!C384</f>
        <v xml:space="preserve">Patrons of Exceptional Artists, Inc. </v>
      </c>
      <c r="D383">
        <f>'Front Page'!E384</f>
        <v>40000</v>
      </c>
      <c r="E383" s="3">
        <f>ROUND('Front Page'!F384,4)</f>
        <v>88.2</v>
      </c>
      <c r="F383">
        <f t="shared" si="24"/>
        <v>35280</v>
      </c>
      <c r="G383">
        <f>IF((D383*(E383/100)*Sheet2!$B$4)&gt;1000,(D383*(E383/100)*Sheet2!$B$4),1000)</f>
        <v>6690.6560522772797</v>
      </c>
      <c r="M383">
        <f>IF(G383=1000,1000,(F383*Sheet2!$B$8))</f>
        <v>6679.7713631353299</v>
      </c>
      <c r="N383">
        <f t="shared" si="25"/>
        <v>6679.7713631353299</v>
      </c>
      <c r="O383">
        <f t="shared" si="26"/>
        <v>6679.7713631353299</v>
      </c>
      <c r="P383">
        <f t="shared" si="27"/>
        <v>6695</v>
      </c>
    </row>
    <row r="384" spans="1:16" x14ac:dyDescent="0.25">
      <c r="A384">
        <f>'Front Page'!A385</f>
        <v>383</v>
      </c>
      <c r="B384" t="str">
        <f>'Front Page'!B385</f>
        <v xml:space="preserve">20.c.ps.200.017 </v>
      </c>
      <c r="C384" t="str">
        <f>'Front Page'!C385</f>
        <v xml:space="preserve">Caladium Arts &amp; Crafts Cooperative, Inc. </v>
      </c>
      <c r="D384">
        <f>'Front Page'!E385</f>
        <v>25000</v>
      </c>
      <c r="E384" s="3">
        <f>ROUND('Front Page'!F385,4)</f>
        <v>88.167000000000002</v>
      </c>
      <c r="F384">
        <f t="shared" si="24"/>
        <v>22041.75</v>
      </c>
      <c r="G384">
        <f>IF((D384*(E384/100)*Sheet2!$B$4)&gt;1000,(D384*(E384/100)*Sheet2!$B$4),1000)</f>
        <v>4180.0954659944082</v>
      </c>
      <c r="M384">
        <f>IF(G384=1000,1000,(F384*Sheet2!$B$8))</f>
        <v>4173.2950805949022</v>
      </c>
      <c r="N384">
        <f t="shared" si="25"/>
        <v>4173.2950805949022</v>
      </c>
      <c r="O384">
        <f t="shared" si="26"/>
        <v>4173.2950805949022</v>
      </c>
      <c r="P384">
        <f t="shared" si="27"/>
        <v>4188</v>
      </c>
    </row>
    <row r="385" spans="1:16" x14ac:dyDescent="0.25">
      <c r="A385">
        <f>'Front Page'!A386</f>
        <v>384</v>
      </c>
      <c r="B385" t="str">
        <f>'Front Page'!B386</f>
        <v xml:space="preserve">20.c.ps.102.117 </v>
      </c>
      <c r="C385" t="str">
        <f>'Front Page'!C386</f>
        <v xml:space="preserve">American Children's Orchestras for Peace, Inc. </v>
      </c>
      <c r="D385">
        <f>'Front Page'!E386</f>
        <v>55000</v>
      </c>
      <c r="E385" s="3">
        <f>ROUND('Front Page'!F386,4)</f>
        <v>88.143000000000001</v>
      </c>
      <c r="F385">
        <f t="shared" si="24"/>
        <v>48478.65</v>
      </c>
      <c r="G385">
        <f>IF((D385*(E385/100)*Sheet2!$B$4)&gt;1000,(D385*(E385/100)*Sheet2!$B$4),1000)</f>
        <v>9193.706718501473</v>
      </c>
      <c r="M385">
        <f>IF(G385=1000,1000,(F385*Sheet2!$B$8))</f>
        <v>9178.7499431253</v>
      </c>
      <c r="N385">
        <f t="shared" si="25"/>
        <v>9178.7499431253</v>
      </c>
      <c r="O385">
        <f t="shared" si="26"/>
        <v>9178.7499431253</v>
      </c>
      <c r="P385">
        <f t="shared" si="27"/>
        <v>9194</v>
      </c>
    </row>
    <row r="386" spans="1:16" x14ac:dyDescent="0.25">
      <c r="A386">
        <f>'Front Page'!A387</f>
        <v>385</v>
      </c>
      <c r="B386" t="str">
        <f>'Front Page'!B387</f>
        <v xml:space="preserve">20.c.ps.105.403 </v>
      </c>
      <c r="C386" t="str">
        <f>'Front Page'!C387</f>
        <v xml:space="preserve">Artel, Inc. </v>
      </c>
      <c r="D386">
        <f>'Front Page'!E387</f>
        <v>11500</v>
      </c>
      <c r="E386" s="3">
        <f>ROUND('Front Page'!F387,4)</f>
        <v>88</v>
      </c>
      <c r="F386">
        <f t="shared" si="24"/>
        <v>10120</v>
      </c>
      <c r="G386">
        <f>IF((D386*(E386/100)*Sheet2!$B$4)&gt;1000,(D386*(E386/100)*Sheet2!$B$4),1000)</f>
        <v>1919.2017927734148</v>
      </c>
      <c r="M386">
        <f>IF(G386=1000,1000,(F386*Sheet2!$B$8))</f>
        <v>1916.0795406726061</v>
      </c>
      <c r="N386">
        <f t="shared" si="25"/>
        <v>1916.0795406726061</v>
      </c>
      <c r="O386">
        <f t="shared" si="26"/>
        <v>1916.0795406726061</v>
      </c>
      <c r="P386">
        <f t="shared" si="27"/>
        <v>1931</v>
      </c>
    </row>
    <row r="387" spans="1:16" x14ac:dyDescent="0.25">
      <c r="A387">
        <f>'Front Page'!A388</f>
        <v>386</v>
      </c>
      <c r="B387" t="str">
        <f>'Front Page'!B388</f>
        <v xml:space="preserve">20.c.ps.114.492 </v>
      </c>
      <c r="C387" t="str">
        <f>'Front Page'!C388</f>
        <v xml:space="preserve">Grace Arts Center, Inc. </v>
      </c>
      <c r="D387">
        <f>'Front Page'!E388</f>
        <v>38025</v>
      </c>
      <c r="E387" s="3">
        <f>ROUND('Front Page'!F388,4)</f>
        <v>87.856999999999999</v>
      </c>
      <c r="F387">
        <f t="shared" si="24"/>
        <v>33407.624250000001</v>
      </c>
      <c r="G387">
        <f>IF((D387*(E387/100)*Sheet2!$B$4)&gt;1000,(D387*(E387/100)*Sheet2!$B$4),1000)</f>
        <v>6335.5703906028266</v>
      </c>
      <c r="M387">
        <f>IF(G387=1000,1000,(F387*Sheet2!$B$8))</f>
        <v>6325.2633723224326</v>
      </c>
      <c r="N387">
        <f t="shared" si="25"/>
        <v>6325.2633723224326</v>
      </c>
      <c r="O387">
        <f t="shared" si="26"/>
        <v>6325.2633723224326</v>
      </c>
      <c r="P387">
        <f t="shared" si="27"/>
        <v>6340</v>
      </c>
    </row>
    <row r="388" spans="1:16" x14ac:dyDescent="0.25">
      <c r="A388">
        <f>'Front Page'!A389</f>
        <v>387</v>
      </c>
      <c r="B388" t="str">
        <f>'Front Page'!B389</f>
        <v xml:space="preserve">20.c.ps.170.575 </v>
      </c>
      <c r="C388" t="str">
        <f>'Front Page'!C389</f>
        <v xml:space="preserve">Maitland Art and History Association, Inc. </v>
      </c>
      <c r="D388">
        <f>'Front Page'!E389</f>
        <v>90407</v>
      </c>
      <c r="E388" s="3">
        <f>ROUND('Front Page'!F389,4)</f>
        <v>87.832999999999998</v>
      </c>
      <c r="F388">
        <f t="shared" si="24"/>
        <v>79407.180309999996</v>
      </c>
      <c r="G388">
        <f>IF((D388*(E388/100)*Sheet2!$B$4)&gt;1000,(D388*(E388/100)*Sheet2!$B$4),1000)</f>
        <v>15059.130712453933</v>
      </c>
      <c r="M388">
        <f>IF(G388=1000,1000,(F388*Sheet2!$B$8))</f>
        <v>15034.631776135533</v>
      </c>
      <c r="N388">
        <f t="shared" si="25"/>
        <v>15034.631776135533</v>
      </c>
      <c r="O388">
        <f t="shared" si="26"/>
        <v>15034.631776135533</v>
      </c>
      <c r="P388">
        <f t="shared" si="27"/>
        <v>15050</v>
      </c>
    </row>
    <row r="389" spans="1:16" x14ac:dyDescent="0.25">
      <c r="A389">
        <f>'Front Page'!A390</f>
        <v>388</v>
      </c>
      <c r="B389" t="str">
        <f>'Front Page'!B390</f>
        <v xml:space="preserve">20.c.ps.102.191 </v>
      </c>
      <c r="C389" t="str">
        <f>'Front Page'!C390</f>
        <v xml:space="preserve">First Coast Opera, Inc. </v>
      </c>
      <c r="D389">
        <f>'Front Page'!E390</f>
        <v>26600</v>
      </c>
      <c r="E389" s="3">
        <f>ROUND('Front Page'!F390,4)</f>
        <v>87.8</v>
      </c>
      <c r="F389">
        <f t="shared" si="24"/>
        <v>23354.799999999999</v>
      </c>
      <c r="G389">
        <f>IF((D389*(E389/100)*Sheet2!$B$4)&gt;1000,(D389*(E389/100)*Sheet2!$B$4),1000)</f>
        <v>4429.1081057178408</v>
      </c>
      <c r="M389">
        <f>IF(G389=1000,1000,(F389*Sheet2!$B$8))</f>
        <v>4421.9026142787134</v>
      </c>
      <c r="N389">
        <f t="shared" si="25"/>
        <v>4421.9026142787134</v>
      </c>
      <c r="O389">
        <f t="shared" si="26"/>
        <v>4421.9026142787134</v>
      </c>
      <c r="P389">
        <f t="shared" si="27"/>
        <v>4437</v>
      </c>
    </row>
    <row r="390" spans="1:16" x14ac:dyDescent="0.25">
      <c r="A390">
        <f>'Front Page'!A391</f>
        <v>389</v>
      </c>
      <c r="B390" t="str">
        <f>'Front Page'!B391</f>
        <v xml:space="preserve">20.c.ps.170.677 </v>
      </c>
      <c r="C390" t="str">
        <f>'Front Page'!C391</f>
        <v xml:space="preserve">Golisano Children's Museum of Naples </v>
      </c>
      <c r="D390">
        <f>'Front Page'!E391</f>
        <v>150000</v>
      </c>
      <c r="E390" s="3">
        <f>ROUND('Front Page'!F391,4)</f>
        <v>87.713999999999999</v>
      </c>
      <c r="F390">
        <f t="shared" si="24"/>
        <v>131571</v>
      </c>
      <c r="G390">
        <f>IF((D390*(E390/100)*Sheet2!$B$4)&gt;1000,(D390*(E390/100)*Sheet2!$B$4),1000)</f>
        <v>24951.70939495958</v>
      </c>
      <c r="M390">
        <f>IF(G390=1000,1000,(F390*Sheet2!$B$8))</f>
        <v>24911.116723896783</v>
      </c>
      <c r="N390">
        <f t="shared" si="25"/>
        <v>24911.116723896783</v>
      </c>
      <c r="O390">
        <f t="shared" si="26"/>
        <v>24911.116723896783</v>
      </c>
      <c r="P390">
        <f t="shared" si="27"/>
        <v>24926</v>
      </c>
    </row>
    <row r="391" spans="1:16" x14ac:dyDescent="0.25">
      <c r="A391">
        <f>'Front Page'!A392</f>
        <v>390</v>
      </c>
      <c r="B391" t="str">
        <f>'Front Page'!B392</f>
        <v xml:space="preserve">20.c.ps.114.082 </v>
      </c>
      <c r="C391" t="str">
        <f>'Front Page'!C392</f>
        <v xml:space="preserve">Blue Planet International Explorers' Bazaar &amp; Writers' Room, Inc. </v>
      </c>
      <c r="D391">
        <f>'Front Page'!E392</f>
        <v>25000</v>
      </c>
      <c r="E391" s="3">
        <f>ROUND('Front Page'!F392,4)</f>
        <v>87.713999999999999</v>
      </c>
      <c r="F391">
        <f t="shared" si="24"/>
        <v>21928.5</v>
      </c>
      <c r="G391">
        <f>IF((D391*(E391/100)*Sheet2!$B$4)&gt;1000,(D391*(E391/100)*Sheet2!$B$4),1000)</f>
        <v>4158.6182324932633</v>
      </c>
      <c r="M391">
        <f>IF(G391=1000,1000,(F391*Sheet2!$B$8))</f>
        <v>4151.8527873161302</v>
      </c>
      <c r="N391">
        <f t="shared" si="25"/>
        <v>4151.8527873161302</v>
      </c>
      <c r="O391">
        <f t="shared" si="26"/>
        <v>4151.8527873161302</v>
      </c>
      <c r="P391">
        <f t="shared" si="27"/>
        <v>4167</v>
      </c>
    </row>
    <row r="392" spans="1:16" x14ac:dyDescent="0.25">
      <c r="A392">
        <f>'Front Page'!A393</f>
        <v>391</v>
      </c>
      <c r="B392" t="str">
        <f>'Front Page'!B393</f>
        <v xml:space="preserve">20.c.ps.141.192 </v>
      </c>
      <c r="C392" t="str">
        <f>'Front Page'!C393</f>
        <v xml:space="preserve">Gainesville Little Theater dba Gainesville Community Playhouse </v>
      </c>
      <c r="D392">
        <f>'Front Page'!E393</f>
        <v>40000</v>
      </c>
      <c r="E392" s="3">
        <f>ROUND('Front Page'!F393,4)</f>
        <v>87.713999999999999</v>
      </c>
      <c r="F392">
        <f t="shared" si="24"/>
        <v>35085.599999999999</v>
      </c>
      <c r="G392">
        <f>IF((D392*(E392/100)*Sheet2!$B$4)&gt;1000,(D392*(E392/100)*Sheet2!$B$4),1000)</f>
        <v>6653.7891719892214</v>
      </c>
      <c r="M392">
        <f>IF(G392=1000,1000,(F392*Sheet2!$B$8))</f>
        <v>6642.9644597058086</v>
      </c>
      <c r="N392">
        <f t="shared" si="25"/>
        <v>6642.9644597058086</v>
      </c>
      <c r="O392">
        <f t="shared" si="26"/>
        <v>6642.9644597058086</v>
      </c>
      <c r="P392">
        <f t="shared" si="27"/>
        <v>6658</v>
      </c>
    </row>
    <row r="393" spans="1:16" x14ac:dyDescent="0.25">
      <c r="A393">
        <f>'Front Page'!A394</f>
        <v>392</v>
      </c>
      <c r="B393" t="str">
        <f>'Front Page'!B394</f>
        <v xml:space="preserve">20.c.ps.170.211 </v>
      </c>
      <c r="C393" t="str">
        <f>'Front Page'!C394</f>
        <v xml:space="preserve">The Florida International University Board of Trustees </v>
      </c>
      <c r="D393">
        <f>'Front Page'!E394</f>
        <v>150000</v>
      </c>
      <c r="E393" s="3">
        <f>ROUND('Front Page'!F394,4)</f>
        <v>87.667000000000002</v>
      </c>
      <c r="F393">
        <f t="shared" si="24"/>
        <v>131500.5</v>
      </c>
      <c r="G393">
        <f>IF((D393*(E393/100)*Sheet2!$B$4)&gt;1000,(D393*(E393/100)*Sheet2!$B$4),1000)</f>
        <v>24938.33946152178</v>
      </c>
      <c r="M393">
        <f>IF(G393=1000,1000,(F393*Sheet2!$B$8))</f>
        <v>24897.768541325891</v>
      </c>
      <c r="N393">
        <f t="shared" si="25"/>
        <v>24897.768541325891</v>
      </c>
      <c r="O393">
        <f t="shared" si="26"/>
        <v>24897.768541325891</v>
      </c>
      <c r="P393">
        <f t="shared" si="27"/>
        <v>24913</v>
      </c>
    </row>
    <row r="394" spans="1:16" x14ac:dyDescent="0.25">
      <c r="A394">
        <f>'Front Page'!A395</f>
        <v>393</v>
      </c>
      <c r="B394" t="str">
        <f>'Front Page'!B395</f>
        <v xml:space="preserve">20.c.ps.105.121 </v>
      </c>
      <c r="C394" t="str">
        <f>'Front Page'!C395</f>
        <v xml:space="preserve">Ormond Memorial Art Museum, Inc. </v>
      </c>
      <c r="D394">
        <f>'Front Page'!E395</f>
        <v>42153</v>
      </c>
      <c r="E394" s="3">
        <f>ROUND('Front Page'!F395,4)</f>
        <v>87.6</v>
      </c>
      <c r="F394">
        <f t="shared" si="24"/>
        <v>36926.027999999998</v>
      </c>
      <c r="G394">
        <f>IF((D394*(E394/100)*Sheet2!$B$4)&gt;1000,(D394*(E394/100)*Sheet2!$B$4),1000)</f>
        <v>7002.8161203163345</v>
      </c>
      <c r="M394">
        <f>IF(G394=1000,1000,(F394*Sheet2!$B$8))</f>
        <v>6991.4235937849589</v>
      </c>
      <c r="N394">
        <f t="shared" si="25"/>
        <v>6991.4235937849589</v>
      </c>
      <c r="O394">
        <f t="shared" si="26"/>
        <v>6991.4235937849589</v>
      </c>
      <c r="P394">
        <f t="shared" si="27"/>
        <v>7006</v>
      </c>
    </row>
    <row r="395" spans="1:16" x14ac:dyDescent="0.25">
      <c r="A395">
        <f>'Front Page'!A396</f>
        <v>394</v>
      </c>
      <c r="B395" t="str">
        <f>'Front Page'!B396</f>
        <v xml:space="preserve">20.c.ps.102.019 </v>
      </c>
      <c r="C395" t="str">
        <f>'Front Page'!C396</f>
        <v xml:space="preserve">South Florida Youth Symphony, Inc. </v>
      </c>
      <c r="D395">
        <f>'Front Page'!E396</f>
        <v>23250</v>
      </c>
      <c r="E395" s="3">
        <f>ROUND('Front Page'!F396,4)</f>
        <v>87.4</v>
      </c>
      <c r="F395">
        <f t="shared" si="24"/>
        <v>20320.500000000004</v>
      </c>
      <c r="G395">
        <f>IF((D395*(E395/100)*Sheet2!$B$4)&gt;1000,(D395*(E395/100)*Sheet2!$B$4),1000)</f>
        <v>3853.6699634438914</v>
      </c>
      <c r="M395">
        <f>IF(G395=1000,1000,(F395*Sheet2!$B$8))</f>
        <v>3847.4006231460176</v>
      </c>
      <c r="N395">
        <f t="shared" si="25"/>
        <v>3847.4006231460176</v>
      </c>
      <c r="O395">
        <f t="shared" si="26"/>
        <v>3847.4006231460176</v>
      </c>
      <c r="P395">
        <f t="shared" si="27"/>
        <v>3862</v>
      </c>
    </row>
    <row r="396" spans="1:16" x14ac:dyDescent="0.25">
      <c r="A396">
        <f>'Front Page'!A397</f>
        <v>395</v>
      </c>
      <c r="B396" t="str">
        <f>'Front Page'!B397</f>
        <v xml:space="preserve">20.c.ps.170.335 </v>
      </c>
      <c r="C396" t="str">
        <f>'Front Page'!C397</f>
        <v xml:space="preserve">City of Orlando </v>
      </c>
      <c r="D396">
        <f>'Front Page'!E397</f>
        <v>150000</v>
      </c>
      <c r="E396" s="3">
        <f>ROUND('Front Page'!F397,4)</f>
        <v>87.332999999999998</v>
      </c>
      <c r="F396">
        <f t="shared" si="24"/>
        <v>130999.49999999999</v>
      </c>
      <c r="G396">
        <f>IF((D396*(E396/100)*Sheet2!$B$4)&gt;1000,(D396*(E396/100)*Sheet2!$B$4),1000)</f>
        <v>24843.327594112739</v>
      </c>
      <c r="M396">
        <f>IF(G396=1000,1000,(F396*Sheet2!$B$8))</f>
        <v>24802.911243907216</v>
      </c>
      <c r="N396">
        <f t="shared" si="25"/>
        <v>24802.911243907216</v>
      </c>
      <c r="O396">
        <f t="shared" si="26"/>
        <v>24802.911243907216</v>
      </c>
      <c r="P396">
        <f t="shared" si="27"/>
        <v>24818</v>
      </c>
    </row>
    <row r="397" spans="1:16" x14ac:dyDescent="0.25">
      <c r="A397">
        <f>'Front Page'!A398</f>
        <v>396</v>
      </c>
      <c r="B397" t="str">
        <f>'Front Page'!B398</f>
        <v xml:space="preserve">20.c.ps.101.368 </v>
      </c>
      <c r="C397" t="str">
        <f>'Front Page'!C398</f>
        <v xml:space="preserve">Arts Ballet Theatre of Florida, Inc. </v>
      </c>
      <c r="D397">
        <f>'Front Page'!E398</f>
        <v>94000</v>
      </c>
      <c r="E397" s="3">
        <f>ROUND('Front Page'!F398,4)</f>
        <v>87.332999999999998</v>
      </c>
      <c r="F397">
        <f t="shared" si="24"/>
        <v>82093.01999999999</v>
      </c>
      <c r="G397">
        <f>IF((D397*(E397/100)*Sheet2!$B$4)&gt;1000,(D397*(E397/100)*Sheet2!$B$4),1000)</f>
        <v>15568.48529231065</v>
      </c>
      <c r="M397">
        <f>IF(G397=1000,1000,(F397*Sheet2!$B$8))</f>
        <v>15543.157712848522</v>
      </c>
      <c r="N397">
        <f t="shared" si="25"/>
        <v>15543.157712848522</v>
      </c>
      <c r="O397">
        <f t="shared" si="26"/>
        <v>15543.157712848522</v>
      </c>
      <c r="P397">
        <f t="shared" si="27"/>
        <v>15558</v>
      </c>
    </row>
    <row r="398" spans="1:16" x14ac:dyDescent="0.25">
      <c r="A398">
        <f>'Front Page'!A399</f>
        <v>397</v>
      </c>
      <c r="B398" t="str">
        <f>'Front Page'!B399</f>
        <v xml:space="preserve">20.c.ps.170.119 </v>
      </c>
      <c r="C398" t="str">
        <f>'Front Page'!C399</f>
        <v xml:space="preserve">Ormond Beach Historical Society, Inc. </v>
      </c>
      <c r="D398">
        <f>'Front Page'!E399</f>
        <v>25000</v>
      </c>
      <c r="E398" s="3">
        <f>ROUND('Front Page'!F399,4)</f>
        <v>87.332999999999998</v>
      </c>
      <c r="F398">
        <f t="shared" si="24"/>
        <v>21833.25</v>
      </c>
      <c r="G398">
        <f>IF((D398*(E398/100)*Sheet2!$B$4)&gt;1000,(D398*(E398/100)*Sheet2!$B$4),1000)</f>
        <v>4140.5545990187902</v>
      </c>
      <c r="M398">
        <f>IF(G398=1000,1000,(F398*Sheet2!$B$8))</f>
        <v>4133.818540651203</v>
      </c>
      <c r="N398">
        <f t="shared" si="25"/>
        <v>4133.818540651203</v>
      </c>
      <c r="O398">
        <f t="shared" si="26"/>
        <v>4133.818540651203</v>
      </c>
      <c r="P398">
        <f t="shared" si="27"/>
        <v>4149</v>
      </c>
    </row>
    <row r="399" spans="1:16" x14ac:dyDescent="0.25">
      <c r="A399">
        <f>'Front Page'!A400</f>
        <v>398</v>
      </c>
      <c r="B399" t="str">
        <f>'Front Page'!B400</f>
        <v xml:space="preserve">20.c.ps.180.072 </v>
      </c>
      <c r="C399" t="str">
        <f>'Front Page'!C400</f>
        <v xml:space="preserve">Sarasota Concert Association, Inc. </v>
      </c>
      <c r="D399">
        <f>'Front Page'!E400</f>
        <v>49400</v>
      </c>
      <c r="E399" s="3">
        <f>ROUND('Front Page'!F400,4)</f>
        <v>87.332999999999998</v>
      </c>
      <c r="F399">
        <f t="shared" si="24"/>
        <v>43142.502</v>
      </c>
      <c r="G399">
        <f>IF((D399*(E399/100)*Sheet2!$B$4)&gt;1000,(D399*(E399/100)*Sheet2!$B$4),1000)</f>
        <v>8181.7358876611297</v>
      </c>
      <c r="M399">
        <f>IF(G399=1000,1000,(F399*Sheet2!$B$8))</f>
        <v>8168.4254363267773</v>
      </c>
      <c r="N399">
        <f t="shared" si="25"/>
        <v>8168.4254363267773</v>
      </c>
      <c r="O399">
        <f t="shared" si="26"/>
        <v>8168.4254363267773</v>
      </c>
      <c r="P399">
        <f t="shared" si="27"/>
        <v>8183</v>
      </c>
    </row>
    <row r="400" spans="1:16" x14ac:dyDescent="0.25">
      <c r="A400">
        <f>'Front Page'!A401</f>
        <v>399</v>
      </c>
      <c r="B400" t="str">
        <f>'Front Page'!B401</f>
        <v xml:space="preserve">20.c.ps.109.213 </v>
      </c>
      <c r="C400" t="str">
        <f>'Front Page'!C401</f>
        <v xml:space="preserve">Florida Film Institute, Inc. </v>
      </c>
      <c r="D400">
        <f>'Front Page'!E401</f>
        <v>40000</v>
      </c>
      <c r="E400" s="3">
        <f>ROUND('Front Page'!F401,4)</f>
        <v>87.25</v>
      </c>
      <c r="F400">
        <f t="shared" si="24"/>
        <v>34900</v>
      </c>
      <c r="G400">
        <f>IF((D400*(E400/100)*Sheet2!$B$4)&gt;1000,(D400*(E400/100)*Sheet2!$B$4),1000)</f>
        <v>6618.5911628253134</v>
      </c>
      <c r="M400">
        <f>IF(G400=1000,1000,(F400*Sheet2!$B$8))</f>
        <v>6607.8237123986119</v>
      </c>
      <c r="N400">
        <f t="shared" si="25"/>
        <v>6607.8237123986119</v>
      </c>
      <c r="O400">
        <f t="shared" si="26"/>
        <v>6607.8237123986119</v>
      </c>
      <c r="P400">
        <f t="shared" si="27"/>
        <v>6623</v>
      </c>
    </row>
    <row r="401" spans="1:16" x14ac:dyDescent="0.25">
      <c r="A401">
        <f>'Front Page'!A402</f>
        <v>400</v>
      </c>
      <c r="B401" t="str">
        <f>'Front Page'!B402</f>
        <v xml:space="preserve">20.c.ps.109.797 </v>
      </c>
      <c r="C401" t="str">
        <f>'Front Page'!C402</f>
        <v xml:space="preserve">Cinematique of Daytona, Inc.  </v>
      </c>
      <c r="D401">
        <f>'Front Page'!E402</f>
        <v>25000</v>
      </c>
      <c r="E401" s="3">
        <f>ROUND('Front Page'!F402,4)</f>
        <v>87.25</v>
      </c>
      <c r="F401">
        <f t="shared" si="24"/>
        <v>21812.5</v>
      </c>
      <c r="G401">
        <f>IF((D401*(E401/100)*Sheet2!$B$4)&gt;1000,(D401*(E401/100)*Sheet2!$B$4),1000)</f>
        <v>4136.6194767658208</v>
      </c>
      <c r="M401">
        <f>IF(G401=1000,1000,(F401*Sheet2!$B$8))</f>
        <v>4129.8898202491318</v>
      </c>
      <c r="N401">
        <f t="shared" si="25"/>
        <v>4129.8898202491318</v>
      </c>
      <c r="O401">
        <f t="shared" si="26"/>
        <v>4129.8898202491318</v>
      </c>
      <c r="P401">
        <f t="shared" si="27"/>
        <v>4145</v>
      </c>
    </row>
    <row r="402" spans="1:16" x14ac:dyDescent="0.25">
      <c r="A402">
        <f>'Front Page'!A403</f>
        <v>401</v>
      </c>
      <c r="B402" t="str">
        <f>'Front Page'!B403</f>
        <v xml:space="preserve">20.c.ps.170.099 </v>
      </c>
      <c r="C402" t="str">
        <f>'Front Page'!C403</f>
        <v xml:space="preserve">DeLand Naval Air Station Museum, Inc. </v>
      </c>
      <c r="D402">
        <f>'Front Page'!E403</f>
        <v>12871</v>
      </c>
      <c r="E402" s="3">
        <f>ROUND('Front Page'!F403,4)</f>
        <v>87.167000000000002</v>
      </c>
      <c r="F402">
        <f t="shared" si="24"/>
        <v>11219.264570000001</v>
      </c>
      <c r="G402">
        <f>IF((D402*(E402/100)*Sheet2!$B$4)&gt;1000,(D402*(E402/100)*Sheet2!$B$4),1000)</f>
        <v>2127.6712130773967</v>
      </c>
      <c r="M402">
        <f>IF(G402=1000,1000,(F402*Sheet2!$B$8))</f>
        <v>2124.2098126452615</v>
      </c>
      <c r="N402">
        <f t="shared" si="25"/>
        <v>2124.2098126452615</v>
      </c>
      <c r="O402">
        <f t="shared" si="26"/>
        <v>2124.2098126452615</v>
      </c>
      <c r="P402">
        <f t="shared" si="27"/>
        <v>2139</v>
      </c>
    </row>
    <row r="403" spans="1:16" x14ac:dyDescent="0.25">
      <c r="A403">
        <f>'Front Page'!A404</f>
        <v>402</v>
      </c>
      <c r="B403" t="str">
        <f>'Front Page'!B404</f>
        <v xml:space="preserve">20.c.ps.170.196 </v>
      </c>
      <c r="C403" t="str">
        <f>'Front Page'!C404</f>
        <v xml:space="preserve">John Gilmore Center for African American History and Culture </v>
      </c>
      <c r="D403">
        <f>'Front Page'!E404</f>
        <v>46063</v>
      </c>
      <c r="E403" s="3">
        <f>ROUND('Front Page'!F404,4)</f>
        <v>87.167000000000002</v>
      </c>
      <c r="F403">
        <f t="shared" si="24"/>
        <v>40151.735210000006</v>
      </c>
      <c r="G403">
        <f>IF((D403*(E403/100)*Sheet2!$B$4)&gt;1000,(D403*(E403/100)*Sheet2!$B$4),1000)</f>
        <v>7614.5535768770214</v>
      </c>
      <c r="M403">
        <f>IF(G403=1000,1000,(F403*Sheet2!$B$8))</f>
        <v>7602.1658456902087</v>
      </c>
      <c r="N403">
        <f t="shared" si="25"/>
        <v>7602.1658456902087</v>
      </c>
      <c r="O403">
        <f t="shared" si="26"/>
        <v>7602.1658456902087</v>
      </c>
      <c r="P403">
        <f t="shared" si="27"/>
        <v>7617</v>
      </c>
    </row>
    <row r="404" spans="1:16" x14ac:dyDescent="0.25">
      <c r="A404">
        <f>'Front Page'!A405</f>
        <v>403</v>
      </c>
      <c r="B404" t="str">
        <f>'Front Page'!B405</f>
        <v xml:space="preserve">20.c.ps.170.476 </v>
      </c>
      <c r="C404" t="str">
        <f>'Front Page'!C405</f>
        <v xml:space="preserve">Florida Air Museum, Inc. </v>
      </c>
      <c r="D404">
        <f>'Front Page'!E405</f>
        <v>87571</v>
      </c>
      <c r="E404" s="3">
        <f>ROUND('Front Page'!F405,4)</f>
        <v>87.143000000000001</v>
      </c>
      <c r="F404">
        <f t="shared" si="24"/>
        <v>76311.996530000004</v>
      </c>
      <c r="G404">
        <f>IF((D404*(E404/100)*Sheet2!$B$4)&gt;1000,(D404*(E404/100)*Sheet2!$B$4),1000)</f>
        <v>14472.14629945599</v>
      </c>
      <c r="M404">
        <f>IF(G404=1000,1000,(F404*Sheet2!$B$8))</f>
        <v>14448.602298321335</v>
      </c>
      <c r="N404">
        <f t="shared" si="25"/>
        <v>14448.602298321335</v>
      </c>
      <c r="O404">
        <f t="shared" si="26"/>
        <v>14448.602298321335</v>
      </c>
      <c r="P404">
        <f t="shared" si="27"/>
        <v>14464</v>
      </c>
    </row>
    <row r="405" spans="1:16" x14ac:dyDescent="0.25">
      <c r="A405">
        <f>'Front Page'!A406</f>
        <v>404</v>
      </c>
      <c r="B405" t="str">
        <f>'Front Page'!B406</f>
        <v xml:space="preserve">20.c.ps.114.400 </v>
      </c>
      <c r="C405" t="str">
        <f>'Front Page'!C406</f>
        <v xml:space="preserve">Don't Miss A Beat, Inc. </v>
      </c>
      <c r="D405">
        <f>'Front Page'!E406</f>
        <v>40000</v>
      </c>
      <c r="E405" s="3">
        <f>ROUND('Front Page'!F406,4)</f>
        <v>87.143000000000001</v>
      </c>
      <c r="F405">
        <f t="shared" ref="F405:F412" si="28">D405*(E405/100)</f>
        <v>34857.200000000004</v>
      </c>
      <c r="G405">
        <f>IF((D405*(E405/100)*Sheet2!$B$4)&gt;1000,(D405*(E405/100)*Sheet2!$B$4),1000)</f>
        <v>6610.474380539672</v>
      </c>
      <c r="M405">
        <f>IF(G405=1000,1000,(F405*Sheet2!$B$8))</f>
        <v>6599.7201348945819</v>
      </c>
      <c r="N405">
        <f t="shared" ref="N405:N412" si="29">M405</f>
        <v>6599.7201348945819</v>
      </c>
      <c r="O405">
        <f t="shared" ref="O405:O412" si="30">IF(N405&lt;1000,1000,N405)</f>
        <v>6599.7201348945819</v>
      </c>
      <c r="P405">
        <f t="shared" ref="P405:P412" si="31">ROUND(IF(O405=1000,1000,(O405+$J$11)),0)</f>
        <v>6615</v>
      </c>
    </row>
    <row r="406" spans="1:16" x14ac:dyDescent="0.25">
      <c r="A406">
        <f>'Front Page'!A407</f>
        <v>405</v>
      </c>
      <c r="B406" t="str">
        <f>'Front Page'!B407</f>
        <v xml:space="preserve">20.c.ps.105.415 </v>
      </c>
      <c r="C406" t="str">
        <f>'Front Page'!C407</f>
        <v xml:space="preserve">Southern Atelier, Inc. </v>
      </c>
      <c r="D406">
        <f>'Front Page'!E407</f>
        <v>38000</v>
      </c>
      <c r="E406" s="3">
        <f>ROUND('Front Page'!F407,4)</f>
        <v>87</v>
      </c>
      <c r="F406">
        <f t="shared" si="28"/>
        <v>33060</v>
      </c>
      <c r="G406">
        <f>IF((D406*(E406/100)*Sheet2!$B$4)&gt;1000,(D406*(E406/100)*Sheet2!$B$4),1000)</f>
        <v>6269.6453823210568</v>
      </c>
      <c r="M406">
        <f>IF(G406=1000,1000,(F406*Sheet2!$B$8))</f>
        <v>6259.4456140945013</v>
      </c>
      <c r="N406">
        <f t="shared" si="29"/>
        <v>6259.4456140945013</v>
      </c>
      <c r="O406">
        <f t="shared" si="30"/>
        <v>6259.4456140945013</v>
      </c>
      <c r="P406">
        <f t="shared" si="31"/>
        <v>6274</v>
      </c>
    </row>
    <row r="407" spans="1:16" x14ac:dyDescent="0.25">
      <c r="A407">
        <f>'Front Page'!A408</f>
        <v>406</v>
      </c>
      <c r="B407" t="str">
        <f>'Front Page'!B408</f>
        <v xml:space="preserve">20.c.ps.109.680 </v>
      </c>
      <c r="C407" t="str">
        <f>'Front Page'!C408</f>
        <v xml:space="preserve">Miami Dade College Foundation, Inc. </v>
      </c>
      <c r="D407">
        <f>'Front Page'!E408</f>
        <v>69532</v>
      </c>
      <c r="E407" s="3">
        <f>ROUND('Front Page'!F408,4)</f>
        <v>87</v>
      </c>
      <c r="F407">
        <f t="shared" si="28"/>
        <v>60492.84</v>
      </c>
      <c r="G407">
        <f>IF((D407*(E407/100)*Sheet2!$B$4)&gt;1000,(D407*(E407/100)*Sheet2!$B$4),1000)</f>
        <v>11472.131124303887</v>
      </c>
      <c r="M407">
        <f>IF(G407=1000,1000,(F407*Sheet2!$B$8))</f>
        <v>11453.467695768917</v>
      </c>
      <c r="N407">
        <f t="shared" si="29"/>
        <v>11453.467695768917</v>
      </c>
      <c r="O407">
        <f t="shared" si="30"/>
        <v>11453.467695768917</v>
      </c>
      <c r="P407">
        <f t="shared" si="31"/>
        <v>11468</v>
      </c>
    </row>
    <row r="408" spans="1:16" x14ac:dyDescent="0.25">
      <c r="A408">
        <f>'Front Page'!A409</f>
        <v>407</v>
      </c>
      <c r="B408" t="str">
        <f>'Front Page'!B409</f>
        <v xml:space="preserve">20.c.ps.102.362 </v>
      </c>
      <c r="C408" t="str">
        <f>'Front Page'!C409</f>
        <v xml:space="preserve">Miami Lyric Opera, Inc. </v>
      </c>
      <c r="D408">
        <f>'Front Page'!E409</f>
        <v>40000</v>
      </c>
      <c r="E408" s="3">
        <f>ROUND('Front Page'!F409,4)</f>
        <v>87</v>
      </c>
      <c r="F408">
        <f t="shared" si="28"/>
        <v>34800</v>
      </c>
      <c r="G408">
        <f>IF((D408*(E408/100)*Sheet2!$B$4)&gt;1000,(D408*(E408/100)*Sheet2!$B$4),1000)</f>
        <v>6599.626718232691</v>
      </c>
      <c r="M408">
        <f>IF(G408=1000,1000,(F408*Sheet2!$B$8))</f>
        <v>6588.8901200994751</v>
      </c>
      <c r="N408">
        <f t="shared" si="29"/>
        <v>6588.8901200994751</v>
      </c>
      <c r="O408">
        <f t="shared" si="30"/>
        <v>6588.8901200994751</v>
      </c>
      <c r="P408">
        <f t="shared" si="31"/>
        <v>6604</v>
      </c>
    </row>
    <row r="409" spans="1:16" x14ac:dyDescent="0.25">
      <c r="A409">
        <f>'Front Page'!A410</f>
        <v>408</v>
      </c>
      <c r="B409" t="str">
        <f>'Front Page'!B410</f>
        <v xml:space="preserve">20.c.ps.101.662 </v>
      </c>
      <c r="C409" t="str">
        <f>'Front Page'!C410</f>
        <v xml:space="preserve">Ballet Pensacola, Inc. </v>
      </c>
      <c r="D409">
        <f>'Front Page'!E410</f>
        <v>75000</v>
      </c>
      <c r="E409" s="3">
        <f>ROUND('Front Page'!F410,4)</f>
        <v>87</v>
      </c>
      <c r="F409">
        <f t="shared" si="28"/>
        <v>65250</v>
      </c>
      <c r="G409">
        <f>IF((D409*(E409/100)*Sheet2!$B$4)&gt;1000,(D409*(E409/100)*Sheet2!$B$4),1000)</f>
        <v>12374.300096686296</v>
      </c>
      <c r="M409">
        <f>IF(G409=1000,1000,(F409*Sheet2!$B$8))</f>
        <v>12354.168975186516</v>
      </c>
      <c r="N409">
        <f t="shared" si="29"/>
        <v>12354.168975186516</v>
      </c>
      <c r="O409">
        <f t="shared" si="30"/>
        <v>12354.168975186516</v>
      </c>
      <c r="P409">
        <f t="shared" si="31"/>
        <v>12369</v>
      </c>
    </row>
    <row r="410" spans="1:16" x14ac:dyDescent="0.25">
      <c r="A410">
        <f>'Front Page'!A411</f>
        <v>409</v>
      </c>
      <c r="B410" t="str">
        <f>'Front Page'!B411</f>
        <v xml:space="preserve">20.c.ps.500.632 </v>
      </c>
      <c r="C410" t="str">
        <f>'Front Page'!C411</f>
        <v xml:space="preserve">Creative Pinellas, Incorporated </v>
      </c>
      <c r="D410">
        <f>'Front Page'!E411</f>
        <v>80000</v>
      </c>
      <c r="E410" s="3">
        <f>ROUND('Front Page'!F411,4)</f>
        <v>87</v>
      </c>
      <c r="F410">
        <f t="shared" si="28"/>
        <v>69600</v>
      </c>
      <c r="G410">
        <f>IF((D410*(E410/100)*Sheet2!$B$4)&gt;1000,(D410*(E410/100)*Sheet2!$B$4),1000)</f>
        <v>13199.253436465382</v>
      </c>
      <c r="M410">
        <f>IF(G410=1000,1000,(F410*Sheet2!$B$8))</f>
        <v>13177.78024019895</v>
      </c>
      <c r="N410">
        <f t="shared" si="29"/>
        <v>13177.78024019895</v>
      </c>
      <c r="O410">
        <f t="shared" si="30"/>
        <v>13177.78024019895</v>
      </c>
      <c r="P410">
        <f t="shared" si="31"/>
        <v>13193</v>
      </c>
    </row>
    <row r="411" spans="1:16" x14ac:dyDescent="0.25">
      <c r="A411">
        <f>'Front Page'!A412</f>
        <v>410</v>
      </c>
      <c r="B411" t="str">
        <f>'Front Page'!B412</f>
        <v xml:space="preserve">20.c.ps.102.077 </v>
      </c>
      <c r="C411" t="str">
        <f>'Front Page'!C412</f>
        <v xml:space="preserve">Naples Concert Band </v>
      </c>
      <c r="D411">
        <f>'Front Page'!E412</f>
        <v>15000</v>
      </c>
      <c r="E411" s="3">
        <f>ROUND('Front Page'!F412,4)</f>
        <v>87</v>
      </c>
      <c r="F411">
        <f t="shared" si="28"/>
        <v>13050</v>
      </c>
      <c r="G411">
        <f>IF((D411*(E411/100)*Sheet2!$B$4)&gt;1000,(D411*(E411/100)*Sheet2!$B$4),1000)</f>
        <v>2474.860019337259</v>
      </c>
      <c r="M411">
        <f>IF(G411=1000,1000,(F411*Sheet2!$B$8))</f>
        <v>2470.8337950373034</v>
      </c>
      <c r="N411">
        <f t="shared" si="29"/>
        <v>2470.8337950373034</v>
      </c>
      <c r="O411">
        <f t="shared" si="30"/>
        <v>2470.8337950373034</v>
      </c>
      <c r="P411">
        <f t="shared" si="31"/>
        <v>2486</v>
      </c>
    </row>
    <row r="412" spans="1:16" x14ac:dyDescent="0.25">
      <c r="A412">
        <f>'Front Page'!A413</f>
        <v>411</v>
      </c>
      <c r="B412" t="str">
        <f>'Front Page'!B413</f>
        <v xml:space="preserve">20.c.ps.114.230 </v>
      </c>
      <c r="C412" t="str">
        <f>'Front Page'!C413</f>
        <v xml:space="preserve">Gateway Center for the Arts, Inc. </v>
      </c>
      <c r="D412">
        <f>'Front Page'!E413</f>
        <v>43200</v>
      </c>
      <c r="E412" s="3">
        <f>ROUND('Front Page'!F413,4)</f>
        <v>87</v>
      </c>
      <c r="F412">
        <f t="shared" si="28"/>
        <v>37584</v>
      </c>
      <c r="G412">
        <f>IF((D412*(E412/100)*Sheet2!$B$4)&gt;1000,(D412*(E412/100)*Sheet2!$B$4),1000)</f>
        <v>7127.5968556913067</v>
      </c>
      <c r="M412">
        <f>IF(G412=1000,1000,(F412*Sheet2!$B$8))</f>
        <v>7116.0013297074329</v>
      </c>
      <c r="N412">
        <f t="shared" si="29"/>
        <v>7116.0013297074329</v>
      </c>
      <c r="O412">
        <f t="shared" si="30"/>
        <v>7116.0013297074329</v>
      </c>
      <c r="P412">
        <f t="shared" si="31"/>
        <v>7131</v>
      </c>
    </row>
    <row r="413" spans="1:16" x14ac:dyDescent="0.25">
      <c r="A413">
        <f>'Front Page'!A414</f>
        <v>412</v>
      </c>
      <c r="B413" t="str">
        <f>'Front Page'!B414</f>
        <v xml:space="preserve">20.c.ps.109.494 </v>
      </c>
      <c r="C413" t="str">
        <f>'Front Page'!C414</f>
        <v xml:space="preserve">Miami Short Film Festival </v>
      </c>
      <c r="D413">
        <f>'Front Page'!E414</f>
        <v>22000</v>
      </c>
      <c r="E413" s="3">
        <f>ROUND('Front Page'!F414,4)</f>
        <v>87</v>
      </c>
      <c r="F413">
        <f t="shared" ref="F413:F476" si="32">D413*(E413/100)</f>
        <v>19140</v>
      </c>
      <c r="G413">
        <f>IF((D413*(E413/100)*Sheet2!$B$4)&gt;1000,(D413*(E413/100)*Sheet2!$B$4),1000)</f>
        <v>3629.7946950279802</v>
      </c>
      <c r="M413">
        <f>IF(G413=1000,1000,(F413*Sheet2!$B$8))</f>
        <v>3623.8895660547114</v>
      </c>
      <c r="N413">
        <f t="shared" ref="N413:N476" si="33">M413</f>
        <v>3623.8895660547114</v>
      </c>
      <c r="O413">
        <f t="shared" ref="O413:O476" si="34">IF(N413&lt;1000,1000,N413)</f>
        <v>3623.8895660547114</v>
      </c>
      <c r="P413">
        <f t="shared" ref="P413:P476" si="35">ROUND(IF(O413=1000,1000,(O413+$J$11)),0)</f>
        <v>3639</v>
      </c>
    </row>
    <row r="414" spans="1:16" x14ac:dyDescent="0.25">
      <c r="A414">
        <f>'Front Page'!A415</f>
        <v>413</v>
      </c>
      <c r="B414" t="str">
        <f>'Front Page'!B415</f>
        <v xml:space="preserve">20.c.ps.170.112 </v>
      </c>
      <c r="C414" t="str">
        <f>'Front Page'!C415</f>
        <v xml:space="preserve">The Museum of Art, Deland, Florida, Inc. </v>
      </c>
      <c r="D414">
        <f>'Front Page'!E415</f>
        <v>114361</v>
      </c>
      <c r="E414" s="3">
        <f>ROUND('Front Page'!F415,4)</f>
        <v>86.856999999999999</v>
      </c>
      <c r="F414">
        <f t="shared" si="32"/>
        <v>99330.533769999995</v>
      </c>
      <c r="G414">
        <f>IF((D414*(E414/100)*Sheet2!$B$4)&gt;1000,(D414*(E414/100)*Sheet2!$B$4),1000)</f>
        <v>18837.484040368006</v>
      </c>
      <c r="M414">
        <f>IF(G414=1000,1000,(F414*Sheet2!$B$8))</f>
        <v>18806.838292567823</v>
      </c>
      <c r="N414">
        <f t="shared" si="33"/>
        <v>18806.838292567823</v>
      </c>
      <c r="O414">
        <f t="shared" si="34"/>
        <v>18806.838292567823</v>
      </c>
      <c r="P414">
        <f t="shared" si="35"/>
        <v>18822</v>
      </c>
    </row>
    <row r="415" spans="1:16" x14ac:dyDescent="0.25">
      <c r="A415">
        <f>'Front Page'!A416</f>
        <v>414</v>
      </c>
      <c r="B415" t="str">
        <f>'Front Page'!B416</f>
        <v xml:space="preserve">20.c.ps.180.514 </v>
      </c>
      <c r="C415" t="str">
        <f>'Front Page'!C416</f>
        <v xml:space="preserve">Thornhill Foundation for the Arts </v>
      </c>
      <c r="D415">
        <f>'Front Page'!E416</f>
        <v>1500</v>
      </c>
      <c r="E415" s="3">
        <f>ROUND('Front Page'!F416,4)</f>
        <v>86.832999999999998</v>
      </c>
      <c r="F415">
        <f t="shared" si="32"/>
        <v>1302.4949999999999</v>
      </c>
      <c r="G415">
        <f>IF((D415*(E415/100)*Sheet2!$B$4)&gt;1000,(D415*(E415/100)*Sheet2!$B$4),1000)</f>
        <v>1000</v>
      </c>
      <c r="M415">
        <f>IF(G415=1000,1000,(F415*Sheet2!$B$8))</f>
        <v>1000</v>
      </c>
      <c r="N415">
        <f t="shared" si="33"/>
        <v>1000</v>
      </c>
      <c r="O415">
        <f t="shared" si="34"/>
        <v>1000</v>
      </c>
      <c r="P415">
        <f t="shared" si="35"/>
        <v>1000</v>
      </c>
    </row>
    <row r="416" spans="1:16" x14ac:dyDescent="0.25">
      <c r="A416">
        <f>'Front Page'!A417</f>
        <v>415</v>
      </c>
      <c r="B416" t="str">
        <f>'Front Page'!B417</f>
        <v xml:space="preserve">20.c.ps.180.499 </v>
      </c>
      <c r="C416" t="str">
        <f>'Front Page'!C417</f>
        <v xml:space="preserve">Miami Hispanic Ballet Corp. </v>
      </c>
      <c r="D416">
        <f>'Front Page'!E417</f>
        <v>50000</v>
      </c>
      <c r="E416" s="3">
        <f>ROUND('Front Page'!F417,4)</f>
        <v>86.832999999999998</v>
      </c>
      <c r="F416">
        <f t="shared" si="32"/>
        <v>43416.5</v>
      </c>
      <c r="G416">
        <f>IF((D416*(E416/100)*Sheet2!$B$4)&gt;1000,(D416*(E416/100)*Sheet2!$B$4),1000)</f>
        <v>8233.6980865560236</v>
      </c>
      <c r="M416">
        <f>IF(G416=1000,1000,(F416*Sheet2!$B$8))</f>
        <v>8220.3031005545654</v>
      </c>
      <c r="N416">
        <f t="shared" si="33"/>
        <v>8220.3031005545654</v>
      </c>
      <c r="O416">
        <f t="shared" si="34"/>
        <v>8220.3031005545654</v>
      </c>
      <c r="P416">
        <f t="shared" si="35"/>
        <v>8235</v>
      </c>
    </row>
    <row r="417" spans="1:16" x14ac:dyDescent="0.25">
      <c r="A417">
        <f>'Front Page'!A418</f>
        <v>416</v>
      </c>
      <c r="B417" t="str">
        <f>'Front Page'!B418</f>
        <v xml:space="preserve">20.c.ps.109.676 </v>
      </c>
      <c r="C417" t="str">
        <f>'Front Page'!C418</f>
        <v xml:space="preserve">Miami Dade College </v>
      </c>
      <c r="D417">
        <f>'Front Page'!E418</f>
        <v>150000</v>
      </c>
      <c r="E417" s="3">
        <f>ROUND('Front Page'!F418,4)</f>
        <v>86.75</v>
      </c>
      <c r="F417">
        <f t="shared" si="32"/>
        <v>130125.00000000001</v>
      </c>
      <c r="G417">
        <f>IF((D417*(E417/100)*Sheet2!$B$4)&gt;1000,(D417*(E417/100)*Sheet2!$B$4),1000)</f>
        <v>24677.483526150259</v>
      </c>
      <c r="M417">
        <f>IF(G417=1000,1000,(F417*Sheet2!$B$8))</f>
        <v>24637.336979251275</v>
      </c>
      <c r="N417">
        <f t="shared" si="33"/>
        <v>24637.336979251275</v>
      </c>
      <c r="O417">
        <f t="shared" si="34"/>
        <v>24637.336979251275</v>
      </c>
      <c r="P417">
        <f t="shared" si="35"/>
        <v>24652</v>
      </c>
    </row>
    <row r="418" spans="1:16" x14ac:dyDescent="0.25">
      <c r="A418">
        <f>'Front Page'!A419</f>
        <v>417</v>
      </c>
      <c r="B418" t="str">
        <f>'Front Page'!B419</f>
        <v xml:space="preserve">20.c.ps.170.686 </v>
      </c>
      <c r="C418" t="str">
        <f>'Front Page'!C419</f>
        <v xml:space="preserve">Historical Society of Palm Beach County </v>
      </c>
      <c r="D418">
        <f>'Front Page'!E419</f>
        <v>104570</v>
      </c>
      <c r="E418" s="3">
        <f>ROUND('Front Page'!F419,4)</f>
        <v>86.713999999999999</v>
      </c>
      <c r="F418">
        <f t="shared" si="32"/>
        <v>90676.829800000007</v>
      </c>
      <c r="G418">
        <f>IF((D418*(E418/100)*Sheet2!$B$4)&gt;1000,(D418*(E418/100)*Sheet2!$B$4),1000)</f>
        <v>17196.357145767768</v>
      </c>
      <c r="M418">
        <f>IF(G418=1000,1000,(F418*Sheet2!$B$8))</f>
        <v>17168.381264113843</v>
      </c>
      <c r="N418">
        <f t="shared" si="33"/>
        <v>17168.381264113843</v>
      </c>
      <c r="O418">
        <f t="shared" si="34"/>
        <v>17168.381264113843</v>
      </c>
      <c r="P418">
        <f t="shared" si="35"/>
        <v>17183</v>
      </c>
    </row>
    <row r="419" spans="1:16" x14ac:dyDescent="0.25">
      <c r="A419">
        <f>'Front Page'!A420</f>
        <v>418</v>
      </c>
      <c r="B419" t="str">
        <f>'Front Page'!B420</f>
        <v xml:space="preserve">20.c.ps.170.650 </v>
      </c>
      <c r="C419" t="str">
        <f>'Front Page'!C420</f>
        <v xml:space="preserve">Museum of Science &amp; Industry, Inc. </v>
      </c>
      <c r="D419">
        <f>'Front Page'!E420</f>
        <v>150000</v>
      </c>
      <c r="E419" s="3">
        <f>ROUND('Front Page'!F420,4)</f>
        <v>86.667000000000002</v>
      </c>
      <c r="F419">
        <f t="shared" si="32"/>
        <v>130000.50000000001</v>
      </c>
      <c r="G419">
        <f>IF((D419*(E419/100)*Sheet2!$B$4)&gt;1000,(D419*(E419/100)*Sheet2!$B$4),1000)</f>
        <v>24653.872792632443</v>
      </c>
      <c r="M419">
        <f>IF(G419=1000,1000,(F419*Sheet2!$B$8))</f>
        <v>24613.764656838848</v>
      </c>
      <c r="N419">
        <f t="shared" si="33"/>
        <v>24613.764656838848</v>
      </c>
      <c r="O419">
        <f t="shared" si="34"/>
        <v>24613.764656838848</v>
      </c>
      <c r="P419">
        <f t="shared" si="35"/>
        <v>24629</v>
      </c>
    </row>
    <row r="420" spans="1:16" x14ac:dyDescent="0.25">
      <c r="A420">
        <f>'Front Page'!A421</f>
        <v>419</v>
      </c>
      <c r="B420" t="str">
        <f>'Front Page'!B421</f>
        <v xml:space="preserve">20.c.ps.102.061 </v>
      </c>
      <c r="C420" t="str">
        <f>'Front Page'!C421</f>
        <v xml:space="preserve">The Miami Symphony Orchestra/Orquesta Sinfonica De Miami, Inc. </v>
      </c>
      <c r="D420">
        <f>'Front Page'!E421</f>
        <v>140000</v>
      </c>
      <c r="E420" s="3">
        <f>ROUND('Front Page'!F421,4)</f>
        <v>86.625</v>
      </c>
      <c r="F420">
        <f t="shared" si="32"/>
        <v>121275</v>
      </c>
      <c r="G420">
        <f>IF((D420*(E420/100)*Sheet2!$B$4)&gt;1000,(D420*(E420/100)*Sheet2!$B$4),1000)</f>
        <v>22999.130179703148</v>
      </c>
      <c r="M420">
        <f>IF(G420=1000,1000,(F420*Sheet2!$B$8))</f>
        <v>22961.714060777696</v>
      </c>
      <c r="N420">
        <f t="shared" si="33"/>
        <v>22961.714060777696</v>
      </c>
      <c r="O420">
        <f t="shared" si="34"/>
        <v>22961.714060777696</v>
      </c>
      <c r="P420">
        <f t="shared" si="35"/>
        <v>22977</v>
      </c>
    </row>
    <row r="421" spans="1:16" x14ac:dyDescent="0.25">
      <c r="A421">
        <f>'Front Page'!A422</f>
        <v>420</v>
      </c>
      <c r="B421" t="str">
        <f>'Front Page'!B422</f>
        <v xml:space="preserve">20.c.ps.180.531 </v>
      </c>
      <c r="C421" t="str">
        <f>'Front Page'!C422</f>
        <v xml:space="preserve">Michael-Ann Russell Jewish Community Center, Inc. </v>
      </c>
      <c r="D421">
        <f>'Front Page'!E422</f>
        <v>54500</v>
      </c>
      <c r="E421" s="3">
        <f>ROUND('Front Page'!F422,4)</f>
        <v>86.332999999999998</v>
      </c>
      <c r="F421">
        <f t="shared" si="32"/>
        <v>47051.484999999993</v>
      </c>
      <c r="G421">
        <f>IF((D421*(E421/100)*Sheet2!$B$4)&gt;1000,(D421*(E421/100)*Sheet2!$B$4),1000)</f>
        <v>8923.0528028311674</v>
      </c>
      <c r="M421">
        <f>IF(G421=1000,1000,(F421*Sheet2!$B$8))</f>
        <v>8908.5363405893277</v>
      </c>
      <c r="N421">
        <f t="shared" si="33"/>
        <v>8908.5363405893277</v>
      </c>
      <c r="O421">
        <f t="shared" si="34"/>
        <v>8908.5363405893277</v>
      </c>
      <c r="P421">
        <f t="shared" si="35"/>
        <v>8923</v>
      </c>
    </row>
    <row r="422" spans="1:16" x14ac:dyDescent="0.25">
      <c r="A422">
        <f>'Front Page'!A423</f>
        <v>421</v>
      </c>
      <c r="B422" t="str">
        <f>'Front Page'!B423</f>
        <v xml:space="preserve">20.c.ps.114.711 </v>
      </c>
      <c r="C422" t="str">
        <f>'Front Page'!C423</f>
        <v xml:space="preserve">Old School Square Center for the Arts, Inc. </v>
      </c>
      <c r="D422">
        <f>'Front Page'!E423</f>
        <v>150000</v>
      </c>
      <c r="E422" s="3">
        <f>ROUND('Front Page'!F423,4)</f>
        <v>86.286000000000001</v>
      </c>
      <c r="F422">
        <f t="shared" si="32"/>
        <v>129429</v>
      </c>
      <c r="G422">
        <f>IF((D422*(E422/100)*Sheet2!$B$4)&gt;1000,(D422*(E422/100)*Sheet2!$B$4),1000)</f>
        <v>24545.490991785602</v>
      </c>
      <c r="M422">
        <f>IF(G422=1000,1000,(F422*Sheet2!$B$8))</f>
        <v>24505.559176849281</v>
      </c>
      <c r="N422">
        <f t="shared" si="33"/>
        <v>24505.559176849281</v>
      </c>
      <c r="O422">
        <f t="shared" si="34"/>
        <v>24505.559176849281</v>
      </c>
      <c r="P422">
        <f t="shared" si="35"/>
        <v>24521</v>
      </c>
    </row>
    <row r="423" spans="1:16" x14ac:dyDescent="0.25">
      <c r="A423">
        <f>'Front Page'!A424</f>
        <v>422</v>
      </c>
      <c r="B423" t="str">
        <f>'Front Page'!B424</f>
        <v xml:space="preserve">20.c.ps.170.673 </v>
      </c>
      <c r="C423" t="str">
        <f>'Front Page'!C424</f>
        <v xml:space="preserve">Gulf Coast Heritage Association, Inc. </v>
      </c>
      <c r="D423">
        <f>'Front Page'!E424</f>
        <v>62000</v>
      </c>
      <c r="E423" s="3">
        <f>ROUND('Front Page'!F424,4)</f>
        <v>86.286000000000001</v>
      </c>
      <c r="F423">
        <f t="shared" si="32"/>
        <v>53497.32</v>
      </c>
      <c r="G423">
        <f>IF((D423*(E423/100)*Sheet2!$B$4)&gt;1000,(D423*(E423/100)*Sheet2!$B$4),1000)</f>
        <v>10145.469609938049</v>
      </c>
      <c r="M423">
        <f>IF(G423=1000,1000,(F423*Sheet2!$B$8))</f>
        <v>10128.964459764369</v>
      </c>
      <c r="N423">
        <f t="shared" si="33"/>
        <v>10128.964459764369</v>
      </c>
      <c r="O423">
        <f t="shared" si="34"/>
        <v>10128.964459764369</v>
      </c>
      <c r="P423">
        <f t="shared" si="35"/>
        <v>10144</v>
      </c>
    </row>
    <row r="424" spans="1:16" x14ac:dyDescent="0.25">
      <c r="A424">
        <f>'Front Page'!A425</f>
        <v>423</v>
      </c>
      <c r="B424" t="str">
        <f>'Front Page'!B425</f>
        <v xml:space="preserve">20.c.ps.600.373 </v>
      </c>
      <c r="C424" t="str">
        <f>'Front Page'!C425</f>
        <v xml:space="preserve">Florida Dance Association, Inc. </v>
      </c>
      <c r="D424">
        <f>'Front Page'!E425</f>
        <v>20500</v>
      </c>
      <c r="E424" s="3">
        <f>ROUND('Front Page'!F425,4)</f>
        <v>86.167000000000002</v>
      </c>
      <c r="F424">
        <f t="shared" si="32"/>
        <v>17664.235000000001</v>
      </c>
      <c r="G424">
        <f>IF((D424*(E424/100)*Sheet2!$B$4)&gt;1000,(D424*(E424/100)*Sheet2!$B$4),1000)</f>
        <v>3349.9240592856622</v>
      </c>
      <c r="M424">
        <f>IF(G424=1000,1000,(F424*Sheet2!$B$8))</f>
        <v>3344.4742376613608</v>
      </c>
      <c r="N424">
        <f t="shared" si="33"/>
        <v>3344.4742376613608</v>
      </c>
      <c r="O424">
        <f t="shared" si="34"/>
        <v>3344.4742376613608</v>
      </c>
      <c r="P424">
        <f t="shared" si="35"/>
        <v>3359</v>
      </c>
    </row>
    <row r="425" spans="1:16" x14ac:dyDescent="0.25">
      <c r="A425">
        <f>'Front Page'!A426</f>
        <v>424</v>
      </c>
      <c r="B425" t="str">
        <f>'Front Page'!B426</f>
        <v xml:space="preserve">20.c.ps.500.553 </v>
      </c>
      <c r="C425" t="str">
        <f>'Front Page'!C426</f>
        <v xml:space="preserve">Bay Arts Alliance, Inc. </v>
      </c>
      <c r="D425">
        <f>'Front Page'!E426</f>
        <v>107000</v>
      </c>
      <c r="E425" s="3">
        <f>ROUND('Front Page'!F426,4)</f>
        <v>86.167000000000002</v>
      </c>
      <c r="F425">
        <f t="shared" si="32"/>
        <v>92198.69</v>
      </c>
      <c r="G425">
        <f>IF((D425*(E425/100)*Sheet2!$B$4)&gt;1000,(D425*(E425/100)*Sheet2!$B$4),1000)</f>
        <v>17484.969480173942</v>
      </c>
      <c r="M425">
        <f>IF(G425=1000,1000,(F425*Sheet2!$B$8))</f>
        <v>17456.524069744664</v>
      </c>
      <c r="N425">
        <f t="shared" si="33"/>
        <v>17456.524069744664</v>
      </c>
      <c r="O425">
        <f t="shared" si="34"/>
        <v>17456.524069744664</v>
      </c>
      <c r="P425">
        <f t="shared" si="35"/>
        <v>17471</v>
      </c>
    </row>
    <row r="426" spans="1:16" x14ac:dyDescent="0.25">
      <c r="A426">
        <f>'Front Page'!A427</f>
        <v>425</v>
      </c>
      <c r="B426" t="str">
        <f>'Front Page'!B427</f>
        <v xml:space="preserve">20.c.ps.170.456 </v>
      </c>
      <c r="C426" t="str">
        <f>'Front Page'!C427</f>
        <v xml:space="preserve">Florida Keys Land &amp; Sea Trust, Inc. </v>
      </c>
      <c r="D426">
        <f>'Front Page'!E427</f>
        <v>25000</v>
      </c>
      <c r="E426" s="3">
        <f>ROUND('Front Page'!F427,4)</f>
        <v>86.143000000000001</v>
      </c>
      <c r="F426">
        <f t="shared" si="32"/>
        <v>21535.75</v>
      </c>
      <c r="G426">
        <f>IF((D426*(E426/100)*Sheet2!$B$4)&gt;1000,(D426*(E426/100)*Sheet2!$B$4),1000)</f>
        <v>4084.1353763557377</v>
      </c>
      <c r="M426">
        <f>IF(G426=1000,1000,(F426*Sheet2!$B$8))</f>
        <v>4077.4911035612722</v>
      </c>
      <c r="N426">
        <f t="shared" si="33"/>
        <v>4077.4911035612722</v>
      </c>
      <c r="O426">
        <f t="shared" si="34"/>
        <v>4077.4911035612722</v>
      </c>
      <c r="P426">
        <f t="shared" si="35"/>
        <v>4092</v>
      </c>
    </row>
    <row r="427" spans="1:16" x14ac:dyDescent="0.25">
      <c r="A427">
        <f>'Front Page'!A428</f>
        <v>426</v>
      </c>
      <c r="B427" t="str">
        <f>'Front Page'!B428</f>
        <v xml:space="preserve">20.c.ps.114.442 </v>
      </c>
      <c r="C427" t="str">
        <f>'Front Page'!C428</f>
        <v xml:space="preserve">4Ward Miami, Inc. </v>
      </c>
      <c r="D427">
        <f>'Front Page'!E428</f>
        <v>25000</v>
      </c>
      <c r="E427" s="3">
        <f>ROUND('Front Page'!F428,4)</f>
        <v>86.143000000000001</v>
      </c>
      <c r="F427">
        <f t="shared" si="32"/>
        <v>21535.75</v>
      </c>
      <c r="G427">
        <f>IF((D427*(E427/100)*Sheet2!$B$4)&gt;1000,(D427*(E427/100)*Sheet2!$B$4),1000)</f>
        <v>4084.1353763557377</v>
      </c>
      <c r="M427">
        <f>IF(G427=1000,1000,(F427*Sheet2!$B$8))</f>
        <v>4077.4911035612722</v>
      </c>
      <c r="N427">
        <f t="shared" si="33"/>
        <v>4077.4911035612722</v>
      </c>
      <c r="O427">
        <f t="shared" si="34"/>
        <v>4077.4911035612722</v>
      </c>
      <c r="P427">
        <f t="shared" si="35"/>
        <v>4092</v>
      </c>
    </row>
    <row r="428" spans="1:16" x14ac:dyDescent="0.25">
      <c r="A428">
        <f>'Front Page'!A429</f>
        <v>427</v>
      </c>
      <c r="B428" t="str">
        <f>'Front Page'!B429</f>
        <v xml:space="preserve">20.c.ps.170.649 </v>
      </c>
      <c r="C428" t="str">
        <f>'Front Page'!C429</f>
        <v xml:space="preserve">Boynton Cultural Centre, Inc. </v>
      </c>
      <c r="D428">
        <f>'Front Page'!E429</f>
        <v>20500</v>
      </c>
      <c r="E428" s="3">
        <f>ROUND('Front Page'!F429,4)</f>
        <v>86</v>
      </c>
      <c r="F428">
        <f t="shared" si="32"/>
        <v>17630</v>
      </c>
      <c r="G428">
        <f>IF((D428*(E428/100)*Sheet2!$B$4)&gt;1000,(D428*(E428/100)*Sheet2!$B$4),1000)</f>
        <v>3343.4315816793778</v>
      </c>
      <c r="M428">
        <f>IF(G428=1000,1000,(F428*Sheet2!$B$8))</f>
        <v>3337.9923223377514</v>
      </c>
      <c r="N428">
        <f t="shared" si="33"/>
        <v>3337.9923223377514</v>
      </c>
      <c r="O428">
        <f t="shared" si="34"/>
        <v>3337.9923223377514</v>
      </c>
      <c r="P428">
        <f t="shared" si="35"/>
        <v>3353</v>
      </c>
    </row>
    <row r="429" spans="1:16" x14ac:dyDescent="0.25">
      <c r="A429">
        <f>'Front Page'!A430</f>
        <v>428</v>
      </c>
      <c r="B429" t="str">
        <f>'Front Page'!B430</f>
        <v xml:space="preserve">20.c.ps.141.440 </v>
      </c>
      <c r="C429" t="str">
        <f>'Front Page'!C430</f>
        <v xml:space="preserve">Orange Park Community Theatre, Inc. </v>
      </c>
      <c r="D429">
        <f>'Front Page'!E430</f>
        <v>40000</v>
      </c>
      <c r="E429" s="3">
        <f>ROUND('Front Page'!F430,4)</f>
        <v>86</v>
      </c>
      <c r="F429">
        <f t="shared" si="32"/>
        <v>34400</v>
      </c>
      <c r="G429">
        <f>IF((D429*(E429/100)*Sheet2!$B$4)&gt;1000,(D429*(E429/100)*Sheet2!$B$4),1000)</f>
        <v>6523.7689398622006</v>
      </c>
      <c r="M429">
        <f>IF(G429=1000,1000,(F429*Sheet2!$B$8))</f>
        <v>6513.1557509029299</v>
      </c>
      <c r="N429">
        <f t="shared" si="33"/>
        <v>6513.1557509029299</v>
      </c>
      <c r="O429">
        <f t="shared" si="34"/>
        <v>6513.1557509029299</v>
      </c>
      <c r="P429">
        <f t="shared" si="35"/>
        <v>6528</v>
      </c>
    </row>
    <row r="430" spans="1:16" x14ac:dyDescent="0.25">
      <c r="A430">
        <f>'Front Page'!A431</f>
        <v>429</v>
      </c>
      <c r="B430" t="str">
        <f>'Front Page'!B431</f>
        <v xml:space="preserve">20.c.ps.180.197 </v>
      </c>
      <c r="C430" t="str">
        <f>'Front Page'!C431</f>
        <v xml:space="preserve">Springtime Tallahassee Festival, Inc. </v>
      </c>
      <c r="D430">
        <f>'Front Page'!E431</f>
        <v>24400</v>
      </c>
      <c r="E430" s="3">
        <f>ROUND('Front Page'!F431,4)</f>
        <v>86</v>
      </c>
      <c r="F430">
        <f t="shared" si="32"/>
        <v>20984</v>
      </c>
      <c r="G430">
        <f>IF((D430*(E430/100)*Sheet2!$B$4)&gt;1000,(D430*(E430/100)*Sheet2!$B$4),1000)</f>
        <v>3979.4990533159421</v>
      </c>
      <c r="M430">
        <f>IF(G430=1000,1000,(F430*Sheet2!$B$8))</f>
        <v>3973.0250080507872</v>
      </c>
      <c r="N430">
        <f t="shared" si="33"/>
        <v>3973.0250080507872</v>
      </c>
      <c r="O430">
        <f t="shared" si="34"/>
        <v>3973.0250080507872</v>
      </c>
      <c r="P430">
        <f t="shared" si="35"/>
        <v>3988</v>
      </c>
    </row>
    <row r="431" spans="1:16" x14ac:dyDescent="0.25">
      <c r="A431">
        <f>'Front Page'!A432</f>
        <v>430</v>
      </c>
      <c r="B431" t="str">
        <f>'Front Page'!B432</f>
        <v xml:space="preserve">20.c.ps.114.516 </v>
      </c>
      <c r="C431" t="str">
        <f>'Front Page'!C432</f>
        <v xml:space="preserve">Martin Theatre, Inc. </v>
      </c>
      <c r="D431">
        <f>'Front Page'!E432</f>
        <v>57137</v>
      </c>
      <c r="E431" s="3">
        <f>ROUND('Front Page'!F432,4)</f>
        <v>86</v>
      </c>
      <c r="F431">
        <f t="shared" si="32"/>
        <v>49137.82</v>
      </c>
      <c r="G431">
        <f>IF((D431*(E431/100)*Sheet2!$B$4)&gt;1000,(D431*(E431/100)*Sheet2!$B$4),1000)</f>
        <v>9318.7146479226631</v>
      </c>
      <c r="M431">
        <f>IF(G431=1000,1000,(F431*Sheet2!$B$8))</f>
        <v>9303.5545034835177</v>
      </c>
      <c r="N431">
        <f t="shared" si="33"/>
        <v>9303.5545034835177</v>
      </c>
      <c r="O431">
        <f t="shared" si="34"/>
        <v>9303.5545034835177</v>
      </c>
      <c r="P431">
        <f t="shared" si="35"/>
        <v>9319</v>
      </c>
    </row>
    <row r="432" spans="1:16" x14ac:dyDescent="0.25">
      <c r="A432">
        <f>'Front Page'!A433</f>
        <v>431</v>
      </c>
      <c r="B432" t="str">
        <f>'Front Page'!B433</f>
        <v xml:space="preserve">20.c.ps.102.522 </v>
      </c>
      <c r="C432" t="str">
        <f>'Front Page'!C433</f>
        <v xml:space="preserve">The Palm Beach Symphony Society, Inc. </v>
      </c>
      <c r="D432">
        <f>'Front Page'!E433</f>
        <v>150000</v>
      </c>
      <c r="E432" s="3">
        <f>ROUND('Front Page'!F433,4)</f>
        <v>85.875</v>
      </c>
      <c r="F432">
        <f t="shared" si="32"/>
        <v>128812.5</v>
      </c>
      <c r="G432">
        <f>IF((D432*(E432/100)*Sheet2!$B$4)&gt;1000,(D432*(E432/100)*Sheet2!$B$4),1000)</f>
        <v>24428.575190872085</v>
      </c>
      <c r="M432">
        <f>IF(G432=1000,1000,(F432*Sheet2!$B$8))</f>
        <v>24388.833580325107</v>
      </c>
      <c r="N432">
        <f t="shared" si="33"/>
        <v>24388.833580325107</v>
      </c>
      <c r="O432">
        <f t="shared" si="34"/>
        <v>24388.833580325107</v>
      </c>
      <c r="P432">
        <f t="shared" si="35"/>
        <v>24404</v>
      </c>
    </row>
    <row r="433" spans="1:16" x14ac:dyDescent="0.25">
      <c r="A433">
        <f>'Front Page'!A434</f>
        <v>432</v>
      </c>
      <c r="B433" t="str">
        <f>'Front Page'!B434</f>
        <v xml:space="preserve">20.c.ps.114.055 </v>
      </c>
      <c r="C433" t="str">
        <f>'Front Page'!C434</f>
        <v xml:space="preserve">TL Tango Lovers Organization, Inc. </v>
      </c>
      <c r="D433">
        <f>'Front Page'!E434</f>
        <v>40000</v>
      </c>
      <c r="E433" s="3">
        <f>ROUND('Front Page'!F434,4)</f>
        <v>85.856999999999999</v>
      </c>
      <c r="F433">
        <f t="shared" si="32"/>
        <v>34342.799999999996</v>
      </c>
      <c r="G433">
        <f>IF((D433*(E433/100)*Sheet2!$B$4)&gt;1000,(D433*(E433/100)*Sheet2!$B$4),1000)</f>
        <v>6512.9212775552196</v>
      </c>
      <c r="M433">
        <f>IF(G433=1000,1000,(F433*Sheet2!$B$8))</f>
        <v>6502.3257361078231</v>
      </c>
      <c r="N433">
        <f t="shared" si="33"/>
        <v>6502.3257361078231</v>
      </c>
      <c r="O433">
        <f t="shared" si="34"/>
        <v>6502.3257361078231</v>
      </c>
      <c r="P433">
        <f t="shared" si="35"/>
        <v>6517</v>
      </c>
    </row>
    <row r="434" spans="1:16" x14ac:dyDescent="0.25">
      <c r="A434">
        <f>'Front Page'!A435</f>
        <v>433</v>
      </c>
      <c r="B434" t="str">
        <f>'Front Page'!B435</f>
        <v xml:space="preserve">20.c.ps.170.760 </v>
      </c>
      <c r="C434" t="str">
        <f>'Front Page'!C435</f>
        <v xml:space="preserve">Florida Keys History of Diving Museum, Inc. </v>
      </c>
      <c r="D434">
        <f>'Front Page'!E435</f>
        <v>24825</v>
      </c>
      <c r="E434" s="3">
        <f>ROUND('Front Page'!F435,4)</f>
        <v>85.713999999999999</v>
      </c>
      <c r="F434">
        <f t="shared" si="32"/>
        <v>21278.500500000002</v>
      </c>
      <c r="G434">
        <f>IF((D434*(E434/100)*Sheet2!$B$4)&gt;1000,(D434*(E434/100)*Sheet2!$B$4),1000)</f>
        <v>4035.3494374634392</v>
      </c>
      <c r="M434">
        <f>IF(G434=1000,1000,(F434*Sheet2!$B$8))</f>
        <v>4028.7845320397055</v>
      </c>
      <c r="N434">
        <f t="shared" si="33"/>
        <v>4028.7845320397055</v>
      </c>
      <c r="O434">
        <f t="shared" si="34"/>
        <v>4028.7845320397055</v>
      </c>
      <c r="P434">
        <f t="shared" si="35"/>
        <v>4044</v>
      </c>
    </row>
    <row r="435" spans="1:16" x14ac:dyDescent="0.25">
      <c r="A435">
        <f>'Front Page'!A436</f>
        <v>434</v>
      </c>
      <c r="B435" t="str">
        <f>'Front Page'!B436</f>
        <v xml:space="preserve">20.c.ps.600.060 </v>
      </c>
      <c r="C435" t="str">
        <f>'Front Page'!C436</f>
        <v xml:space="preserve">Florida Alliance for Arts Education, Inc. </v>
      </c>
      <c r="D435">
        <f>'Front Page'!E436</f>
        <v>40967</v>
      </c>
      <c r="E435" s="3">
        <f>ROUND('Front Page'!F436,4)</f>
        <v>85.667000000000002</v>
      </c>
      <c r="F435">
        <f t="shared" si="32"/>
        <v>35095.199890000004</v>
      </c>
      <c r="G435">
        <f>IF((D435*(E435/100)*Sheet2!$B$4)&gt;1000,(D435*(E435/100)*Sheet2!$B$4),1000)</f>
        <v>6655.6097378092245</v>
      </c>
      <c r="M435">
        <f>IF(G435=1000,1000,(F435*Sheet2!$B$8))</f>
        <v>6644.7820637395753</v>
      </c>
      <c r="N435">
        <f t="shared" si="33"/>
        <v>6644.7820637395753</v>
      </c>
      <c r="O435">
        <f t="shared" si="34"/>
        <v>6644.7820637395753</v>
      </c>
      <c r="P435">
        <f t="shared" si="35"/>
        <v>6660</v>
      </c>
    </row>
    <row r="436" spans="1:16" x14ac:dyDescent="0.25">
      <c r="A436">
        <f>'Front Page'!A437</f>
        <v>435</v>
      </c>
      <c r="B436" t="str">
        <f>'Front Page'!B437</f>
        <v xml:space="preserve">20.c.ps.114.187 </v>
      </c>
      <c r="C436" t="str">
        <f>'Front Page'!C437</f>
        <v xml:space="preserve">City of Homestead </v>
      </c>
      <c r="D436">
        <f>'Front Page'!E437</f>
        <v>125000</v>
      </c>
      <c r="E436" s="3">
        <f>ROUND('Front Page'!F437,4)</f>
        <v>85.570999999999998</v>
      </c>
      <c r="F436">
        <f t="shared" si="32"/>
        <v>106963.75</v>
      </c>
      <c r="G436">
        <f>IF((D436*(E436/100)*Sheet2!$B$4)&gt;1000,(D436*(E436/100)*Sheet2!$B$4),1000)</f>
        <v>20285.081102941436</v>
      </c>
      <c r="M436">
        <f>IF(G436=1000,1000,(F436*Sheet2!$B$8))</f>
        <v>20252.080332867536</v>
      </c>
      <c r="N436">
        <f t="shared" si="33"/>
        <v>20252.080332867536</v>
      </c>
      <c r="O436">
        <f t="shared" si="34"/>
        <v>20252.080332867536</v>
      </c>
      <c r="P436">
        <f t="shared" si="35"/>
        <v>20267</v>
      </c>
    </row>
    <row r="437" spans="1:16" x14ac:dyDescent="0.25">
      <c r="A437">
        <f>'Front Page'!A438</f>
        <v>436</v>
      </c>
      <c r="B437" t="str">
        <f>'Front Page'!B438</f>
        <v xml:space="preserve">20.c.ps.114.053 </v>
      </c>
      <c r="C437" t="str">
        <f>'Front Page'!C438</f>
        <v xml:space="preserve">Academia de las Luminarias de las Bellas Artes, Inc.  </v>
      </c>
      <c r="D437">
        <f>'Front Page'!E438</f>
        <v>11500</v>
      </c>
      <c r="E437" s="3">
        <f>ROUND('Front Page'!F438,4)</f>
        <v>85.570999999999998</v>
      </c>
      <c r="F437">
        <f t="shared" si="32"/>
        <v>9840.6649999999991</v>
      </c>
      <c r="G437">
        <f>IF((D437*(E437/100)*Sheet2!$B$4)&gt;1000,(D437*(E437/100)*Sheet2!$B$4),1000)</f>
        <v>1866.2274614706121</v>
      </c>
      <c r="M437">
        <f>IF(G437=1000,1000,(F437*Sheet2!$B$8))</f>
        <v>1863.191390623813</v>
      </c>
      <c r="N437">
        <f t="shared" si="33"/>
        <v>1863.191390623813</v>
      </c>
      <c r="O437">
        <f t="shared" si="34"/>
        <v>1863.191390623813</v>
      </c>
      <c r="P437">
        <f t="shared" si="35"/>
        <v>1878</v>
      </c>
    </row>
    <row r="438" spans="1:16" x14ac:dyDescent="0.25">
      <c r="A438">
        <f>'Front Page'!A439</f>
        <v>437</v>
      </c>
      <c r="B438" t="str">
        <f>'Front Page'!B439</f>
        <v xml:space="preserve">20.c.ps.170.261 </v>
      </c>
      <c r="C438" t="str">
        <f>'Front Page'!C439</f>
        <v xml:space="preserve">McKee Botanical Garden, Inc. </v>
      </c>
      <c r="D438">
        <f>'Front Page'!E439</f>
        <v>124725</v>
      </c>
      <c r="E438" s="3">
        <f>ROUND('Front Page'!F439,4)</f>
        <v>85.429000000000002</v>
      </c>
      <c r="F438">
        <f t="shared" si="32"/>
        <v>106551.32025</v>
      </c>
      <c r="G438">
        <f>IF((D438*(E438/100)*Sheet2!$B$4)&gt;1000,(D438*(E438/100)*Sheet2!$B$4),1000)</f>
        <v>20206.866091519198</v>
      </c>
      <c r="M438">
        <f>IF(G438=1000,1000,(F438*Sheet2!$B$8))</f>
        <v>20173.992565482189</v>
      </c>
      <c r="N438">
        <f t="shared" si="33"/>
        <v>20173.992565482189</v>
      </c>
      <c r="O438">
        <f t="shared" si="34"/>
        <v>20173.992565482189</v>
      </c>
      <c r="P438">
        <f t="shared" si="35"/>
        <v>20189</v>
      </c>
    </row>
    <row r="439" spans="1:16" x14ac:dyDescent="0.25">
      <c r="A439">
        <f>'Front Page'!A440</f>
        <v>438</v>
      </c>
      <c r="B439" t="str">
        <f>'Front Page'!B440</f>
        <v xml:space="preserve">20.c.ps.114.202 </v>
      </c>
      <c r="C439" t="str">
        <f>'Front Page'!C440</f>
        <v xml:space="preserve">Arts Alive Nassau, Inc. </v>
      </c>
      <c r="D439">
        <f>'Front Page'!E440</f>
        <v>15825</v>
      </c>
      <c r="E439" s="3">
        <f>ROUND('Front Page'!F440,4)</f>
        <v>85.429000000000002</v>
      </c>
      <c r="F439">
        <f t="shared" si="32"/>
        <v>13519.13925</v>
      </c>
      <c r="G439">
        <f>IF((D439*(E439/100)*Sheet2!$B$4)&gt;1000,(D439*(E439/100)*Sheet2!$B$4),1000)</f>
        <v>2563.8296724657548</v>
      </c>
      <c r="M439">
        <f>IF(G439=1000,1000,(F439*Sheet2!$B$8))</f>
        <v>2559.6587079475298</v>
      </c>
      <c r="N439">
        <f t="shared" si="33"/>
        <v>2559.6587079475298</v>
      </c>
      <c r="O439">
        <f t="shared" si="34"/>
        <v>2559.6587079475298</v>
      </c>
      <c r="P439">
        <f t="shared" si="35"/>
        <v>2575</v>
      </c>
    </row>
    <row r="440" spans="1:16" x14ac:dyDescent="0.25">
      <c r="A440">
        <f>'Front Page'!A441</f>
        <v>439</v>
      </c>
      <c r="B440" t="str">
        <f>'Front Page'!B441</f>
        <v xml:space="preserve">20.c.ps.114.102 </v>
      </c>
      <c r="C440" t="str">
        <f>'Front Page'!C441</f>
        <v xml:space="preserve">Deland Fall Festival of the Arts, Inc. </v>
      </c>
      <c r="D440">
        <f>'Front Page'!E441</f>
        <v>40000</v>
      </c>
      <c r="E440" s="3">
        <f>ROUND('Front Page'!F441,4)</f>
        <v>85.429000000000002</v>
      </c>
      <c r="F440">
        <f t="shared" si="32"/>
        <v>34171.599999999999</v>
      </c>
      <c r="G440">
        <f>IF((D440*(E440/100)*Sheet2!$B$4)&gt;1000,(D440*(E440/100)*Sheet2!$B$4),1000)</f>
        <v>6480.4541484126503</v>
      </c>
      <c r="M440">
        <f>IF(G440=1000,1000,(F440*Sheet2!$B$8))</f>
        <v>6469.9114260917013</v>
      </c>
      <c r="N440">
        <f t="shared" si="33"/>
        <v>6469.9114260917013</v>
      </c>
      <c r="O440">
        <f t="shared" si="34"/>
        <v>6469.9114260917013</v>
      </c>
      <c r="P440">
        <f t="shared" si="35"/>
        <v>6485</v>
      </c>
    </row>
    <row r="441" spans="1:16" x14ac:dyDescent="0.25">
      <c r="A441">
        <f>'Front Page'!A442</f>
        <v>440</v>
      </c>
      <c r="B441" t="str">
        <f>'Front Page'!B442</f>
        <v xml:space="preserve">20.c.ps.180.450 </v>
      </c>
      <c r="C441" t="str">
        <f>'Front Page'!C442</f>
        <v xml:space="preserve">Les Demerle Amelia Island Jazz Festival, Inc </v>
      </c>
      <c r="D441">
        <f>'Front Page'!E442</f>
        <v>20711</v>
      </c>
      <c r="E441" s="3">
        <f>ROUND('Front Page'!F442,4)</f>
        <v>85.332999999999998</v>
      </c>
      <c r="F441">
        <f t="shared" si="32"/>
        <v>17673.317630000001</v>
      </c>
      <c r="G441">
        <f>IF((D441*(E441/100)*Sheet2!$B$4)&gt;1000,(D441*(E441/100)*Sheet2!$B$4),1000)</f>
        <v>3351.6465296195652</v>
      </c>
      <c r="M441">
        <f>IF(G441=1000,1000,(F441*Sheet2!$B$8))</f>
        <v>3346.1939057956001</v>
      </c>
      <c r="N441">
        <f t="shared" si="33"/>
        <v>3346.1939057956001</v>
      </c>
      <c r="O441">
        <f t="shared" si="34"/>
        <v>3346.1939057956001</v>
      </c>
      <c r="P441">
        <f t="shared" si="35"/>
        <v>3361</v>
      </c>
    </row>
    <row r="442" spans="1:16" x14ac:dyDescent="0.25">
      <c r="A442">
        <f>'Front Page'!A443</f>
        <v>441</v>
      </c>
      <c r="B442" t="str">
        <f>'Front Page'!B443</f>
        <v xml:space="preserve">20.c.ps.114.159 </v>
      </c>
      <c r="C442" t="str">
        <f>'Front Page'!C443</f>
        <v xml:space="preserve">Village of Wellington </v>
      </c>
      <c r="D442">
        <f>'Front Page'!E443</f>
        <v>150000</v>
      </c>
      <c r="E442" s="3">
        <f>ROUND('Front Page'!F443,4)</f>
        <v>85.286000000000001</v>
      </c>
      <c r="F442">
        <f t="shared" si="32"/>
        <v>127929.00000000001</v>
      </c>
      <c r="G442">
        <f>IF((D442*(E442/100)*Sheet2!$B$4)&gt;1000,(D442*(E442/100)*Sheet2!$B$4),1000)</f>
        <v>24261.024322896264</v>
      </c>
      <c r="M442">
        <f>IF(G442=1000,1000,(F442*Sheet2!$B$8))</f>
        <v>24221.555292362238</v>
      </c>
      <c r="N442">
        <f t="shared" si="33"/>
        <v>24221.555292362238</v>
      </c>
      <c r="O442">
        <f t="shared" si="34"/>
        <v>24221.555292362238</v>
      </c>
      <c r="P442">
        <f t="shared" si="35"/>
        <v>24237</v>
      </c>
    </row>
    <row r="443" spans="1:16" x14ac:dyDescent="0.25">
      <c r="A443">
        <f>'Front Page'!A444</f>
        <v>442</v>
      </c>
      <c r="B443" t="str">
        <f>'Front Page'!B444</f>
        <v xml:space="preserve">20.c.ps.114.371 </v>
      </c>
      <c r="C443" t="str">
        <f>'Front Page'!C444</f>
        <v xml:space="preserve">Friends of Carrollwood Cultural Center, Inc. </v>
      </c>
      <c r="D443">
        <f>'Front Page'!E444</f>
        <v>85000</v>
      </c>
      <c r="E443" s="3">
        <f>ROUND('Front Page'!F444,4)</f>
        <v>85.286000000000001</v>
      </c>
      <c r="F443">
        <f t="shared" si="32"/>
        <v>72493.100000000006</v>
      </c>
      <c r="G443">
        <f>IF((D443*(E443/100)*Sheet2!$B$4)&gt;1000,(D443*(E443/100)*Sheet2!$B$4),1000)</f>
        <v>13747.91378297455</v>
      </c>
      <c r="M443">
        <f>IF(G443=1000,1000,(F443*Sheet2!$B$8))</f>
        <v>13725.547999005268</v>
      </c>
      <c r="N443">
        <f t="shared" si="33"/>
        <v>13725.547999005268</v>
      </c>
      <c r="O443">
        <f t="shared" si="34"/>
        <v>13725.547999005268</v>
      </c>
      <c r="P443">
        <f t="shared" si="35"/>
        <v>13740</v>
      </c>
    </row>
    <row r="444" spans="1:16" x14ac:dyDescent="0.25">
      <c r="A444">
        <f>'Front Page'!A445</f>
        <v>443</v>
      </c>
      <c r="B444" t="str">
        <f>'Front Page'!B445</f>
        <v xml:space="preserve">20.c.ps.170.448 </v>
      </c>
      <c r="C444" t="str">
        <f>'Front Page'!C445</f>
        <v xml:space="preserve">Valiant Air Command, Inc. </v>
      </c>
      <c r="D444">
        <f>'Front Page'!E445</f>
        <v>64600</v>
      </c>
      <c r="E444" s="3">
        <f>ROUND('Front Page'!F445,4)</f>
        <v>85.143000000000001</v>
      </c>
      <c r="F444">
        <f t="shared" si="32"/>
        <v>55002.378000000004</v>
      </c>
      <c r="G444">
        <f>IF((D444*(E444/100)*Sheet2!$B$4)&gt;1000,(D444*(E444/100)*Sheet2!$B$4),1000)</f>
        <v>10430.895500434885</v>
      </c>
      <c r="M444">
        <f>IF(G444=1000,1000,(F444*Sheet2!$B$8))</f>
        <v>10413.926005349907</v>
      </c>
      <c r="N444">
        <f t="shared" si="33"/>
        <v>10413.926005349907</v>
      </c>
      <c r="O444">
        <f t="shared" si="34"/>
        <v>10413.926005349907</v>
      </c>
      <c r="P444">
        <f t="shared" si="35"/>
        <v>10429</v>
      </c>
    </row>
    <row r="445" spans="1:16" x14ac:dyDescent="0.25">
      <c r="A445">
        <f>'Front Page'!A446</f>
        <v>444</v>
      </c>
      <c r="B445" t="str">
        <f>'Front Page'!B446</f>
        <v xml:space="preserve">20.c.ps.500.318 </v>
      </c>
      <c r="C445" t="str">
        <f>'Front Page'!C446</f>
        <v xml:space="preserve">St. Johns County Cultural Council, Inc. </v>
      </c>
      <c r="D445">
        <f>'Front Page'!E446</f>
        <v>120000</v>
      </c>
      <c r="E445" s="3">
        <f>ROUND('Front Page'!F446,4)</f>
        <v>84.832999999999998</v>
      </c>
      <c r="F445">
        <f t="shared" si="32"/>
        <v>101799.6</v>
      </c>
      <c r="G445">
        <f>IF((D445*(E445/100)*Sheet2!$B$4)&gt;1000,(D445*(E445/100)*Sheet2!$B$4),1000)</f>
        <v>19305.728737511516</v>
      </c>
      <c r="M445">
        <f>IF(G445=1000,1000,(F445*Sheet2!$B$8))</f>
        <v>19274.321226151682</v>
      </c>
      <c r="N445">
        <f t="shared" si="33"/>
        <v>19274.321226151682</v>
      </c>
      <c r="O445">
        <f t="shared" si="34"/>
        <v>19274.321226151682</v>
      </c>
      <c r="P445">
        <f t="shared" si="35"/>
        <v>19289</v>
      </c>
    </row>
    <row r="446" spans="1:16" x14ac:dyDescent="0.25">
      <c r="A446">
        <f>'Front Page'!A447</f>
        <v>445</v>
      </c>
      <c r="B446" t="str">
        <f>'Front Page'!B447</f>
        <v xml:space="preserve">20.c.ps.105.568 </v>
      </c>
      <c r="C446" t="str">
        <f>'Front Page'!C447</f>
        <v xml:space="preserve">Gainesville Fine Arts Association, Inc. </v>
      </c>
      <c r="D446">
        <f>'Front Page'!E447</f>
        <v>23550</v>
      </c>
      <c r="E446" s="3">
        <f>ROUND('Front Page'!F447,4)</f>
        <v>84.8</v>
      </c>
      <c r="F446">
        <f t="shared" si="32"/>
        <v>19970.399999999998</v>
      </c>
      <c r="G446">
        <f>IF((D446*(E446/100)*Sheet2!$B$4)&gt;1000,(D446*(E446/100)*Sheet2!$B$4),1000)</f>
        <v>3787.2754429251186</v>
      </c>
      <c r="M446">
        <f>IF(G446=1000,1000,(F446*Sheet2!$B$8))</f>
        <v>3781.1141165067397</v>
      </c>
      <c r="N446">
        <f t="shared" si="33"/>
        <v>3781.1141165067397</v>
      </c>
      <c r="O446">
        <f t="shared" si="34"/>
        <v>3781.1141165067397</v>
      </c>
      <c r="P446">
        <f t="shared" si="35"/>
        <v>3796</v>
      </c>
    </row>
    <row r="447" spans="1:16" x14ac:dyDescent="0.25">
      <c r="A447">
        <f>'Front Page'!A448</f>
        <v>446</v>
      </c>
      <c r="B447" t="str">
        <f>'Front Page'!B448</f>
        <v xml:space="preserve">20.c.ps.102.296 </v>
      </c>
      <c r="C447" t="str">
        <f>'Front Page'!C448</f>
        <v xml:space="preserve">Treasure Coast Community Singers, Inc. </v>
      </c>
      <c r="D447">
        <f>'Front Page'!E448</f>
        <v>14500</v>
      </c>
      <c r="E447" s="3">
        <f>ROUND('Front Page'!F448,4)</f>
        <v>84.6</v>
      </c>
      <c r="F447">
        <f t="shared" si="32"/>
        <v>12267</v>
      </c>
      <c r="G447">
        <f>IF((D447*(E447/100)*Sheet2!$B$4)&gt;1000,(D447*(E447/100)*Sheet2!$B$4),1000)</f>
        <v>2326.3684181770236</v>
      </c>
      <c r="M447">
        <f>IF(G447=1000,1000,(F447*Sheet2!$B$8))</f>
        <v>2322.5837673350652</v>
      </c>
      <c r="N447">
        <f t="shared" si="33"/>
        <v>2322.5837673350652</v>
      </c>
      <c r="O447">
        <f t="shared" si="34"/>
        <v>2322.5837673350652</v>
      </c>
      <c r="P447">
        <f t="shared" si="35"/>
        <v>2338</v>
      </c>
    </row>
    <row r="448" spans="1:16" x14ac:dyDescent="0.25">
      <c r="A448">
        <f>'Front Page'!A449</f>
        <v>447</v>
      </c>
      <c r="B448" t="str">
        <f>'Front Page'!B449</f>
        <v xml:space="preserve">20.c.ps.170.772 </v>
      </c>
      <c r="C448" t="str">
        <f>'Front Page'!C449</f>
        <v xml:space="preserve">Haitian Heritage Museum Corp. </v>
      </c>
      <c r="D448">
        <f>'Front Page'!E449</f>
        <v>10000</v>
      </c>
      <c r="E448" s="3">
        <f>ROUND('Front Page'!F449,4)</f>
        <v>84.5</v>
      </c>
      <c r="F448">
        <f t="shared" si="32"/>
        <v>8450</v>
      </c>
      <c r="G448">
        <f>IF((D448*(E448/100)*Sheet2!$B$4)&gt;1000,(D448*(E448/100)*Sheet2!$B$4),1000)</f>
        <v>1602.4955680766161</v>
      </c>
      <c r="M448">
        <f>IF(G448=1000,1000,(F448*Sheet2!$B$8))</f>
        <v>1599.8885492770278</v>
      </c>
      <c r="N448">
        <f t="shared" si="33"/>
        <v>1599.8885492770278</v>
      </c>
      <c r="O448">
        <f t="shared" si="34"/>
        <v>1599.8885492770278</v>
      </c>
      <c r="P448">
        <f t="shared" si="35"/>
        <v>1615</v>
      </c>
    </row>
    <row r="449" spans="1:16" x14ac:dyDescent="0.25">
      <c r="A449">
        <f>'Front Page'!A450</f>
        <v>448</v>
      </c>
      <c r="B449" t="str">
        <f>'Front Page'!B450</f>
        <v xml:space="preserve">20.c.ps.500.266 </v>
      </c>
      <c r="C449" t="str">
        <f>'Front Page'!C450</f>
        <v xml:space="preserve">United Arts Council of Collier County, Inc. </v>
      </c>
      <c r="D449">
        <f>'Front Page'!E450</f>
        <v>90000</v>
      </c>
      <c r="E449" s="3">
        <f>ROUND('Front Page'!F450,4)</f>
        <v>84.5</v>
      </c>
      <c r="F449">
        <f t="shared" si="32"/>
        <v>76050</v>
      </c>
      <c r="G449">
        <f>IF((D449*(E449/100)*Sheet2!$B$4)&gt;1000,(D449*(E449/100)*Sheet2!$B$4),1000)</f>
        <v>14422.460112689545</v>
      </c>
      <c r="M449">
        <f>IF(G449=1000,1000,(F449*Sheet2!$B$8))</f>
        <v>14398.99694349325</v>
      </c>
      <c r="N449">
        <f t="shared" si="33"/>
        <v>14398.99694349325</v>
      </c>
      <c r="O449">
        <f t="shared" si="34"/>
        <v>14398.99694349325</v>
      </c>
      <c r="P449">
        <f t="shared" si="35"/>
        <v>14414</v>
      </c>
    </row>
    <row r="450" spans="1:16" x14ac:dyDescent="0.25">
      <c r="A450">
        <f>'Front Page'!A451</f>
        <v>449</v>
      </c>
      <c r="B450" t="str">
        <f>'Front Page'!B451</f>
        <v xml:space="preserve">20.c.ps.114.560 </v>
      </c>
      <c r="C450" t="str">
        <f>'Front Page'!C451</f>
        <v xml:space="preserve">Algo Nuevo, Incorporated </v>
      </c>
      <c r="D450">
        <f>'Front Page'!E451</f>
        <v>5500</v>
      </c>
      <c r="E450" s="3">
        <f>ROUND('Front Page'!F451,4)</f>
        <v>84.429000000000002</v>
      </c>
      <c r="F450">
        <f t="shared" si="32"/>
        <v>4643.5950000000003</v>
      </c>
      <c r="G450">
        <f>IF((D450*(E450/100)*Sheet2!$B$4)&gt;1000,(D450*(E450/100)*Sheet2!$B$4),1000)</f>
        <v>1000</v>
      </c>
      <c r="M450">
        <f>IF(G450=1000,1000,(F450*Sheet2!$B$8))</f>
        <v>1000</v>
      </c>
      <c r="N450">
        <f t="shared" si="33"/>
        <v>1000</v>
      </c>
      <c r="O450">
        <f t="shared" si="34"/>
        <v>1000</v>
      </c>
      <c r="P450">
        <f t="shared" si="35"/>
        <v>1000</v>
      </c>
    </row>
    <row r="451" spans="1:16" x14ac:dyDescent="0.25">
      <c r="A451">
        <f>'Front Page'!A452</f>
        <v>450</v>
      </c>
      <c r="B451" t="str">
        <f>'Front Page'!B452</f>
        <v xml:space="preserve">20.c.ps.102.578 </v>
      </c>
      <c r="C451" t="str">
        <f>'Front Page'!C452</f>
        <v xml:space="preserve">ensemblenewSRQ </v>
      </c>
      <c r="D451">
        <f>'Front Page'!E452</f>
        <v>7374</v>
      </c>
      <c r="E451" s="3">
        <f>ROUND('Front Page'!F452,4)</f>
        <v>84.4</v>
      </c>
      <c r="F451">
        <f t="shared" si="32"/>
        <v>6223.6560000000009</v>
      </c>
      <c r="G451">
        <f>IF((D451*(E451/100)*Sheet2!$B$4)&gt;1000,(D451*(E451/100)*Sheet2!$B$4),1000)</f>
        <v>1180.2817937554369</v>
      </c>
      <c r="M451">
        <f>IF(G451=1000,1000,(F451*Sheet2!$B$8))</f>
        <v>1178.3616531407422</v>
      </c>
      <c r="N451">
        <f t="shared" si="33"/>
        <v>1178.3616531407422</v>
      </c>
      <c r="O451">
        <f t="shared" si="34"/>
        <v>1178.3616531407422</v>
      </c>
      <c r="P451">
        <f t="shared" si="35"/>
        <v>1193</v>
      </c>
    </row>
    <row r="452" spans="1:16" x14ac:dyDescent="0.25">
      <c r="A452">
        <f>'Front Page'!A453</f>
        <v>451</v>
      </c>
      <c r="B452" t="str">
        <f>'Front Page'!B453</f>
        <v xml:space="preserve">20.c.ps.102.583 </v>
      </c>
      <c r="C452" t="str">
        <f>'Front Page'!C453</f>
        <v xml:space="preserve">The Venice Symphony, Inc </v>
      </c>
      <c r="D452">
        <f>'Front Page'!E453</f>
        <v>50000</v>
      </c>
      <c r="E452" s="3">
        <f>ROUND('Front Page'!F453,4)</f>
        <v>84.375</v>
      </c>
      <c r="F452">
        <f t="shared" si="32"/>
        <v>42187.5</v>
      </c>
      <c r="G452">
        <f>IF((D452*(E452/100)*Sheet2!$B$4)&gt;1000,(D452*(E452/100)*Sheet2!$B$4),1000)</f>
        <v>8000.6250625126913</v>
      </c>
      <c r="M452">
        <f>IF(G452=1000,1000,(F452*Sheet2!$B$8))</f>
        <v>7987.6092511981788</v>
      </c>
      <c r="N452">
        <f t="shared" si="33"/>
        <v>7987.6092511981788</v>
      </c>
      <c r="O452">
        <f t="shared" si="34"/>
        <v>7987.6092511981788</v>
      </c>
      <c r="P452">
        <f t="shared" si="35"/>
        <v>8003</v>
      </c>
    </row>
    <row r="453" spans="1:16" x14ac:dyDescent="0.25">
      <c r="A453">
        <f>'Front Page'!A454</f>
        <v>452</v>
      </c>
      <c r="B453" t="str">
        <f>'Front Page'!B454</f>
        <v xml:space="preserve">20.c.ps.141.408 </v>
      </c>
      <c r="C453" t="str">
        <f>'Front Page'!C454</f>
        <v xml:space="preserve">SAMUEL M. AND HELENE SOREF, JEWISH COMMUNITY CENTER, INC. </v>
      </c>
      <c r="D453">
        <f>'Front Page'!E454</f>
        <v>8000</v>
      </c>
      <c r="E453" s="3">
        <f>ROUND('Front Page'!F454,4)</f>
        <v>84.286000000000001</v>
      </c>
      <c r="F453">
        <f t="shared" si="32"/>
        <v>6742.88</v>
      </c>
      <c r="G453">
        <f>IF((D453*(E453/100)*Sheet2!$B$4)&gt;1000,(D453*(E453/100)*Sheet2!$B$4),1000)</f>
        <v>1278.7497415470359</v>
      </c>
      <c r="M453">
        <f>IF(G453=1000,1000,(F453*Sheet2!$B$8))</f>
        <v>1276.6694084200101</v>
      </c>
      <c r="N453">
        <f t="shared" si="33"/>
        <v>1276.6694084200101</v>
      </c>
      <c r="O453">
        <f t="shared" si="34"/>
        <v>1276.6694084200101</v>
      </c>
      <c r="P453">
        <f t="shared" si="35"/>
        <v>1292</v>
      </c>
    </row>
    <row r="454" spans="1:16" x14ac:dyDescent="0.25">
      <c r="A454">
        <f>'Front Page'!A455</f>
        <v>453</v>
      </c>
      <c r="B454" t="str">
        <f>'Front Page'!B455</f>
        <v xml:space="preserve">20.c.ps.102.604 </v>
      </c>
      <c r="C454" t="str">
        <f>'Front Page'!C455</f>
        <v xml:space="preserve">Venice Chorale, Inc </v>
      </c>
      <c r="D454">
        <f>'Front Page'!E455</f>
        <v>9500</v>
      </c>
      <c r="E454" s="3">
        <f>ROUND('Front Page'!F455,4)</f>
        <v>84</v>
      </c>
      <c r="F454">
        <f t="shared" si="32"/>
        <v>7980</v>
      </c>
      <c r="G454">
        <f>IF((D454*(E454/100)*Sheet2!$B$4)&gt;1000,(D454*(E454/100)*Sheet2!$B$4),1000)</f>
        <v>1513.3626784912894</v>
      </c>
      <c r="M454">
        <f>IF(G454=1000,1000,(F454*Sheet2!$B$8))</f>
        <v>1510.9006654710865</v>
      </c>
      <c r="N454">
        <f t="shared" si="33"/>
        <v>1510.9006654710865</v>
      </c>
      <c r="O454">
        <f t="shared" si="34"/>
        <v>1510.9006654710865</v>
      </c>
      <c r="P454">
        <f t="shared" si="35"/>
        <v>1526</v>
      </c>
    </row>
    <row r="455" spans="1:16" x14ac:dyDescent="0.25">
      <c r="A455">
        <f>'Front Page'!A456</f>
        <v>454</v>
      </c>
      <c r="B455" t="str">
        <f>'Front Page'!B456</f>
        <v xml:space="preserve">20.c.ps.170.678 </v>
      </c>
      <c r="C455" t="str">
        <f>'Front Page'!C456</f>
        <v xml:space="preserve">Deerfield Beach Historical Society Inc </v>
      </c>
      <c r="D455">
        <f>'Front Page'!E456</f>
        <v>25698</v>
      </c>
      <c r="E455" s="3">
        <f>ROUND('Front Page'!F456,4)</f>
        <v>84</v>
      </c>
      <c r="F455">
        <f t="shared" si="32"/>
        <v>21586.32</v>
      </c>
      <c r="G455">
        <f>IF((D455*(E455/100)*Sheet2!$B$4)&gt;1000,(D455*(E455/100)*Sheet2!$B$4),1000)</f>
        <v>4093.725695986227</v>
      </c>
      <c r="M455">
        <f>IF(G455=1000,1000,(F455*Sheet2!$B$8))</f>
        <v>4087.0658211869454</v>
      </c>
      <c r="N455">
        <f t="shared" si="33"/>
        <v>4087.0658211869454</v>
      </c>
      <c r="O455">
        <f t="shared" si="34"/>
        <v>4087.0658211869454</v>
      </c>
      <c r="P455">
        <f t="shared" si="35"/>
        <v>4102</v>
      </c>
    </row>
    <row r="456" spans="1:16" x14ac:dyDescent="0.25">
      <c r="A456">
        <f>'Front Page'!A457</f>
        <v>455</v>
      </c>
      <c r="B456" t="str">
        <f>'Front Page'!B457</f>
        <v xml:space="preserve">20.c.ps.101.304 </v>
      </c>
      <c r="C456" t="str">
        <f>'Front Page'!C457</f>
        <v xml:space="preserve">Miami Dance Project, Inc. </v>
      </c>
      <c r="D456">
        <f>'Front Page'!E457</f>
        <v>40000</v>
      </c>
      <c r="E456" s="3">
        <f>ROUND('Front Page'!F457,4)</f>
        <v>84</v>
      </c>
      <c r="F456">
        <f t="shared" si="32"/>
        <v>33600</v>
      </c>
      <c r="G456">
        <f>IF((D456*(E456/100)*Sheet2!$B$4)&gt;1000,(D456*(E456/100)*Sheet2!$B$4),1000)</f>
        <v>6372.0533831212188</v>
      </c>
      <c r="M456">
        <f>IF(G456=1000,1000,(F456*Sheet2!$B$8))</f>
        <v>6361.6870125098385</v>
      </c>
      <c r="N456">
        <f t="shared" si="33"/>
        <v>6361.6870125098385</v>
      </c>
      <c r="O456">
        <f t="shared" si="34"/>
        <v>6361.6870125098385</v>
      </c>
      <c r="P456">
        <f t="shared" si="35"/>
        <v>6377</v>
      </c>
    </row>
    <row r="457" spans="1:16" x14ac:dyDescent="0.25">
      <c r="A457">
        <f>'Front Page'!A458</f>
        <v>456</v>
      </c>
      <c r="B457" t="str">
        <f>'Front Page'!B458</f>
        <v xml:space="preserve">20.c.ps.170.223 </v>
      </c>
      <c r="C457" t="str">
        <f>'Front Page'!C458</f>
        <v xml:space="preserve">Coral Gables Museum, Corp. </v>
      </c>
      <c r="D457">
        <f>'Front Page'!E458</f>
        <v>124170</v>
      </c>
      <c r="E457" s="3">
        <f>ROUND('Front Page'!F458,4)</f>
        <v>83.832999999999998</v>
      </c>
      <c r="F457">
        <f t="shared" si="32"/>
        <v>104095.43610000001</v>
      </c>
      <c r="G457">
        <f>IF((D457*(E457/100)*Sheet2!$B$4)&gt;1000,(D457*(E457/100)*Sheet2!$B$4),1000)</f>
        <v>19741.121302633444</v>
      </c>
      <c r="M457">
        <f>IF(G457=1000,1000,(F457*Sheet2!$B$8))</f>
        <v>19709.005473182078</v>
      </c>
      <c r="N457">
        <f t="shared" si="33"/>
        <v>19709.005473182078</v>
      </c>
      <c r="O457">
        <f t="shared" si="34"/>
        <v>19709.005473182078</v>
      </c>
      <c r="P457">
        <f t="shared" si="35"/>
        <v>19724</v>
      </c>
    </row>
    <row r="458" spans="1:16" x14ac:dyDescent="0.25">
      <c r="A458">
        <f>'Front Page'!A459</f>
        <v>457</v>
      </c>
      <c r="B458" t="str">
        <f>'Front Page'!B459</f>
        <v xml:space="preserve">20.c.ps.114.658 </v>
      </c>
      <c r="C458" t="str">
        <f>'Front Page'!C459</f>
        <v xml:space="preserve">City of Oakland Park </v>
      </c>
      <c r="D458">
        <f>'Front Page'!E459</f>
        <v>120000</v>
      </c>
      <c r="E458" s="3">
        <f>ROUND('Front Page'!F459,4)</f>
        <v>83.713999999999999</v>
      </c>
      <c r="F458">
        <f t="shared" si="32"/>
        <v>100456.8</v>
      </c>
      <c r="G458">
        <f>IF((D458*(E458/100)*Sheet2!$B$4)&gt;1000,(D458*(E458/100)*Sheet2!$B$4),1000)</f>
        <v>19051.074175521775</v>
      </c>
      <c r="M458">
        <f>IF(G458=1000,1000,(F458*Sheet2!$B$8))</f>
        <v>19020.080948758878</v>
      </c>
      <c r="N458">
        <f t="shared" si="33"/>
        <v>19020.080948758878</v>
      </c>
      <c r="O458">
        <f t="shared" si="34"/>
        <v>19020.080948758878</v>
      </c>
      <c r="P458">
        <f t="shared" si="35"/>
        <v>19035</v>
      </c>
    </row>
    <row r="459" spans="1:16" x14ac:dyDescent="0.25">
      <c r="A459">
        <f>'Front Page'!A460</f>
        <v>458</v>
      </c>
      <c r="B459" t="str">
        <f>'Front Page'!B460</f>
        <v xml:space="preserve">20.c.ps.114.253 </v>
      </c>
      <c r="C459" t="str">
        <f>'Front Page'!C460</f>
        <v xml:space="preserve">Creation Art Center Corporation </v>
      </c>
      <c r="D459">
        <f>'Front Page'!E460</f>
        <v>39000</v>
      </c>
      <c r="E459" s="3">
        <f>ROUND('Front Page'!F460,4)</f>
        <v>83.713999999999999</v>
      </c>
      <c r="F459">
        <f t="shared" si="32"/>
        <v>32648.46</v>
      </c>
      <c r="G459">
        <f>IF((D459*(E459/100)*Sheet2!$B$4)&gt;1000,(D459*(E459/100)*Sheet2!$B$4),1000)</f>
        <v>6191.5991070445771</v>
      </c>
      <c r="M459">
        <f>IF(G459=1000,1000,(F459*Sheet2!$B$8))</f>
        <v>6181.5263083466352</v>
      </c>
      <c r="N459">
        <f t="shared" si="33"/>
        <v>6181.5263083466352</v>
      </c>
      <c r="O459">
        <f t="shared" si="34"/>
        <v>6181.5263083466352</v>
      </c>
      <c r="P459">
        <f t="shared" si="35"/>
        <v>6196</v>
      </c>
    </row>
    <row r="460" spans="1:16" x14ac:dyDescent="0.25">
      <c r="A460">
        <f>'Front Page'!A461</f>
        <v>459</v>
      </c>
      <c r="B460" t="str">
        <f>'Front Page'!B461</f>
        <v xml:space="preserve">20.c.ps.102.730 </v>
      </c>
      <c r="C460" t="str">
        <f>'Front Page'!C461</f>
        <v xml:space="preserve">Florida Chamber Music Project, Inc. </v>
      </c>
      <c r="D460">
        <f>'Front Page'!E461</f>
        <v>14929</v>
      </c>
      <c r="E460" s="3">
        <f>ROUND('Front Page'!F461,4)</f>
        <v>83.6</v>
      </c>
      <c r="F460">
        <f t="shared" si="32"/>
        <v>12480.644</v>
      </c>
      <c r="G460">
        <f>IF((D460*(E460/100)*Sheet2!$B$4)&gt;1000,(D460*(E460/100)*Sheet2!$B$4),1000)</f>
        <v>2366.8848161824862</v>
      </c>
      <c r="M460">
        <f>IF(G460=1000,1000,(F460*Sheet2!$B$8))</f>
        <v>2363.0342512666321</v>
      </c>
      <c r="N460">
        <f t="shared" si="33"/>
        <v>2363.0342512666321</v>
      </c>
      <c r="O460">
        <f t="shared" si="34"/>
        <v>2363.0342512666321</v>
      </c>
      <c r="P460">
        <f t="shared" si="35"/>
        <v>2378</v>
      </c>
    </row>
    <row r="461" spans="1:16" x14ac:dyDescent="0.25">
      <c r="A461">
        <f>'Front Page'!A462</f>
        <v>460</v>
      </c>
      <c r="B461" t="str">
        <f>'Front Page'!B462</f>
        <v xml:space="preserve">20.c.ps.101.183 </v>
      </c>
      <c r="C461" t="str">
        <f>'Front Page'!C462</f>
        <v xml:space="preserve">Cuban Classical Ballet of Miami, Inc. </v>
      </c>
      <c r="D461">
        <f>'Front Page'!E462</f>
        <v>35000</v>
      </c>
      <c r="E461" s="3">
        <f>ROUND('Front Page'!F462,4)</f>
        <v>83.570999999999998</v>
      </c>
      <c r="F461">
        <f t="shared" si="32"/>
        <v>29249.85</v>
      </c>
      <c r="G461">
        <f>IF((D461*(E461/100)*Sheet2!$B$4)&gt;1000,(D461*(E461/100)*Sheet2!$B$4),1000)</f>
        <v>5547.0715966752432</v>
      </c>
      <c r="M461">
        <f>IF(G461=1000,1000,(F461*Sheet2!$B$8))</f>
        <v>5538.0473471089545</v>
      </c>
      <c r="N461">
        <f t="shared" si="33"/>
        <v>5538.0473471089545</v>
      </c>
      <c r="O461">
        <f t="shared" si="34"/>
        <v>5538.0473471089545</v>
      </c>
      <c r="P461">
        <f t="shared" si="35"/>
        <v>5553</v>
      </c>
    </row>
    <row r="462" spans="1:16" x14ac:dyDescent="0.25">
      <c r="A462">
        <f>'Front Page'!A463</f>
        <v>461</v>
      </c>
      <c r="B462" t="str">
        <f>'Front Page'!B463</f>
        <v xml:space="preserve">20.c.ps.170.221 </v>
      </c>
      <c r="C462" t="str">
        <f>'Front Page'!C463</f>
        <v xml:space="preserve">Florida International University Foundation, Inc. </v>
      </c>
      <c r="D462">
        <f>'Front Page'!E463</f>
        <v>95451</v>
      </c>
      <c r="E462" s="3">
        <f>ROUND('Front Page'!F463,4)</f>
        <v>83.5</v>
      </c>
      <c r="F462">
        <f t="shared" si="32"/>
        <v>79701.584999999992</v>
      </c>
      <c r="G462">
        <f>IF((D462*(E462/100)*Sheet2!$B$4)&gt;1000,(D462*(E462/100)*Sheet2!$B$4),1000)</f>
        <v>15114.962926767064</v>
      </c>
      <c r="M462">
        <f>IF(G462=1000,1000,(F462*Sheet2!$B$8))</f>
        <v>15090.373159849669</v>
      </c>
      <c r="N462">
        <f t="shared" si="33"/>
        <v>15090.373159849669</v>
      </c>
      <c r="O462">
        <f t="shared" si="34"/>
        <v>15090.373159849669</v>
      </c>
      <c r="P462">
        <f t="shared" si="35"/>
        <v>15105</v>
      </c>
    </row>
    <row r="463" spans="1:16" x14ac:dyDescent="0.25">
      <c r="A463">
        <f>'Front Page'!A464</f>
        <v>462</v>
      </c>
      <c r="B463" t="str">
        <f>'Front Page'!B464</f>
        <v xml:space="preserve">20.c.ps.102.389 </v>
      </c>
      <c r="C463" t="str">
        <f>'Front Page'!C464</f>
        <v xml:space="preserve">Delray Beach Chorale, Inc. </v>
      </c>
      <c r="D463">
        <f>'Front Page'!E464</f>
        <v>12900</v>
      </c>
      <c r="E463" s="3">
        <f>ROUND('Front Page'!F464,4)</f>
        <v>83.2</v>
      </c>
      <c r="F463">
        <f t="shared" si="32"/>
        <v>10732.800000000001</v>
      </c>
      <c r="G463">
        <f>IF((D463*(E463/100)*Sheet2!$B$4)&gt;1000,(D463*(E463/100)*Sheet2!$B$4),1000)</f>
        <v>2035.4159092370066</v>
      </c>
      <c r="M463">
        <f>IF(G463=1000,1000,(F463*Sheet2!$B$8))</f>
        <v>2032.1045942817143</v>
      </c>
      <c r="N463">
        <f t="shared" si="33"/>
        <v>2032.1045942817143</v>
      </c>
      <c r="O463">
        <f t="shared" si="34"/>
        <v>2032.1045942817143</v>
      </c>
      <c r="P463">
        <f t="shared" si="35"/>
        <v>2047</v>
      </c>
    </row>
    <row r="464" spans="1:16" x14ac:dyDescent="0.25">
      <c r="A464">
        <f>'Front Page'!A465</f>
        <v>463</v>
      </c>
      <c r="B464" t="str">
        <f>'Front Page'!B465</f>
        <v xml:space="preserve">20.c.ps.114.587 </v>
      </c>
      <c r="C464" t="str">
        <f>'Front Page'!C465</f>
        <v xml:space="preserve">Village of Royal Palm Beach </v>
      </c>
      <c r="D464">
        <f>'Front Page'!E465</f>
        <v>150000</v>
      </c>
      <c r="E464" s="3">
        <f>ROUND('Front Page'!F465,4)</f>
        <v>83.143000000000001</v>
      </c>
      <c r="F464">
        <f t="shared" si="32"/>
        <v>124714.5</v>
      </c>
      <c r="G464">
        <f>IF((D464*(E464/100)*Sheet2!$B$4)&gt;1000,(D464*(E464/100)*Sheet2!$B$4),1000)</f>
        <v>23651.412251466409</v>
      </c>
      <c r="M464">
        <f>IF(G464=1000,1000,(F464*Sheet2!$B$8))</f>
        <v>23612.934967906494</v>
      </c>
      <c r="N464">
        <f t="shared" si="33"/>
        <v>23612.934967906494</v>
      </c>
      <c r="O464">
        <f t="shared" si="34"/>
        <v>23612.934967906494</v>
      </c>
      <c r="P464">
        <f t="shared" si="35"/>
        <v>23628</v>
      </c>
    </row>
    <row r="465" spans="1:16" x14ac:dyDescent="0.25">
      <c r="A465">
        <f>'Front Page'!A466</f>
        <v>464</v>
      </c>
      <c r="B465" t="str">
        <f>'Front Page'!B466</f>
        <v xml:space="preserve">20.c.ps.141.540 </v>
      </c>
      <c r="C465" t="str">
        <f>'Front Page'!C466</f>
        <v xml:space="preserve">Artmonia Inc. </v>
      </c>
      <c r="D465">
        <f>'Front Page'!E466</f>
        <v>4600</v>
      </c>
      <c r="E465" s="3">
        <f>ROUND('Front Page'!F466,4)</f>
        <v>83</v>
      </c>
      <c r="F465">
        <f t="shared" si="32"/>
        <v>3818</v>
      </c>
      <c r="G465">
        <f>IF((D465*(E465/100)*Sheet2!$B$4)&gt;1000,(D465*(E465/100)*Sheet2!$B$4),1000)</f>
        <v>1000</v>
      </c>
      <c r="M465">
        <f>IF(G465=1000,1000,(F465*Sheet2!$B$8))</f>
        <v>1000</v>
      </c>
      <c r="N465">
        <f t="shared" si="33"/>
        <v>1000</v>
      </c>
      <c r="O465">
        <f t="shared" si="34"/>
        <v>1000</v>
      </c>
      <c r="P465">
        <f t="shared" si="35"/>
        <v>1000</v>
      </c>
    </row>
    <row r="466" spans="1:16" x14ac:dyDescent="0.25">
      <c r="A466">
        <f>'Front Page'!A467</f>
        <v>465</v>
      </c>
      <c r="B466" t="str">
        <f>'Front Page'!B467</f>
        <v xml:space="preserve">20.c.ps.170.300 </v>
      </c>
      <c r="C466" t="str">
        <f>'Front Page'!C467</f>
        <v xml:space="preserve">Historical Society of Martin County, Inc.   </v>
      </c>
      <c r="D466">
        <f>'Front Page'!E467</f>
        <v>108779</v>
      </c>
      <c r="E466" s="3">
        <f>ROUND('Front Page'!F467,4)</f>
        <v>82.856999999999999</v>
      </c>
      <c r="F466">
        <f t="shared" si="32"/>
        <v>90131.016029999999</v>
      </c>
      <c r="G466">
        <f>IF((D466*(E466/100)*Sheet2!$B$4)&gt;1000,(D466*(E466/100)*Sheet2!$B$4),1000)</f>
        <v>17092.846595777213</v>
      </c>
      <c r="M466">
        <f>IF(G466=1000,1000,(F466*Sheet2!$B$8))</f>
        <v>17065.039110189497</v>
      </c>
      <c r="N466">
        <f t="shared" si="33"/>
        <v>17065.039110189497</v>
      </c>
      <c r="O466">
        <f t="shared" si="34"/>
        <v>17065.039110189497</v>
      </c>
      <c r="P466">
        <f t="shared" si="35"/>
        <v>17080</v>
      </c>
    </row>
    <row r="467" spans="1:16" x14ac:dyDescent="0.25">
      <c r="A467">
        <f>'Front Page'!A468</f>
        <v>466</v>
      </c>
      <c r="B467" t="str">
        <f>'Front Page'!B468</f>
        <v xml:space="preserve">20.c.ps.101.220 </v>
      </c>
      <c r="C467" t="str">
        <f>'Front Page'!C468</f>
        <v xml:space="preserve">S &amp; L Dance Corporation (DBA The Perla Ballet School) </v>
      </c>
      <c r="D467">
        <f>'Front Page'!E468</f>
        <v>5000</v>
      </c>
      <c r="E467" s="3">
        <f>ROUND('Front Page'!F468,4)</f>
        <v>82.713999999999999</v>
      </c>
      <c r="F467">
        <f t="shared" si="32"/>
        <v>4135.7</v>
      </c>
      <c r="G467">
        <f>IF((D467*(E467/100)*Sheet2!$B$4)&gt;1000,(D467*(E467/100)*Sheet2!$B$4),1000)</f>
        <v>1000</v>
      </c>
      <c r="M467">
        <f>IF(G467=1000,1000,(F467*Sheet2!$B$8))</f>
        <v>1000</v>
      </c>
      <c r="N467">
        <f t="shared" si="33"/>
        <v>1000</v>
      </c>
      <c r="O467">
        <f t="shared" si="34"/>
        <v>1000</v>
      </c>
      <c r="P467">
        <f t="shared" si="35"/>
        <v>1000</v>
      </c>
    </row>
    <row r="468" spans="1:16" x14ac:dyDescent="0.25">
      <c r="A468">
        <f>'Front Page'!A469</f>
        <v>467</v>
      </c>
      <c r="B468" t="str">
        <f>'Front Page'!B469</f>
        <v xml:space="preserve">20.c.ps.114.586 </v>
      </c>
      <c r="C468" t="str">
        <f>'Front Page'!C469</f>
        <v xml:space="preserve">City of Riviera Beach </v>
      </c>
      <c r="D468">
        <f>'Front Page'!E469</f>
        <v>25000</v>
      </c>
      <c r="E468" s="3">
        <f>ROUND('Front Page'!F469,4)</f>
        <v>82.713999999999999</v>
      </c>
      <c r="F468">
        <f t="shared" si="32"/>
        <v>20678.5</v>
      </c>
      <c r="G468">
        <f>IF((D468*(E468/100)*Sheet2!$B$4)&gt;1000,(D468*(E468/100)*Sheet2!$B$4),1000)</f>
        <v>3921.5626750854799</v>
      </c>
      <c r="M468">
        <f>IF(G468=1000,1000,(F468*Sheet2!$B$8))</f>
        <v>3915.1828835769252</v>
      </c>
      <c r="N468">
        <f t="shared" si="33"/>
        <v>3915.1828835769252</v>
      </c>
      <c r="O468">
        <f t="shared" si="34"/>
        <v>3915.1828835769252</v>
      </c>
      <c r="P468">
        <f t="shared" si="35"/>
        <v>3930</v>
      </c>
    </row>
    <row r="469" spans="1:16" x14ac:dyDescent="0.25">
      <c r="A469">
        <f>'Front Page'!A470</f>
        <v>468</v>
      </c>
      <c r="B469" t="str">
        <f>'Front Page'!B470</f>
        <v xml:space="preserve">20.c.ps.180.353 </v>
      </c>
      <c r="C469" t="str">
        <f>'Front Page'!C470</f>
        <v xml:space="preserve">Jewish Federation of Pinellas &amp; Pasco Counties, FL, Inc. </v>
      </c>
      <c r="D469">
        <f>'Front Page'!E470</f>
        <v>100850</v>
      </c>
      <c r="E469" s="3">
        <f>ROUND('Front Page'!F470,4)</f>
        <v>82.332999999999998</v>
      </c>
      <c r="F469">
        <f t="shared" si="32"/>
        <v>83032.830499999996</v>
      </c>
      <c r="G469">
        <f>IF((D469*(E469/100)*Sheet2!$B$4)&gt;1000,(D469*(E469/100)*Sheet2!$B$4),1000)</f>
        <v>15746.715133858801</v>
      </c>
      <c r="M469">
        <f>IF(G469=1000,1000,(F469*Sheet2!$B$8))</f>
        <v>15721.097601302998</v>
      </c>
      <c r="N469">
        <f t="shared" si="33"/>
        <v>15721.097601302998</v>
      </c>
      <c r="O469">
        <f t="shared" si="34"/>
        <v>15721.097601302998</v>
      </c>
      <c r="P469">
        <f t="shared" si="35"/>
        <v>15736</v>
      </c>
    </row>
    <row r="470" spans="1:16" x14ac:dyDescent="0.25">
      <c r="A470">
        <f>'Front Page'!A471</f>
        <v>469</v>
      </c>
      <c r="B470" t="str">
        <f>'Front Page'!B471</f>
        <v xml:space="preserve">20.c.ps.109.633 </v>
      </c>
      <c r="C470" t="str">
        <f>'Front Page'!C471</f>
        <v xml:space="preserve">Tampa Educational Cable Consortium, Inc. </v>
      </c>
      <c r="D470">
        <f>'Front Page'!E471</f>
        <v>81600</v>
      </c>
      <c r="E470" s="3">
        <f>ROUND('Front Page'!F471,4)</f>
        <v>82.25</v>
      </c>
      <c r="F470">
        <f t="shared" si="32"/>
        <v>67116</v>
      </c>
      <c r="G470">
        <f>IF((D470*(E470/100)*Sheet2!$B$4)&gt;1000,(D470*(E470/100)*Sheet2!$B$4),1000)</f>
        <v>12728.176632784634</v>
      </c>
      <c r="M470">
        <f>IF(G470=1000,1000,(F470*Sheet2!$B$8))</f>
        <v>12707.469807488402</v>
      </c>
      <c r="N470">
        <f t="shared" si="33"/>
        <v>12707.469807488402</v>
      </c>
      <c r="O470">
        <f t="shared" si="34"/>
        <v>12707.469807488402</v>
      </c>
      <c r="P470">
        <f t="shared" si="35"/>
        <v>12722</v>
      </c>
    </row>
    <row r="471" spans="1:16" x14ac:dyDescent="0.25">
      <c r="A471">
        <f>'Front Page'!A472</f>
        <v>470</v>
      </c>
      <c r="B471" t="str">
        <f>'Front Page'!B472</f>
        <v xml:space="preserve">20.c.ps.102.620 </v>
      </c>
      <c r="C471" t="str">
        <f>'Front Page'!C472</f>
        <v xml:space="preserve">Community Arts and Culture, Inc. </v>
      </c>
      <c r="D471">
        <f>'Front Page'!E472</f>
        <v>12279</v>
      </c>
      <c r="E471" s="3">
        <f>ROUND('Front Page'!F472,4)</f>
        <v>82.2</v>
      </c>
      <c r="F471">
        <f t="shared" si="32"/>
        <v>10093.338000000002</v>
      </c>
      <c r="G471">
        <f>IF((D471*(E471/100)*Sheet2!$B$4)&gt;1000,(D471*(E471/100)*Sheet2!$B$4),1000)</f>
        <v>1914.14549255613</v>
      </c>
      <c r="M471">
        <f>IF(G471=1000,1000,(F471*Sheet2!$B$8))</f>
        <v>1911.0314662938106</v>
      </c>
      <c r="N471">
        <f t="shared" si="33"/>
        <v>1911.0314662938106</v>
      </c>
      <c r="O471">
        <f t="shared" si="34"/>
        <v>1911.0314662938106</v>
      </c>
      <c r="P471">
        <f t="shared" si="35"/>
        <v>1926</v>
      </c>
    </row>
    <row r="472" spans="1:16" x14ac:dyDescent="0.25">
      <c r="A472">
        <f>'Front Page'!A473</f>
        <v>471</v>
      </c>
      <c r="B472" t="str">
        <f>'Front Page'!B473</f>
        <v xml:space="preserve">20.c.ps.500.172 </v>
      </c>
      <c r="C472" t="str">
        <f>'Front Page'!C473</f>
        <v xml:space="preserve">Osceola Arts, Inc. </v>
      </c>
      <c r="D472">
        <f>'Front Page'!E473</f>
        <v>118500</v>
      </c>
      <c r="E472" s="3">
        <f>ROUND('Front Page'!F473,4)</f>
        <v>82</v>
      </c>
      <c r="F472">
        <f t="shared" si="32"/>
        <v>97170</v>
      </c>
      <c r="G472">
        <f>IF((D472*(E472/100)*Sheet2!$B$4)&gt;1000,(D472*(E472/100)*Sheet2!$B$4),1000)</f>
        <v>18427.750810651454</v>
      </c>
      <c r="M472">
        <f>IF(G472=1000,1000,(F472*Sheet2!$B$8))</f>
        <v>18397.771637070862</v>
      </c>
      <c r="N472">
        <f t="shared" si="33"/>
        <v>18397.771637070862</v>
      </c>
      <c r="O472">
        <f t="shared" si="34"/>
        <v>18397.771637070862</v>
      </c>
      <c r="P472">
        <f t="shared" si="35"/>
        <v>18413</v>
      </c>
    </row>
    <row r="473" spans="1:16" x14ac:dyDescent="0.25">
      <c r="A473">
        <f>'Front Page'!A474</f>
        <v>472</v>
      </c>
      <c r="B473" t="str">
        <f>'Front Page'!B474</f>
        <v xml:space="preserve">20.c.ps.170.616 </v>
      </c>
      <c r="C473" t="str">
        <f>'Front Page'!C474</f>
        <v xml:space="preserve">Friends of Chinsegut Hill, Inc </v>
      </c>
      <c r="D473">
        <f>'Front Page'!E474</f>
        <v>19150</v>
      </c>
      <c r="E473" s="3">
        <f>ROUND('Front Page'!F474,4)</f>
        <v>81.832999999999998</v>
      </c>
      <c r="F473">
        <f t="shared" si="32"/>
        <v>15671.0195</v>
      </c>
      <c r="G473">
        <f>IF((D473*(E473/100)*Sheet2!$B$4)&gt;1000,(D473*(E473/100)*Sheet2!$B$4),1000)</f>
        <v>2971.921810176595</v>
      </c>
      <c r="M473">
        <f>IF(G473=1000,1000,(F473*Sheet2!$B$8))</f>
        <v>2967.0869412481675</v>
      </c>
      <c r="N473">
        <f t="shared" si="33"/>
        <v>2967.0869412481675</v>
      </c>
      <c r="O473">
        <f t="shared" si="34"/>
        <v>2967.0869412481675</v>
      </c>
      <c r="P473">
        <f t="shared" si="35"/>
        <v>2982</v>
      </c>
    </row>
    <row r="474" spans="1:16" x14ac:dyDescent="0.25">
      <c r="A474">
        <f>'Front Page'!A475</f>
        <v>473</v>
      </c>
      <c r="B474" t="str">
        <f>'Front Page'!B475</f>
        <v xml:space="preserve">20.c.ps.170.484 </v>
      </c>
      <c r="C474" t="str">
        <f>'Front Page'!C475</f>
        <v xml:space="preserve">Halifax Historical Society, Inc. </v>
      </c>
      <c r="D474">
        <f>'Front Page'!E475</f>
        <v>23919</v>
      </c>
      <c r="E474" s="3">
        <f>ROUND('Front Page'!F475,4)</f>
        <v>81.832999999999998</v>
      </c>
      <c r="F474">
        <f t="shared" si="32"/>
        <v>19573.635269999999</v>
      </c>
      <c r="G474">
        <f>IF((D474*(E474/100)*Sheet2!$B$4)&gt;1000,(D474*(E474/100)*Sheet2!$B$4),1000)</f>
        <v>3712.0312155411998</v>
      </c>
      <c r="M474">
        <f>IF(G474=1000,1000,(F474*Sheet2!$B$8))</f>
        <v>3705.9923001417706</v>
      </c>
      <c r="N474">
        <f t="shared" si="33"/>
        <v>3705.9923001417706</v>
      </c>
      <c r="O474">
        <f t="shared" si="34"/>
        <v>3705.9923001417706</v>
      </c>
      <c r="P474">
        <f t="shared" si="35"/>
        <v>3721</v>
      </c>
    </row>
    <row r="475" spans="1:16" x14ac:dyDescent="0.25">
      <c r="A475">
        <f>'Front Page'!A476</f>
        <v>474</v>
      </c>
      <c r="B475" t="str">
        <f>'Front Page'!B476</f>
        <v xml:space="preserve">20.c.ps.102.222 </v>
      </c>
      <c r="C475" t="str">
        <f>'Front Page'!C476</f>
        <v xml:space="preserve">The Florida Orchestra, Inc. Non-Compliance </v>
      </c>
      <c r="D475">
        <f>'Front Page'!E476</f>
        <v>150000</v>
      </c>
      <c r="E475" s="3">
        <f>ROUND('Front Page'!F476,4)</f>
        <v>81.625</v>
      </c>
      <c r="F475">
        <f t="shared" si="32"/>
        <v>122437.5</v>
      </c>
      <c r="G475">
        <f>IF((D475*(E475/100)*Sheet2!$B$4)&gt;1000,(D475*(E475/100)*Sheet2!$B$4),1000)</f>
        <v>23219.59184809239</v>
      </c>
      <c r="M475">
        <f>IF(G475=1000,1000,(F475*Sheet2!$B$8))</f>
        <v>23181.817071255158</v>
      </c>
      <c r="N475">
        <f t="shared" si="33"/>
        <v>23181.817071255158</v>
      </c>
      <c r="O475">
        <f t="shared" si="34"/>
        <v>23181.817071255158</v>
      </c>
      <c r="P475">
        <f t="shared" si="35"/>
        <v>23197</v>
      </c>
    </row>
    <row r="476" spans="1:16" x14ac:dyDescent="0.25">
      <c r="A476">
        <f>'Front Page'!A477</f>
        <v>475</v>
      </c>
      <c r="B476" t="str">
        <f>'Front Page'!B477</f>
        <v xml:space="preserve">20.c.ps.101.744 </v>
      </c>
      <c r="C476" t="str">
        <f>'Front Page'!C477</f>
        <v xml:space="preserve">Florida Dance Theatre, Inc. </v>
      </c>
      <c r="D476">
        <f>'Front Page'!E477</f>
        <v>45000</v>
      </c>
      <c r="E476" s="3">
        <f>ROUND('Front Page'!F477,4)</f>
        <v>81.286000000000001</v>
      </c>
      <c r="F476">
        <f t="shared" si="32"/>
        <v>36578.700000000004</v>
      </c>
      <c r="G476">
        <f>IF((D476*(E476/100)*Sheet2!$B$4)&gt;1000,(D476*(E476/100)*Sheet2!$B$4),1000)</f>
        <v>6936.9472942016719</v>
      </c>
      <c r="M476">
        <f>IF(G476=1000,1000,(F476*Sheet2!$B$8))</f>
        <v>6925.6619263242155</v>
      </c>
      <c r="N476">
        <f t="shared" si="33"/>
        <v>6925.6619263242155</v>
      </c>
      <c r="O476">
        <f t="shared" si="34"/>
        <v>6925.6619263242155</v>
      </c>
      <c r="P476">
        <f t="shared" si="35"/>
        <v>6941</v>
      </c>
    </row>
    <row r="477" spans="1:16" x14ac:dyDescent="0.25">
      <c r="A477">
        <f>'Front Page'!A478</f>
        <v>476</v>
      </c>
      <c r="B477" t="str">
        <f>'Front Page'!B478</f>
        <v xml:space="preserve">20.c.ps.114.157 </v>
      </c>
      <c r="C477" t="str">
        <f>'Front Page'!C478</f>
        <v xml:space="preserve">City of Clermont </v>
      </c>
      <c r="D477">
        <f>'Front Page'!E478</f>
        <v>25000</v>
      </c>
      <c r="E477" s="3">
        <f>ROUND('Front Page'!F478,4)</f>
        <v>81.143000000000001</v>
      </c>
      <c r="F477">
        <f t="shared" ref="F477:F489" si="36">D477*(E477/100)</f>
        <v>20285.75</v>
      </c>
      <c r="G477">
        <f>IF((D477*(E477/100)*Sheet2!$B$4)&gt;1000,(D477*(E477/100)*Sheet2!$B$4),1000)</f>
        <v>3847.0798189479542</v>
      </c>
      <c r="M477">
        <f>IF(G477=1000,1000,(F477*Sheet2!$B$8))</f>
        <v>3840.8211998220668</v>
      </c>
      <c r="N477">
        <f t="shared" ref="N477:N489" si="37">M477</f>
        <v>3840.8211998220668</v>
      </c>
      <c r="O477">
        <f t="shared" ref="O477:O489" si="38">IF(N477&lt;1000,1000,N477)</f>
        <v>3840.8211998220668</v>
      </c>
      <c r="P477">
        <f t="shared" ref="P477:P489" si="39">ROUND(IF(O477=1000,1000,(O477+$J$11)),0)</f>
        <v>3856</v>
      </c>
    </row>
    <row r="478" spans="1:16" x14ac:dyDescent="0.25">
      <c r="A478">
        <f>'Front Page'!A479</f>
        <v>477</v>
      </c>
      <c r="B478" t="str">
        <f>'Front Page'!B479</f>
        <v xml:space="preserve">20.c.ps.114.463 </v>
      </c>
      <c r="C478" t="str">
        <f>'Front Page'!C479</f>
        <v xml:space="preserve">The Cove/Rincon Corp. </v>
      </c>
      <c r="D478">
        <f>'Front Page'!E479</f>
        <v>4000</v>
      </c>
      <c r="E478" s="3">
        <f>ROUND('Front Page'!F479,4)</f>
        <v>81.143000000000001</v>
      </c>
      <c r="F478">
        <f t="shared" si="36"/>
        <v>3245.72</v>
      </c>
      <c r="G478">
        <f>IF((D478*(E478/100)*Sheet2!$B$4)&gt;1000,(D478*(E478/100)*Sheet2!$B$4),1000)</f>
        <v>1000</v>
      </c>
      <c r="M478">
        <f>IF(G478=1000,1000,(F478*Sheet2!$B$8))</f>
        <v>1000</v>
      </c>
      <c r="N478">
        <f t="shared" si="37"/>
        <v>1000</v>
      </c>
      <c r="O478">
        <f t="shared" si="38"/>
        <v>1000</v>
      </c>
      <c r="P478">
        <f t="shared" si="39"/>
        <v>1000</v>
      </c>
    </row>
    <row r="479" spans="1:16" x14ac:dyDescent="0.25">
      <c r="A479">
        <f>'Front Page'!A480</f>
        <v>478</v>
      </c>
      <c r="B479" t="str">
        <f>'Front Page'!B480</f>
        <v xml:space="preserve">20.c.ps.114.314 </v>
      </c>
      <c r="C479" t="str">
        <f>'Front Page'!C480</f>
        <v xml:space="preserve">University of Florida  </v>
      </c>
      <c r="D479">
        <f>'Front Page'!E480</f>
        <v>150000</v>
      </c>
      <c r="E479" s="3">
        <f>ROUND('Front Page'!F480,4)</f>
        <v>81</v>
      </c>
      <c r="F479">
        <f t="shared" si="36"/>
        <v>121500.00000000001</v>
      </c>
      <c r="G479">
        <f>IF((D479*(E479/100)*Sheet2!$B$4)&gt;1000,(D479*(E479/100)*Sheet2!$B$4),1000)</f>
        <v>23041.800180036553</v>
      </c>
      <c r="M479">
        <f>IF(G479=1000,1000,(F479*Sheet2!$B$8))</f>
        <v>23004.314643450758</v>
      </c>
      <c r="N479">
        <f t="shared" si="37"/>
        <v>23004.314643450758</v>
      </c>
      <c r="O479">
        <f t="shared" si="38"/>
        <v>23004.314643450758</v>
      </c>
      <c r="P479">
        <f t="shared" si="39"/>
        <v>23019</v>
      </c>
    </row>
    <row r="480" spans="1:16" x14ac:dyDescent="0.25">
      <c r="A480">
        <f>'Front Page'!A481</f>
        <v>479</v>
      </c>
      <c r="B480" t="str">
        <f>'Front Page'!B481</f>
        <v xml:space="preserve">20.c.ps.109.409 </v>
      </c>
      <c r="C480" t="str">
        <f>'Front Page'!C481</f>
        <v xml:space="preserve">IFCM Corp. </v>
      </c>
      <c r="D480">
        <f>'Front Page'!E481</f>
        <v>37000</v>
      </c>
      <c r="E480" s="3">
        <f>ROUND('Front Page'!F481,4)</f>
        <v>80.75</v>
      </c>
      <c r="F480">
        <f t="shared" si="36"/>
        <v>29877.5</v>
      </c>
      <c r="G480">
        <f>IF((D480*(E480/100)*Sheet2!$B$4)&gt;1000,(D480*(E480/100)*Sheet2!$B$4),1000)</f>
        <v>5666.1019331608395</v>
      </c>
      <c r="M480">
        <f>IF(G480=1000,1000,(F480*Sheet2!$B$8))</f>
        <v>5656.8840391744852</v>
      </c>
      <c r="N480">
        <f t="shared" si="37"/>
        <v>5656.8840391744852</v>
      </c>
      <c r="O480">
        <f t="shared" si="38"/>
        <v>5656.8840391744852</v>
      </c>
      <c r="P480">
        <f t="shared" si="39"/>
        <v>5672</v>
      </c>
    </row>
    <row r="481" spans="1:16" x14ac:dyDescent="0.25">
      <c r="A481">
        <f>'Front Page'!A482</f>
        <v>480</v>
      </c>
      <c r="B481" t="str">
        <f>'Front Page'!B482</f>
        <v xml:space="preserve">20.c.ps.500.122 </v>
      </c>
      <c r="C481" t="str">
        <f>'Front Page'!C482</f>
        <v xml:space="preserve">Alachua County Board of County Commissioners </v>
      </c>
      <c r="D481">
        <f>'Front Page'!E482</f>
        <v>20000</v>
      </c>
      <c r="E481" s="3">
        <f>ROUND('Front Page'!F482,4)</f>
        <v>78.332999999999998</v>
      </c>
      <c r="F481">
        <f t="shared" si="36"/>
        <v>15666.599999999999</v>
      </c>
      <c r="G481">
        <f>IF((D481*(E481/100)*Sheet2!$B$4)&gt;1000,(D481*(E481/100)*Sheet2!$B$4),1000)</f>
        <v>2971.0836765478239</v>
      </c>
      <c r="M481">
        <f>IF(G481=1000,1000,(F481*Sheet2!$B$8))</f>
        <v>2966.2501711365067</v>
      </c>
      <c r="N481">
        <f t="shared" si="37"/>
        <v>2966.2501711365067</v>
      </c>
      <c r="O481">
        <f t="shared" si="38"/>
        <v>2966.2501711365067</v>
      </c>
      <c r="P481">
        <f t="shared" si="39"/>
        <v>2981</v>
      </c>
    </row>
    <row r="482" spans="1:16" x14ac:dyDescent="0.25">
      <c r="A482">
        <f>'Front Page'!A483</f>
        <v>481</v>
      </c>
      <c r="B482" t="str">
        <f>'Front Page'!B483</f>
        <v xml:space="preserve">20.c.ps.500.723 </v>
      </c>
      <c r="C482" t="str">
        <f>'Front Page'!C483</f>
        <v xml:space="preserve">Arts &amp; Cultural Alliance of St. Lucie Inc. </v>
      </c>
      <c r="D482">
        <f>'Front Page'!E483</f>
        <v>44060</v>
      </c>
      <c r="E482" s="3">
        <f>ROUND('Front Page'!F483,4)</f>
        <v>78</v>
      </c>
      <c r="F482">
        <f t="shared" si="36"/>
        <v>34366.800000000003</v>
      </c>
      <c r="G482">
        <f>IF((D482*(E482/100)*Sheet2!$B$4)&gt;1000,(D482*(E482/100)*Sheet2!$B$4),1000)</f>
        <v>6517.4727442574504</v>
      </c>
      <c r="M482">
        <f>IF(G482=1000,1000,(F482*Sheet2!$B$8))</f>
        <v>6506.8697982596168</v>
      </c>
      <c r="N482">
        <f t="shared" si="37"/>
        <v>6506.8697982596168</v>
      </c>
      <c r="O482">
        <f t="shared" si="38"/>
        <v>6506.8697982596168</v>
      </c>
      <c r="P482">
        <f t="shared" si="39"/>
        <v>6522</v>
      </c>
    </row>
    <row r="483" spans="1:16" x14ac:dyDescent="0.25">
      <c r="A483">
        <f>'Front Page'!A484</f>
        <v>482</v>
      </c>
      <c r="B483" t="str">
        <f>'Front Page'!B484</f>
        <v xml:space="preserve">20.c.ps.102.320 </v>
      </c>
      <c r="C483" t="str">
        <f>'Front Page'!C484</f>
        <v xml:space="preserve">Alliance for Musical Arts Productions, Inc. </v>
      </c>
      <c r="D483">
        <f>'Front Page'!E484</f>
        <v>14088</v>
      </c>
      <c r="E483" s="3">
        <f>ROUND('Front Page'!F484,4)</f>
        <v>77.8</v>
      </c>
      <c r="F483">
        <f t="shared" si="36"/>
        <v>10960.464</v>
      </c>
      <c r="G483">
        <f>IF((D483*(E483/100)*Sheet2!$B$4)&gt;1000,(D483*(E483/100)*Sheet2!$B$4),1000)</f>
        <v>2078.5911223743551</v>
      </c>
      <c r="M483">
        <f>IF(G483=1000,1000,(F483*Sheet2!$B$8))</f>
        <v>2075.2095678536198</v>
      </c>
      <c r="N483">
        <f t="shared" si="37"/>
        <v>2075.2095678536198</v>
      </c>
      <c r="O483">
        <f t="shared" si="38"/>
        <v>2075.2095678536198</v>
      </c>
      <c r="P483">
        <f t="shared" si="39"/>
        <v>2090</v>
      </c>
    </row>
    <row r="484" spans="1:16" x14ac:dyDescent="0.25">
      <c r="A484">
        <f>'Front Page'!A485</f>
        <v>483</v>
      </c>
      <c r="B484" t="str">
        <f>'Front Page'!B485</f>
        <v xml:space="preserve">20.c.ps.102.603 </v>
      </c>
      <c r="C484" t="str">
        <f>'Front Page'!C485</f>
        <v xml:space="preserve">Brazilian Voices, Inc. </v>
      </c>
      <c r="D484">
        <f>'Front Page'!E485</f>
        <v>5300</v>
      </c>
      <c r="E484" s="3">
        <f>ROUND('Front Page'!F485,4)</f>
        <v>77.400000000000006</v>
      </c>
      <c r="F484">
        <f t="shared" si="36"/>
        <v>4102.2</v>
      </c>
      <c r="G484">
        <f>IF((D484*(E484/100)*Sheet2!$B$4)&gt;1000,(D484*(E484/100)*Sheet2!$B$4),1000)</f>
        <v>1000</v>
      </c>
      <c r="M484">
        <f>IF(G484=1000,1000,(F484*Sheet2!$B$8))</f>
        <v>1000</v>
      </c>
      <c r="N484">
        <f t="shared" si="37"/>
        <v>1000</v>
      </c>
      <c r="O484">
        <f t="shared" si="38"/>
        <v>1000</v>
      </c>
      <c r="P484">
        <f t="shared" si="39"/>
        <v>1000</v>
      </c>
    </row>
    <row r="485" spans="1:16" x14ac:dyDescent="0.25">
      <c r="A485">
        <f>'Front Page'!A486</f>
        <v>484</v>
      </c>
      <c r="B485" t="str">
        <f>'Front Page'!B486</f>
        <v xml:space="preserve">20.c.ps.170.105 </v>
      </c>
      <c r="C485" t="str">
        <f>'Front Page'!C486</f>
        <v xml:space="preserve">The American Craftsman Museum, Inc. </v>
      </c>
      <c r="D485">
        <f>'Front Page'!E486</f>
        <v>25000</v>
      </c>
      <c r="E485" s="3">
        <f>ROUND('Front Page'!F486,4)</f>
        <v>77</v>
      </c>
      <c r="F485">
        <f t="shared" si="36"/>
        <v>19250</v>
      </c>
      <c r="G485">
        <f>IF((D485*(E485/100)*Sheet2!$B$4)&gt;1000,(D485*(E485/100)*Sheet2!$B$4),1000)</f>
        <v>3650.6555840798651</v>
      </c>
      <c r="M485">
        <f>IF(G485=1000,1000,(F485*Sheet2!$B$8))</f>
        <v>3644.7165175837613</v>
      </c>
      <c r="N485">
        <f t="shared" si="37"/>
        <v>3644.7165175837613</v>
      </c>
      <c r="O485">
        <f t="shared" si="38"/>
        <v>3644.7165175837613</v>
      </c>
      <c r="P485">
        <f t="shared" si="39"/>
        <v>3660</v>
      </c>
    </row>
    <row r="486" spans="1:16" x14ac:dyDescent="0.25">
      <c r="A486">
        <f>'Front Page'!A487</f>
        <v>485</v>
      </c>
      <c r="B486" t="str">
        <f>'Front Page'!B487</f>
        <v xml:space="preserve">20.c.ps.101.639 </v>
      </c>
      <c r="C486" t="str">
        <f>'Front Page'!C487</f>
        <v xml:space="preserve">Ballet Etudes of South Florida, Inc. </v>
      </c>
      <c r="D486">
        <f>'Front Page'!E487</f>
        <v>20500</v>
      </c>
      <c r="E486" s="3">
        <f>ROUND('Front Page'!F487,4)</f>
        <v>76.570999999999998</v>
      </c>
      <c r="F486">
        <f t="shared" si="36"/>
        <v>15697.055</v>
      </c>
      <c r="G486">
        <f>IF((D486*(E486/100)*Sheet2!$B$4)&gt;1000,(D486*(E486/100)*Sheet2!$B$4),1000)</f>
        <v>2976.8592981485076</v>
      </c>
      <c r="M486">
        <f>IF(G486=1000,1000,(F486*Sheet2!$B$8))</f>
        <v>2972.0163966712089</v>
      </c>
      <c r="N486">
        <f t="shared" si="37"/>
        <v>2972.0163966712089</v>
      </c>
      <c r="O486">
        <f t="shared" si="38"/>
        <v>2972.0163966712089</v>
      </c>
      <c r="P486">
        <f t="shared" si="39"/>
        <v>2987</v>
      </c>
    </row>
    <row r="487" spans="1:16" x14ac:dyDescent="0.25">
      <c r="A487">
        <f>'Front Page'!A488</f>
        <v>486</v>
      </c>
      <c r="B487" t="str">
        <f>'Front Page'!B488</f>
        <v xml:space="preserve">20.c.ps.109.401 </v>
      </c>
      <c r="C487" t="str">
        <f>'Front Page'!C488</f>
        <v xml:space="preserve">Speak Up Tampa Bay Public Access Television, Inc. </v>
      </c>
      <c r="D487">
        <f>'Front Page'!E488</f>
        <v>90000</v>
      </c>
      <c r="E487" s="3">
        <f>ROUND('Front Page'!F488,4)</f>
        <v>71.25</v>
      </c>
      <c r="F487">
        <f t="shared" si="36"/>
        <v>64125</v>
      </c>
      <c r="G487">
        <f>IF((D487*(E487/100)*Sheet2!$B$4)&gt;1000,(D487*(E487/100)*Sheet2!$B$4),1000)</f>
        <v>12160.950095019291</v>
      </c>
      <c r="M487">
        <f>IF(G487=1000,1000,(F487*Sheet2!$B$8))</f>
        <v>12141.166061821232</v>
      </c>
      <c r="N487">
        <f t="shared" si="37"/>
        <v>12141.166061821232</v>
      </c>
      <c r="O487">
        <f t="shared" si="38"/>
        <v>12141.166061821232</v>
      </c>
      <c r="P487">
        <f t="shared" si="39"/>
        <v>12156</v>
      </c>
    </row>
    <row r="488" spans="1:16" x14ac:dyDescent="0.25">
      <c r="A488">
        <f>'Front Page'!A489</f>
        <v>487</v>
      </c>
      <c r="B488" t="str">
        <f>'Front Page'!B489</f>
        <v xml:space="preserve">20.c.ps.102.016 </v>
      </c>
      <c r="C488" t="str">
        <f>'Front Page'!C489</f>
        <v xml:space="preserve">Choral Arts Society </v>
      </c>
      <c r="D488">
        <f>'Front Page'!E489</f>
        <v>3000</v>
      </c>
      <c r="E488" s="3">
        <f>ROUND('Front Page'!F489,4)</f>
        <v>70</v>
      </c>
      <c r="F488">
        <f t="shared" si="36"/>
        <v>2100</v>
      </c>
      <c r="G488">
        <f>IF((D488*(E488/100)*Sheet2!$B$4)&gt;1000,(D488*(E488/100)*Sheet2!$B$4),1000)</f>
        <v>1000</v>
      </c>
      <c r="M488">
        <f>IF(G488=1000,1000,(F488*Sheet2!$B$8))</f>
        <v>1000</v>
      </c>
      <c r="N488">
        <f t="shared" si="37"/>
        <v>1000</v>
      </c>
      <c r="O488">
        <f t="shared" si="38"/>
        <v>1000</v>
      </c>
      <c r="P488">
        <f t="shared" si="39"/>
        <v>1000</v>
      </c>
    </row>
    <row r="489" spans="1:16" x14ac:dyDescent="0.25">
      <c r="A489">
        <f>'Front Page'!A490</f>
        <v>488</v>
      </c>
      <c r="B489" t="str">
        <f>'Front Page'!B490</f>
        <v xml:space="preserve">20.c.ps.114.210 </v>
      </c>
      <c r="C489" t="str">
        <f>'Front Page'!C490</f>
        <v xml:space="preserve">Tampa Bay Juneteenth Coalition </v>
      </c>
      <c r="D489">
        <f>'Front Page'!E490</f>
        <v>5000</v>
      </c>
      <c r="E489" s="3">
        <f>ROUND('Front Page'!F490,4)</f>
        <v>58.832999999999998</v>
      </c>
      <c r="F489">
        <f t="shared" si="36"/>
        <v>2941.65</v>
      </c>
      <c r="G489">
        <f>IF((D489*(E489/100)*Sheet2!$B$4)&gt;1000,(D489*(E489/100)*Sheet2!$B$4),1000)</f>
        <v>1000</v>
      </c>
      <c r="M489">
        <f>IF(G489=1000,1000,(F489*Sheet2!$B$8))</f>
        <v>1000</v>
      </c>
      <c r="N489">
        <f t="shared" si="37"/>
        <v>1000</v>
      </c>
      <c r="O489">
        <f t="shared" si="38"/>
        <v>1000</v>
      </c>
      <c r="P489">
        <f t="shared" si="39"/>
        <v>1000</v>
      </c>
    </row>
  </sheetData>
  <phoneticPr fontId="6" type="noConversion"/>
  <conditionalFormatting sqref="G1:G1048576 M2:M693">
    <cfRule type="cellIs" dxfId="1" priority="2" operator="between">
      <formula>1</formula>
      <formula>1000</formula>
    </cfRule>
  </conditionalFormatting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CM Grants at $7,376,221</vt:lpstr>
      <vt:lpstr>Front Page</vt:lpstr>
      <vt:lpstr>Sheet2</vt:lpstr>
      <vt:lpstr>First Calculations</vt:lpstr>
      <vt:lpstr>'Front Page'!Print_Titles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Curtis Young</dc:creator>
  <cp:lastModifiedBy>owner pc</cp:lastModifiedBy>
  <cp:lastPrinted>2015-09-01T17:21:35Z</cp:lastPrinted>
  <dcterms:created xsi:type="dcterms:W3CDTF">2014-10-22T19:11:14Z</dcterms:created>
  <dcterms:modified xsi:type="dcterms:W3CDTF">2019-03-19T14:53:49Z</dcterms:modified>
</cp:coreProperties>
</file>