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patrick/Library/Mobile Documents/com~apple~CloudDocs/FIPPOA/Budget 2023/"/>
    </mc:Choice>
  </mc:AlternateContent>
  <xr:revisionPtr revIDLastSave="0" documentId="13_ncr:1_{5ED9E4ED-D963-C94D-B80B-5F8003D0AC46}" xr6:coauthVersionLast="47" xr6:coauthVersionMax="47" xr10:uidLastSave="{00000000-0000-0000-0000-000000000000}"/>
  <workbookProtection workbookAlgorithmName="SHA-512" workbookHashValue="e1TXPXis5I9Ixjw/xKSFx+RtLSrB8yJ/fquhFv7Ea5RpbvhUMt0w8ey91qDGDld/VVbighFlZob0eHj+5TrBGQ==" workbookSaltValue="O4Fp/UKHOWLnx6fiqlYC2Q==" workbookSpinCount="100000" lockStructure="1"/>
  <bookViews>
    <workbookView xWindow="7060" yWindow="500" windowWidth="27220" windowHeight="28000" activeTab="1" xr2:uid="{00000000-000D-0000-FFFF-FFFF00000000}"/>
  </bookViews>
  <sheets>
    <sheet name="GlobalSummary" sheetId="1" r:id="rId1"/>
    <sheet name="FIPPOASummary" sheetId="2" r:id="rId2"/>
    <sheet name="Harbor" sheetId="3" r:id="rId3"/>
    <sheet name="Boulevard" sheetId="33" r:id="rId4"/>
    <sheet name="AdminMemb" sheetId="4" r:id="rId5"/>
    <sheet name="ParkingRev" sheetId="24" state="hidden" r:id="rId6"/>
    <sheet name="CorralRev" sheetId="25" state="hidden" r:id="rId7"/>
    <sheet name="Boater" sheetId="20" state="hidden" r:id="rId8"/>
    <sheet name="RECBOAT" sheetId="36" state="hidden" r:id="rId9"/>
    <sheet name="COMBOAT" sheetId="39" state="hidden" r:id="rId10"/>
    <sheet name="Membershiponly" sheetId="37" state="hidden" r:id="rId11"/>
    <sheet name="OffBudget" sheetId="34" r:id="rId12"/>
    <sheet name="CapitalApproved" sheetId="40" state="hidden" r:id="rId13"/>
    <sheet name="FdnSummary" sheetId="6" r:id="rId14"/>
    <sheet name="Admin" sheetId="7" r:id="rId15"/>
    <sheet name="WH" sheetId="8" r:id="rId16"/>
    <sheet name="PEST" sheetId="28" state="hidden" r:id="rId17"/>
    <sheet name="DonorRestricted" sheetId="9" state="hidden" r:id="rId18"/>
    <sheet name="WHRent" sheetId="13" state="hidden" r:id="rId19"/>
    <sheet name="WHUser" sheetId="29" state="hidden" r:id="rId20"/>
    <sheet name="SharedAdmin" sheetId="31" state="hidden" r:id="rId21"/>
    <sheet name="Payroll" sheetId="15" state="hidden" r:id="rId22"/>
    <sheet name="Hourly" sheetId="26" state="hidden" r:id="rId23"/>
    <sheet name="Insurance" sheetId="14" state="hidden" r:id="rId24"/>
    <sheet name="Total insurance" sheetId="35" state="hidden" r:id="rId25"/>
    <sheet name="TechDetails" sheetId="10" state="hidden" r:id="rId26"/>
    <sheet name="Tax Districts" sheetId="38" state="hidden" r:id="rId27"/>
    <sheet name="Contracts" sheetId="21" state="hidden" r:id="rId28"/>
  </sheets>
  <definedNames>
    <definedName name="_xlnm.Print_Area" localSheetId="2">Harbor!$2:$3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D19" i="1"/>
  <c r="C16" i="1"/>
  <c r="C17" i="1"/>
  <c r="C18" i="1"/>
  <c r="C21" i="1" s="1"/>
  <c r="C20" i="1"/>
  <c r="M38" i="3"/>
  <c r="M7" i="33"/>
  <c r="F18" i="1"/>
  <c r="F18" i="2"/>
  <c r="F6" i="6"/>
  <c r="F8" i="6"/>
  <c r="F9" i="6"/>
  <c r="F13" i="6"/>
  <c r="F14" i="6"/>
  <c r="F15" i="6"/>
  <c r="F20" i="6"/>
  <c r="F21" i="6"/>
  <c r="F22" i="6"/>
  <c r="F23" i="6"/>
  <c r="F7" i="1"/>
  <c r="C22" i="1" l="1"/>
  <c r="O20" i="4"/>
  <c r="Z42" i="14"/>
  <c r="J6" i="34"/>
  <c r="J45" i="40"/>
  <c r="J48" i="40" s="1"/>
  <c r="I45" i="40"/>
  <c r="I48" i="40" s="1"/>
  <c r="G45" i="40"/>
  <c r="G48" i="40" s="1"/>
  <c r="F45" i="40"/>
  <c r="D45" i="40"/>
  <c r="C45" i="40"/>
  <c r="J26" i="40"/>
  <c r="G26" i="40"/>
  <c r="D26" i="40"/>
  <c r="C26" i="40"/>
  <c r="F19" i="40"/>
  <c r="F7" i="40"/>
  <c r="D20" i="1"/>
  <c r="D17" i="1"/>
  <c r="F17" i="1" s="1"/>
  <c r="D16" i="1"/>
  <c r="D14" i="1"/>
  <c r="D13" i="1"/>
  <c r="C14" i="1"/>
  <c r="C13" i="1"/>
  <c r="C15" i="2"/>
  <c r="C5" i="2"/>
  <c r="C48" i="40" l="1"/>
  <c r="D48" i="40"/>
  <c r="F16" i="1"/>
  <c r="D18" i="1"/>
  <c r="D21" i="1" s="1"/>
  <c r="F13" i="1"/>
  <c r="F20" i="1"/>
  <c r="F14" i="1"/>
  <c r="F19" i="1"/>
  <c r="F26" i="40"/>
  <c r="F48" i="40" s="1"/>
  <c r="D22" i="1" l="1"/>
  <c r="F21" i="1"/>
  <c r="C13" i="6"/>
  <c r="C24" i="6"/>
  <c r="F24" i="6" s="1"/>
  <c r="L16" i="21"/>
  <c r="L13" i="21"/>
  <c r="L10" i="21"/>
  <c r="L7" i="21"/>
  <c r="K17" i="21"/>
  <c r="B33" i="21"/>
  <c r="M49" i="7"/>
  <c r="M50" i="7"/>
  <c r="M51" i="7"/>
  <c r="M52" i="7"/>
  <c r="M53" i="7"/>
  <c r="M54" i="7"/>
  <c r="M55" i="7"/>
  <c r="M56" i="7"/>
  <c r="M48" i="7"/>
  <c r="M17" i="7"/>
  <c r="M21" i="7"/>
  <c r="M18" i="7"/>
  <c r="M35" i="8"/>
  <c r="M33" i="8"/>
  <c r="M31" i="8"/>
  <c r="M49" i="3"/>
  <c r="M33" i="33"/>
  <c r="M33" i="4"/>
  <c r="M32" i="4"/>
  <c r="M29" i="4"/>
  <c r="M32" i="33"/>
  <c r="M31" i="33"/>
  <c r="M29" i="33"/>
  <c r="M47" i="3"/>
  <c r="M46" i="3"/>
  <c r="M43" i="3"/>
  <c r="M45" i="3"/>
  <c r="M71" i="8" l="1"/>
  <c r="E17" i="13"/>
  <c r="D17" i="13"/>
  <c r="M7" i="8" s="1"/>
  <c r="C17" i="13"/>
  <c r="M6" i="8" s="1"/>
  <c r="K15" i="13"/>
  <c r="J15" i="13"/>
  <c r="C7" i="13"/>
  <c r="M27" i="8"/>
  <c r="M19" i="8"/>
  <c r="M14" i="7"/>
  <c r="Y52" i="14"/>
  <c r="X52" i="14"/>
  <c r="W52" i="14"/>
  <c r="V52" i="14"/>
  <c r="U52" i="14"/>
  <c r="Y51" i="14"/>
  <c r="X51" i="14"/>
  <c r="W51" i="14"/>
  <c r="Z51" i="14" s="1"/>
  <c r="V51" i="14"/>
  <c r="U51" i="14"/>
  <c r="Y50" i="14"/>
  <c r="X50" i="14"/>
  <c r="Z50" i="14" s="1"/>
  <c r="W50" i="14"/>
  <c r="V50" i="14"/>
  <c r="U50" i="14"/>
  <c r="Y49" i="14"/>
  <c r="X49" i="14"/>
  <c r="W49" i="14"/>
  <c r="V49" i="14"/>
  <c r="U49" i="14"/>
  <c r="Z49" i="14" s="1"/>
  <c r="Y48" i="14"/>
  <c r="X48" i="14"/>
  <c r="W48" i="14"/>
  <c r="V48" i="14"/>
  <c r="U48" i="14"/>
  <c r="Y47" i="14"/>
  <c r="X47" i="14"/>
  <c r="W47" i="14"/>
  <c r="Z47" i="14" s="1"/>
  <c r="V47" i="14"/>
  <c r="U47" i="14"/>
  <c r="Y46" i="14"/>
  <c r="X46" i="14"/>
  <c r="W46" i="14"/>
  <c r="V46" i="14"/>
  <c r="U46" i="14"/>
  <c r="Y45" i="14"/>
  <c r="X45" i="14"/>
  <c r="W45" i="14"/>
  <c r="V45" i="14"/>
  <c r="U45" i="14"/>
  <c r="Z52" i="14"/>
  <c r="Z48" i="14"/>
  <c r="Z45" i="14"/>
  <c r="Z41" i="14"/>
  <c r="Z35" i="14"/>
  <c r="Z40" i="14"/>
  <c r="Z39" i="14"/>
  <c r="Z38" i="14"/>
  <c r="Z37" i="14"/>
  <c r="Z36" i="14"/>
  <c r="Z34" i="14"/>
  <c r="Z33" i="14"/>
  <c r="Y41" i="14"/>
  <c r="X41" i="14"/>
  <c r="W41" i="14"/>
  <c r="V41" i="14"/>
  <c r="U41" i="14"/>
  <c r="Z46" i="14" l="1"/>
  <c r="M66" i="4"/>
  <c r="M67" i="4"/>
  <c r="M69" i="4"/>
  <c r="M70" i="4"/>
  <c r="M71" i="4"/>
  <c r="M72" i="4"/>
  <c r="M73" i="4"/>
  <c r="M65" i="4"/>
  <c r="M61" i="33"/>
  <c r="M55" i="33"/>
  <c r="M53" i="33"/>
  <c r="M40" i="33"/>
  <c r="M41" i="33"/>
  <c r="M42" i="33"/>
  <c r="M43" i="33"/>
  <c r="M44" i="33"/>
  <c r="M45" i="33"/>
  <c r="M46" i="33"/>
  <c r="M47" i="33"/>
  <c r="M48" i="33"/>
  <c r="M39" i="33"/>
  <c r="EG21" i="14"/>
  <c r="EG17" i="14"/>
  <c r="M57" i="3" l="1"/>
  <c r="M21" i="3" l="1"/>
  <c r="M77" i="3" l="1"/>
  <c r="M79" i="3"/>
  <c r="M80" i="3"/>
  <c r="M81" i="3"/>
  <c r="M82" i="3"/>
  <c r="M83" i="3"/>
  <c r="M76" i="3"/>
  <c r="M74" i="3"/>
  <c r="F14" i="31"/>
  <c r="U6" i="31"/>
  <c r="U7" i="31"/>
  <c r="U8" i="31"/>
  <c r="U9" i="31"/>
  <c r="U10" i="31"/>
  <c r="U11" i="31"/>
  <c r="U12" i="31"/>
  <c r="U13" i="31"/>
  <c r="U5" i="31"/>
  <c r="R6" i="31"/>
  <c r="R7" i="31"/>
  <c r="R8" i="31"/>
  <c r="R9" i="31"/>
  <c r="R10" i="31"/>
  <c r="R11" i="31"/>
  <c r="R12" i="31"/>
  <c r="R13" i="31"/>
  <c r="R5" i="31"/>
  <c r="O6" i="31"/>
  <c r="O7" i="31"/>
  <c r="O8" i="31"/>
  <c r="M56" i="33" s="1"/>
  <c r="O9" i="31"/>
  <c r="O10" i="31"/>
  <c r="O11" i="31"/>
  <c r="O12" i="31"/>
  <c r="O13" i="31"/>
  <c r="O5" i="31"/>
  <c r="F9" i="31"/>
  <c r="F10" i="31"/>
  <c r="I10" i="31" s="1"/>
  <c r="F11" i="31"/>
  <c r="L11" i="31" s="1"/>
  <c r="F12" i="31"/>
  <c r="F13" i="31"/>
  <c r="F7" i="31"/>
  <c r="L6" i="31"/>
  <c r="L7" i="31"/>
  <c r="L8" i="31"/>
  <c r="M68" i="4" s="1"/>
  <c r="L9" i="31"/>
  <c r="L10" i="31"/>
  <c r="L12" i="31"/>
  <c r="L13" i="31"/>
  <c r="L5" i="31"/>
  <c r="I6" i="31"/>
  <c r="I7" i="31"/>
  <c r="I8" i="31"/>
  <c r="M78" i="3" s="1"/>
  <c r="I9" i="31"/>
  <c r="I12" i="31"/>
  <c r="I13" i="31"/>
  <c r="I5" i="31"/>
  <c r="M60" i="3"/>
  <c r="M58" i="3"/>
  <c r="M55" i="3"/>
  <c r="M67" i="3"/>
  <c r="M66" i="3"/>
  <c r="J12" i="34"/>
  <c r="J14" i="34" s="1"/>
  <c r="I11" i="31" l="1"/>
  <c r="M45" i="4"/>
  <c r="I33" i="7" l="1"/>
  <c r="I44" i="7"/>
  <c r="I43" i="7"/>
  <c r="I14" i="8"/>
  <c r="I61" i="33" l="1"/>
  <c r="I54" i="7"/>
  <c r="I14" i="7"/>
  <c r="I15" i="7" s="1"/>
  <c r="I83" i="3"/>
  <c r="I73" i="4"/>
  <c r="I34" i="3"/>
  <c r="J24" i="3"/>
  <c r="I24" i="3"/>
  <c r="I6" i="8"/>
  <c r="I13" i="4"/>
  <c r="I40" i="4"/>
  <c r="I56" i="7"/>
  <c r="I27" i="8"/>
  <c r="I30" i="7"/>
  <c r="I42" i="8"/>
  <c r="I35" i="7"/>
  <c r="I68" i="4"/>
  <c r="I50" i="4"/>
  <c r="I7" i="3"/>
  <c r="I56" i="8"/>
  <c r="I39" i="33"/>
  <c r="H57" i="7"/>
  <c r="K57" i="7"/>
  <c r="L57" i="7"/>
  <c r="H45" i="7"/>
  <c r="J45" i="7"/>
  <c r="K45" i="7"/>
  <c r="L45" i="7"/>
  <c r="M45" i="7"/>
  <c r="H24" i="7"/>
  <c r="I24" i="7"/>
  <c r="K24" i="7"/>
  <c r="L24" i="7"/>
  <c r="H15" i="7"/>
  <c r="K15" i="7"/>
  <c r="L15" i="7"/>
  <c r="H9" i="7"/>
  <c r="I9" i="7"/>
  <c r="J9" i="7"/>
  <c r="C5" i="6" s="1"/>
  <c r="C11" i="1" s="1"/>
  <c r="K9" i="7"/>
  <c r="L9" i="7"/>
  <c r="M9" i="7"/>
  <c r="I57" i="7" l="1"/>
  <c r="I45" i="7"/>
  <c r="H74" i="4"/>
  <c r="I74" i="4"/>
  <c r="L74" i="4"/>
  <c r="H61" i="4"/>
  <c r="I61" i="4"/>
  <c r="J61" i="4"/>
  <c r="L61" i="4"/>
  <c r="M61" i="4"/>
  <c r="G41" i="4"/>
  <c r="H41" i="4"/>
  <c r="I41" i="4"/>
  <c r="J41" i="4"/>
  <c r="L41" i="4"/>
  <c r="M41" i="4"/>
  <c r="H36" i="4"/>
  <c r="I36" i="4"/>
  <c r="L36" i="4"/>
  <c r="H26" i="4"/>
  <c r="I26" i="4"/>
  <c r="L26" i="4"/>
  <c r="F26" i="4"/>
  <c r="G18" i="4"/>
  <c r="H18" i="4"/>
  <c r="I18" i="4"/>
  <c r="J18" i="4"/>
  <c r="L18" i="4"/>
  <c r="L20" i="4" s="1"/>
  <c r="M18" i="4"/>
  <c r="H8" i="4"/>
  <c r="I8" i="4"/>
  <c r="G50" i="33"/>
  <c r="H50" i="33"/>
  <c r="I50" i="33"/>
  <c r="J50" i="33"/>
  <c r="H36" i="33"/>
  <c r="I36" i="33"/>
  <c r="L36" i="33"/>
  <c r="G26" i="33"/>
  <c r="H26" i="33"/>
  <c r="I26" i="33"/>
  <c r="J26" i="33"/>
  <c r="H17" i="33"/>
  <c r="I17" i="33"/>
  <c r="H11" i="33"/>
  <c r="I11" i="33"/>
  <c r="L11" i="33"/>
  <c r="G71" i="3"/>
  <c r="H71" i="3"/>
  <c r="I71" i="3"/>
  <c r="H52" i="3"/>
  <c r="I52" i="3"/>
  <c r="L52" i="3"/>
  <c r="G40" i="3"/>
  <c r="H40" i="3"/>
  <c r="I40" i="3"/>
  <c r="J40" i="3"/>
  <c r="H31" i="3"/>
  <c r="I31" i="3"/>
  <c r="H24" i="3"/>
  <c r="I6" i="3"/>
  <c r="I12" i="3" s="1"/>
  <c r="G12" i="3"/>
  <c r="H12" i="3"/>
  <c r="J12" i="3"/>
  <c r="J26" i="3" s="1"/>
  <c r="L12" i="3"/>
  <c r="M12" i="3"/>
  <c r="I80" i="8"/>
  <c r="L80" i="8"/>
  <c r="I67" i="8"/>
  <c r="J67" i="8"/>
  <c r="L67" i="8"/>
  <c r="M67" i="8"/>
  <c r="I46" i="8"/>
  <c r="J46" i="8"/>
  <c r="L46" i="8"/>
  <c r="M46" i="8"/>
  <c r="I39" i="8"/>
  <c r="L39" i="8"/>
  <c r="I28" i="8"/>
  <c r="L28" i="8"/>
  <c r="I20" i="8"/>
  <c r="J20" i="8"/>
  <c r="L20" i="8"/>
  <c r="M20" i="8"/>
  <c r="I15" i="8"/>
  <c r="J15" i="8"/>
  <c r="L15" i="8"/>
  <c r="M15" i="8"/>
  <c r="I8" i="8"/>
  <c r="L8" i="8"/>
  <c r="L59" i="7"/>
  <c r="L60" i="7" s="1"/>
  <c r="J8" i="4"/>
  <c r="I62" i="33"/>
  <c r="L62" i="33"/>
  <c r="L64" i="33" s="1"/>
  <c r="M62" i="33"/>
  <c r="I84" i="3"/>
  <c r="J6" i="33"/>
  <c r="J52" i="3"/>
  <c r="J71" i="3"/>
  <c r="I59" i="7" l="1"/>
  <c r="I60" i="7" s="1"/>
  <c r="L82" i="8"/>
  <c r="L22" i="8"/>
  <c r="L84" i="8" s="1"/>
  <c r="H20" i="4"/>
  <c r="J20" i="4"/>
  <c r="L76" i="4"/>
  <c r="L78" i="4" s="1"/>
  <c r="H76" i="4"/>
  <c r="H26" i="3"/>
  <c r="H78" i="4"/>
  <c r="I76" i="4"/>
  <c r="I26" i="3"/>
  <c r="I82" i="8"/>
  <c r="I22" i="8"/>
  <c r="J36" i="4"/>
  <c r="I20" i="4"/>
  <c r="L66" i="33"/>
  <c r="I64" i="33"/>
  <c r="I66" i="33" s="1"/>
  <c r="I86" i="3"/>
  <c r="C30" i="13"/>
  <c r="C40" i="13" s="1"/>
  <c r="F46" i="8"/>
  <c r="G46" i="8"/>
  <c r="K38" i="13"/>
  <c r="E40" i="13"/>
  <c r="J7" i="8" s="1"/>
  <c r="D40" i="13"/>
  <c r="J38" i="13"/>
  <c r="W6" i="31"/>
  <c r="CA22" i="14"/>
  <c r="J6" i="8" l="1"/>
  <c r="J8" i="8" s="1"/>
  <c r="J22" i="8" s="1"/>
  <c r="M8" i="8"/>
  <c r="M22" i="8" s="1"/>
  <c r="I88" i="3"/>
  <c r="I78" i="4"/>
  <c r="I84" i="8"/>
  <c r="F12" i="3"/>
  <c r="M50" i="33"/>
  <c r="M26" i="33"/>
  <c r="M71" i="3"/>
  <c r="M40" i="3"/>
  <c r="M24" i="3"/>
  <c r="G9" i="7"/>
  <c r="H27" i="24"/>
  <c r="J7" i="33" s="1"/>
  <c r="J11" i="33" s="1"/>
  <c r="C10" i="2" s="1"/>
  <c r="C5" i="1" s="1"/>
  <c r="D24" i="6"/>
  <c r="M26" i="3" l="1"/>
  <c r="D5" i="2" s="1"/>
  <c r="F5" i="2" s="1"/>
  <c r="F30" i="9"/>
  <c r="F10" i="9"/>
  <c r="F18" i="9" s="1"/>
  <c r="W13" i="31"/>
  <c r="W12" i="31"/>
  <c r="W11" i="31"/>
  <c r="W10" i="31"/>
  <c r="W9" i="31"/>
  <c r="W8" i="31"/>
  <c r="W7" i="31"/>
  <c r="W5" i="31"/>
  <c r="J84" i="3"/>
  <c r="E14" i="31"/>
  <c r="D13" i="31"/>
  <c r="D12" i="31"/>
  <c r="D11" i="31"/>
  <c r="D10" i="31"/>
  <c r="D9" i="31"/>
  <c r="C9" i="31"/>
  <c r="D8" i="31"/>
  <c r="D7" i="31"/>
  <c r="D5" i="31"/>
  <c r="G80" i="8"/>
  <c r="G57" i="7"/>
  <c r="C5" i="31"/>
  <c r="G84" i="3"/>
  <c r="C13" i="31"/>
  <c r="C12" i="31"/>
  <c r="C11" i="31"/>
  <c r="C10" i="31"/>
  <c r="C8" i="31"/>
  <c r="C7" i="31"/>
  <c r="M8" i="4"/>
  <c r="M74" i="8" l="1"/>
  <c r="J62" i="33"/>
  <c r="M75" i="8"/>
  <c r="M57" i="7"/>
  <c r="M72" i="8"/>
  <c r="M74" i="4"/>
  <c r="J74" i="4"/>
  <c r="M73" i="8"/>
  <c r="M20" i="4"/>
  <c r="D15" i="2" s="1"/>
  <c r="M84" i="3"/>
  <c r="R14" i="31"/>
  <c r="L14" i="31"/>
  <c r="O14" i="31"/>
  <c r="U14" i="31"/>
  <c r="I14" i="31"/>
  <c r="W14" i="31" s="1"/>
  <c r="D14" i="31"/>
  <c r="C14" i="31"/>
  <c r="D5" i="6"/>
  <c r="N21" i="25"/>
  <c r="H21" i="25"/>
  <c r="O20" i="25"/>
  <c r="P20" i="25" s="1"/>
  <c r="O19" i="25"/>
  <c r="P19" i="25" s="1"/>
  <c r="O18" i="25"/>
  <c r="P18" i="25" s="1"/>
  <c r="O17" i="25"/>
  <c r="P17" i="25" s="1"/>
  <c r="O16" i="25"/>
  <c r="P16" i="25" s="1"/>
  <c r="O15" i="25"/>
  <c r="P15" i="25" s="1"/>
  <c r="O14" i="25"/>
  <c r="P14" i="25" s="1"/>
  <c r="P10" i="25"/>
  <c r="P9" i="25"/>
  <c r="O9" i="25"/>
  <c r="P8" i="25"/>
  <c r="O8" i="25"/>
  <c r="O7" i="25"/>
  <c r="O6" i="25"/>
  <c r="P6" i="25" s="1"/>
  <c r="O5" i="25"/>
  <c r="P5" i="25" s="1"/>
  <c r="O4" i="25"/>
  <c r="P4" i="25" s="1"/>
  <c r="O3" i="25"/>
  <c r="P3" i="25" s="1"/>
  <c r="F39" i="25"/>
  <c r="G39" i="25"/>
  <c r="L49" i="25"/>
  <c r="F58" i="25"/>
  <c r="G58" i="25"/>
  <c r="F78" i="25"/>
  <c r="G78" i="25"/>
  <c r="G99" i="25"/>
  <c r="G27" i="24"/>
  <c r="F27" i="24"/>
  <c r="E27" i="24"/>
  <c r="DC21" i="14"/>
  <c r="DF21" i="14" s="1"/>
  <c r="X21" i="14"/>
  <c r="AA21" i="14" s="1"/>
  <c r="ED12" i="14"/>
  <c r="EG12" i="14" s="1"/>
  <c r="DC17" i="14"/>
  <c r="DF17" i="14" s="1"/>
  <c r="X17" i="14"/>
  <c r="AA17" i="14" s="1"/>
  <c r="ED11" i="14"/>
  <c r="EG11" i="14" s="1"/>
  <c r="ED10" i="14"/>
  <c r="EG10" i="14" s="1"/>
  <c r="AZ10" i="14"/>
  <c r="BC10" i="14" s="1"/>
  <c r="X10" i="14"/>
  <c r="AA10" i="14" s="1"/>
  <c r="CB8" i="14"/>
  <c r="CE8" i="14" s="1"/>
  <c r="EJ3" i="14"/>
  <c r="ED5" i="14" s="1"/>
  <c r="EG5" i="14" s="1"/>
  <c r="EC22" i="14"/>
  <c r="DB22" i="14"/>
  <c r="D13" i="6"/>
  <c r="J33" i="21"/>
  <c r="J17" i="21"/>
  <c r="I81" i="21"/>
  <c r="J69" i="21"/>
  <c r="I69" i="21"/>
  <c r="F84" i="3"/>
  <c r="F71" i="3"/>
  <c r="F52" i="3"/>
  <c r="F40" i="3"/>
  <c r="F31" i="3"/>
  <c r="F24" i="3"/>
  <c r="F26" i="3" s="1"/>
  <c r="F62" i="33"/>
  <c r="F50" i="33"/>
  <c r="F36" i="33"/>
  <c r="F26" i="33"/>
  <c r="F17" i="33"/>
  <c r="F11" i="33"/>
  <c r="F74" i="4"/>
  <c r="D74" i="4"/>
  <c r="F61" i="4"/>
  <c r="F41" i="4"/>
  <c r="F36" i="4"/>
  <c r="F18" i="4"/>
  <c r="F8" i="4"/>
  <c r="F57" i="7"/>
  <c r="F45" i="7"/>
  <c r="F24" i="7"/>
  <c r="F15" i="7"/>
  <c r="F9" i="7"/>
  <c r="F20" i="8"/>
  <c r="F80" i="8"/>
  <c r="F67" i="8"/>
  <c r="D11" i="1" l="1"/>
  <c r="F11" i="1" s="1"/>
  <c r="F5" i="6"/>
  <c r="F15" i="2"/>
  <c r="W25" i="14"/>
  <c r="M80" i="8"/>
  <c r="J80" i="8"/>
  <c r="J57" i="7"/>
  <c r="M11" i="33"/>
  <c r="D10" i="2" s="1"/>
  <c r="F64" i="33"/>
  <c r="F66" i="33" s="1"/>
  <c r="F59" i="7"/>
  <c r="F60" i="7" s="1"/>
  <c r="F20" i="4"/>
  <c r="F86" i="3"/>
  <c r="F88" i="3" s="1"/>
  <c r="P21" i="25"/>
  <c r="O21" i="25"/>
  <c r="X6" i="14"/>
  <c r="AA6" i="14" s="1"/>
  <c r="AZ6" i="14"/>
  <c r="BC6" i="14" s="1"/>
  <c r="CB6" i="14"/>
  <c r="CE6" i="14" s="1"/>
  <c r="DC6" i="14"/>
  <c r="DF6" i="14" s="1"/>
  <c r="ED6" i="14"/>
  <c r="X5" i="14"/>
  <c r="AA5" i="14" s="1"/>
  <c r="AZ5" i="14"/>
  <c r="BC5" i="14" s="1"/>
  <c r="CB5" i="14"/>
  <c r="CE5" i="14" s="1"/>
  <c r="DC5" i="14"/>
  <c r="F76" i="4"/>
  <c r="F39" i="8"/>
  <c r="F28" i="8"/>
  <c r="F15" i="8"/>
  <c r="F8" i="8"/>
  <c r="D5" i="1" l="1"/>
  <c r="F5" i="1" s="1"/>
  <c r="F10" i="2"/>
  <c r="CE22" i="14"/>
  <c r="M30" i="3" s="1"/>
  <c r="M31" i="3" s="1"/>
  <c r="AA22" i="14"/>
  <c r="M25" i="4" s="1"/>
  <c r="M26" i="4" s="1"/>
  <c r="BC22" i="14"/>
  <c r="M16" i="33" s="1"/>
  <c r="M17" i="33" s="1"/>
  <c r="DC22" i="14"/>
  <c r="J14" i="7" s="1"/>
  <c r="J15" i="7" s="1"/>
  <c r="DF5" i="14"/>
  <c r="DF22" i="14" s="1"/>
  <c r="ED22" i="14"/>
  <c r="J27" i="8" s="1"/>
  <c r="J28" i="8" s="1"/>
  <c r="EG6" i="14"/>
  <c r="EG22" i="14" s="1"/>
  <c r="AZ22" i="14"/>
  <c r="J16" i="33" s="1"/>
  <c r="J17" i="33" s="1"/>
  <c r="EJ4" i="14"/>
  <c r="X22" i="14"/>
  <c r="CB22" i="14"/>
  <c r="J30" i="3" s="1"/>
  <c r="J31" i="3" s="1"/>
  <c r="J86" i="3" s="1"/>
  <c r="F78" i="4"/>
  <c r="F22" i="8"/>
  <c r="F82" i="8"/>
  <c r="C14" i="10"/>
  <c r="J88" i="3" l="1"/>
  <c r="C6" i="2"/>
  <c r="M15" i="7"/>
  <c r="M28" i="8"/>
  <c r="J25" i="4"/>
  <c r="J26" i="4" s="1"/>
  <c r="J76" i="4" s="1"/>
  <c r="W26" i="14"/>
  <c r="F84" i="8"/>
  <c r="D80" i="8"/>
  <c r="D67" i="8"/>
  <c r="D61" i="4"/>
  <c r="C7" i="2" l="1"/>
  <c r="J78" i="4"/>
  <c r="C16" i="2"/>
  <c r="C17" i="2" s="1"/>
  <c r="C19" i="2" s="1"/>
  <c r="G11" i="15"/>
  <c r="F11" i="15"/>
  <c r="H9" i="15"/>
  <c r="C39" i="8" l="1"/>
  <c r="D39" i="8"/>
  <c r="C57" i="7"/>
  <c r="D57" i="7"/>
  <c r="C24" i="7"/>
  <c r="D24" i="7"/>
  <c r="C15" i="7"/>
  <c r="D15" i="7"/>
  <c r="C45" i="7"/>
  <c r="D45" i="7"/>
  <c r="G45" i="7"/>
  <c r="C9" i="7"/>
  <c r="D9" i="7"/>
  <c r="C36" i="4" l="1"/>
  <c r="D36" i="4"/>
  <c r="C18" i="4" l="1"/>
  <c r="D18" i="4"/>
  <c r="D71" i="3" l="1"/>
  <c r="C71" i="3"/>
  <c r="G70" i="8" l="1"/>
  <c r="G79" i="8" l="1"/>
  <c r="G78" i="8"/>
  <c r="G77" i="8"/>
  <c r="G76" i="8"/>
  <c r="G60" i="4"/>
  <c r="G59" i="4"/>
  <c r="G57" i="4"/>
  <c r="G56" i="4"/>
  <c r="G55" i="4"/>
  <c r="F24" i="37"/>
  <c r="E24" i="37"/>
  <c r="D24" i="37"/>
  <c r="F14" i="37"/>
  <c r="E14" i="37"/>
  <c r="D14" i="37"/>
  <c r="F10" i="37"/>
  <c r="E10" i="37"/>
  <c r="D10" i="37"/>
  <c r="F6" i="37"/>
  <c r="G7" i="4" s="1"/>
  <c r="G8" i="4" s="1"/>
  <c r="G20" i="4" s="1"/>
  <c r="E6" i="37"/>
  <c r="D6" i="37"/>
  <c r="F25" i="37" l="1"/>
  <c r="F26" i="37" s="1"/>
  <c r="G50" i="4"/>
  <c r="G61" i="4" s="1"/>
  <c r="G47" i="7" l="1"/>
  <c r="G66" i="4"/>
  <c r="G74" i="4"/>
  <c r="C74" i="4"/>
  <c r="G60" i="33"/>
  <c r="G59" i="33"/>
  <c r="G58" i="33"/>
  <c r="G57" i="33"/>
  <c r="C19" i="10"/>
  <c r="C22" i="10"/>
  <c r="C21" i="10"/>
  <c r="C16" i="10"/>
  <c r="C10" i="10"/>
  <c r="C8" i="10"/>
  <c r="C7" i="10"/>
  <c r="C6" i="10"/>
  <c r="C5" i="10"/>
  <c r="D84" i="3"/>
  <c r="C84" i="3"/>
  <c r="C24" i="10" l="1"/>
  <c r="T25" i="14"/>
  <c r="BX22" i="14"/>
  <c r="AV22" i="14"/>
  <c r="T22" i="14"/>
  <c r="H7" i="15" l="1"/>
  <c r="G6" i="15"/>
  <c r="H6" i="15"/>
  <c r="F6" i="15"/>
  <c r="D6" i="15"/>
  <c r="C6" i="15"/>
  <c r="J17" i="7" s="1"/>
  <c r="G5" i="15"/>
  <c r="M30" i="33" s="1"/>
  <c r="D36" i="33"/>
  <c r="C36" i="33"/>
  <c r="D26" i="33"/>
  <c r="C26" i="33"/>
  <c r="D17" i="33"/>
  <c r="C17" i="33"/>
  <c r="D11" i="33"/>
  <c r="C11" i="33"/>
  <c r="J35" i="8" l="1"/>
  <c r="I6" i="15"/>
  <c r="C64" i="33"/>
  <c r="C66" i="33" s="1"/>
  <c r="D64" i="33"/>
  <c r="D66" i="33" s="1"/>
  <c r="DZ22" i="14"/>
  <c r="CY22" i="14"/>
  <c r="EA11" i="14"/>
  <c r="M20" i="35"/>
  <c r="N18" i="35" s="1"/>
  <c r="O18" i="35" s="1"/>
  <c r="H20" i="35"/>
  <c r="I18" i="35" s="1"/>
  <c r="J18" i="35" s="1"/>
  <c r="C20" i="35"/>
  <c r="D19" i="35"/>
  <c r="D17" i="35"/>
  <c r="D16" i="35"/>
  <c r="H10" i="35"/>
  <c r="G10" i="35"/>
  <c r="C10" i="35"/>
  <c r="D9" i="35" s="1"/>
  <c r="E9" i="35" s="1"/>
  <c r="I9" i="35"/>
  <c r="I8" i="35"/>
  <c r="D8" i="35"/>
  <c r="E8" i="35" s="1"/>
  <c r="I7" i="35"/>
  <c r="D7" i="35"/>
  <c r="E7" i="35" s="1"/>
  <c r="I6" i="35"/>
  <c r="D6" i="35"/>
  <c r="E6" i="35" s="1"/>
  <c r="I5" i="35"/>
  <c r="D5" i="35"/>
  <c r="D10" i="35" s="1"/>
  <c r="BY8" i="14"/>
  <c r="N19" i="35" l="1"/>
  <c r="O19" i="35" s="1"/>
  <c r="E5" i="35"/>
  <c r="N15" i="35"/>
  <c r="O15" i="35" s="1"/>
  <c r="L8" i="35"/>
  <c r="L5" i="35"/>
  <c r="N5" i="35"/>
  <c r="N8" i="35"/>
  <c r="D15" i="35"/>
  <c r="E15" i="35" s="1"/>
  <c r="E16" i="35"/>
  <c r="D18" i="35"/>
  <c r="E18" i="35" s="1"/>
  <c r="I19" i="35"/>
  <c r="J19" i="35" s="1"/>
  <c r="N17" i="35"/>
  <c r="O17" i="35" s="1"/>
  <c r="E19" i="35"/>
  <c r="I16" i="35"/>
  <c r="J16" i="35" s="1"/>
  <c r="I17" i="35"/>
  <c r="J17" i="35" s="1"/>
  <c r="G62" i="33"/>
  <c r="N16" i="35"/>
  <c r="O16" i="35" s="1"/>
  <c r="I15" i="35"/>
  <c r="E17" i="35" l="1"/>
  <c r="N10" i="35"/>
  <c r="L10" i="35"/>
  <c r="N20" i="35"/>
  <c r="D20" i="35"/>
  <c r="O20" i="35"/>
  <c r="E20" i="35"/>
  <c r="I20" i="35"/>
  <c r="J15" i="35"/>
  <c r="J20" i="35" s="1"/>
  <c r="EA22" i="14" l="1"/>
  <c r="G27" i="8" s="1"/>
  <c r="CW21" i="14"/>
  <c r="CW22" i="14" s="1"/>
  <c r="BV22" i="14"/>
  <c r="AT22" i="14"/>
  <c r="R21" i="14"/>
  <c r="R17" i="14"/>
  <c r="T26" i="14" s="1"/>
  <c r="T27" i="14" s="1"/>
  <c r="R10" i="14"/>
  <c r="R22" i="14" l="1"/>
  <c r="J16" i="15"/>
  <c r="G16" i="15"/>
  <c r="E16" i="15"/>
  <c r="C5" i="15"/>
  <c r="M19" i="7" s="1"/>
  <c r="C16" i="15" l="1"/>
  <c r="J19" i="7"/>
  <c r="M35" i="15"/>
  <c r="K35" i="15"/>
  <c r="L35" i="15"/>
  <c r="J35" i="15"/>
  <c r="D26" i="15"/>
  <c r="F26" i="15"/>
  <c r="C26" i="15"/>
  <c r="E26" i="15"/>
  <c r="N35" i="15" l="1"/>
  <c r="G30" i="33" s="1"/>
  <c r="G28" i="8"/>
  <c r="G8" i="8"/>
  <c r="G67" i="8"/>
  <c r="G15" i="8"/>
  <c r="L32" i="21"/>
  <c r="L26" i="21"/>
  <c r="L23" i="21"/>
  <c r="I28" i="21"/>
  <c r="L29" i="21" s="1"/>
  <c r="I27" i="21"/>
  <c r="I33" i="21" s="1"/>
  <c r="G19" i="8" s="1"/>
  <c r="I17" i="21"/>
  <c r="G18" i="8" s="1"/>
  <c r="D12" i="3"/>
  <c r="G20" i="8" l="1"/>
  <c r="G22" i="8" s="1"/>
  <c r="D41" i="4"/>
  <c r="D76" i="4" s="1"/>
  <c r="C41" i="4"/>
  <c r="C26" i="4"/>
  <c r="D8" i="4"/>
  <c r="D20" i="4" s="1"/>
  <c r="C8" i="4"/>
  <c r="C20" i="4" s="1"/>
  <c r="D52" i="3"/>
  <c r="C52" i="3"/>
  <c r="D40" i="3"/>
  <c r="C40" i="3"/>
  <c r="D31" i="3"/>
  <c r="C31" i="3"/>
  <c r="D24" i="3"/>
  <c r="D26" i="3" s="1"/>
  <c r="C24" i="3"/>
  <c r="C12" i="3"/>
  <c r="C76" i="4" l="1"/>
  <c r="C78" i="4" s="1"/>
  <c r="D86" i="3"/>
  <c r="C26" i="3"/>
  <c r="C86" i="3"/>
  <c r="D78" i="4"/>
  <c r="D59" i="7"/>
  <c r="D60" i="7" s="1"/>
  <c r="C59" i="7"/>
  <c r="C60" i="7" s="1"/>
  <c r="D46" i="8" l="1"/>
  <c r="C46" i="8"/>
  <c r="D28" i="8"/>
  <c r="C28" i="8"/>
  <c r="D20" i="8"/>
  <c r="C20" i="8"/>
  <c r="D15" i="8"/>
  <c r="C15" i="8"/>
  <c r="D8" i="8"/>
  <c r="C8" i="8"/>
  <c r="C82" i="8" l="1"/>
  <c r="D82" i="8"/>
  <c r="D22" i="8"/>
  <c r="C22" i="8"/>
  <c r="C84" i="8" l="1"/>
  <c r="D84" i="8"/>
  <c r="DX12" i="14"/>
  <c r="F26" i="20" l="1"/>
  <c r="DX11" i="14" l="1"/>
  <c r="DX10" i="14"/>
  <c r="AW22" i="14" l="1"/>
  <c r="G16" i="33" s="1"/>
  <c r="G17" i="33" s="1"/>
  <c r="DX22" i="14" l="1"/>
  <c r="CZ22" i="14"/>
  <c r="G14" i="7" l="1"/>
  <c r="G15" i="7" s="1"/>
  <c r="U22" i="14"/>
  <c r="G25" i="4" s="1"/>
  <c r="G26" i="4" s="1"/>
  <c r="BY22" i="14" l="1"/>
  <c r="G30" i="3" s="1"/>
  <c r="G31" i="3" s="1"/>
  <c r="H33" i="21" l="1"/>
  <c r="G33" i="21"/>
  <c r="H90" i="21"/>
  <c r="H88" i="21"/>
  <c r="I88" i="21" s="1"/>
  <c r="J88" i="21" s="1"/>
  <c r="H87" i="21"/>
  <c r="I87" i="21" s="1"/>
  <c r="J87" i="21" s="1"/>
  <c r="H81" i="21"/>
  <c r="H69" i="21"/>
  <c r="G6" i="33"/>
  <c r="G11" i="33" s="1"/>
  <c r="H53" i="24"/>
  <c r="G7" i="33" s="1"/>
  <c r="G53" i="24"/>
  <c r="F53" i="24"/>
  <c r="E53" i="24"/>
  <c r="E77" i="24"/>
  <c r="F77" i="24"/>
  <c r="G77" i="24"/>
  <c r="H77" i="24"/>
  <c r="F17" i="21"/>
  <c r="E17" i="21"/>
  <c r="H17" i="21"/>
  <c r="D5" i="15" l="1"/>
  <c r="M32" i="8" s="1"/>
  <c r="J32" i="8" l="1"/>
  <c r="D16" i="15"/>
  <c r="D35" i="15" s="1"/>
  <c r="M43" i="20"/>
  <c r="F41" i="20"/>
  <c r="H41" i="20" s="1"/>
  <c r="I41" i="20" s="1"/>
  <c r="J41" i="20" s="1"/>
  <c r="F40" i="20"/>
  <c r="H40" i="20" s="1"/>
  <c r="I40" i="20" s="1"/>
  <c r="J40" i="20" s="1"/>
  <c r="F39" i="20"/>
  <c r="H39" i="20" s="1"/>
  <c r="I39" i="20" s="1"/>
  <c r="J39" i="20" s="1"/>
  <c r="F38" i="20"/>
  <c r="H38" i="20" s="1"/>
  <c r="I38" i="20" s="1"/>
  <c r="J38" i="20" s="1"/>
  <c r="F37" i="20"/>
  <c r="H37" i="20" s="1"/>
  <c r="I37" i="20" s="1"/>
  <c r="J37" i="20" s="1"/>
  <c r="F36" i="20"/>
  <c r="H36" i="20" s="1"/>
  <c r="I36" i="20" s="1"/>
  <c r="J36" i="20" s="1"/>
  <c r="F35" i="20"/>
  <c r="F34" i="20"/>
  <c r="H34" i="20" s="1"/>
  <c r="I34" i="20" s="1"/>
  <c r="J34" i="20" s="1"/>
  <c r="F55" i="20"/>
  <c r="H55" i="20" s="1"/>
  <c r="F33" i="20"/>
  <c r="H33" i="20" s="1"/>
  <c r="I33" i="20" s="1"/>
  <c r="J33" i="20" s="1"/>
  <c r="F32" i="20"/>
  <c r="H32" i="20" s="1"/>
  <c r="M31" i="20"/>
  <c r="M44" i="20" s="1"/>
  <c r="I30" i="20"/>
  <c r="J30" i="20" s="1"/>
  <c r="F30" i="20"/>
  <c r="I29" i="20"/>
  <c r="J29" i="20" s="1"/>
  <c r="F29" i="20"/>
  <c r="I28" i="20"/>
  <c r="J28" i="20" s="1"/>
  <c r="F28" i="20"/>
  <c r="I27" i="20"/>
  <c r="J27" i="20" s="1"/>
  <c r="F27" i="20"/>
  <c r="F56" i="20"/>
  <c r="H56" i="20" s="1"/>
  <c r="I56" i="20" s="1"/>
  <c r="J56" i="20" s="1"/>
  <c r="I54" i="20"/>
  <c r="J54" i="20" s="1"/>
  <c r="F54" i="20"/>
  <c r="F25" i="20"/>
  <c r="H25" i="20" s="1"/>
  <c r="I25" i="20" s="1"/>
  <c r="J25" i="20" s="1"/>
  <c r="I24" i="20"/>
  <c r="J24" i="20" s="1"/>
  <c r="F24" i="20"/>
  <c r="I23" i="20"/>
  <c r="J23" i="20" s="1"/>
  <c r="F23" i="20"/>
  <c r="F22" i="20"/>
  <c r="H22" i="20" s="1"/>
  <c r="I22" i="20" s="1"/>
  <c r="J22" i="20" s="1"/>
  <c r="F21" i="20"/>
  <c r="H21" i="20" s="1"/>
  <c r="I21" i="20" s="1"/>
  <c r="J21" i="20" s="1"/>
  <c r="I20" i="20"/>
  <c r="J20" i="20" s="1"/>
  <c r="F20" i="20"/>
  <c r="I19" i="20"/>
  <c r="J19" i="20" s="1"/>
  <c r="F19" i="20"/>
  <c r="I18" i="20"/>
  <c r="J18" i="20" s="1"/>
  <c r="F18" i="20"/>
  <c r="M15" i="20"/>
  <c r="I14" i="20"/>
  <c r="J14" i="20" s="1"/>
  <c r="F14" i="20"/>
  <c r="F13" i="20"/>
  <c r="H13" i="20" s="1"/>
  <c r="H15" i="20" s="1"/>
  <c r="I12" i="20"/>
  <c r="J12" i="20" s="1"/>
  <c r="F12" i="20"/>
  <c r="I11" i="20"/>
  <c r="J11" i="20" s="1"/>
  <c r="F11" i="20"/>
  <c r="I10" i="20"/>
  <c r="J10" i="20" s="1"/>
  <c r="F10" i="20"/>
  <c r="M9" i="20"/>
  <c r="I8" i="20"/>
  <c r="J8" i="20" s="1"/>
  <c r="F8" i="20"/>
  <c r="I7" i="20"/>
  <c r="J7" i="20" s="1"/>
  <c r="F7" i="20"/>
  <c r="I6" i="20"/>
  <c r="J6" i="20" s="1"/>
  <c r="F6" i="20"/>
  <c r="I5" i="20"/>
  <c r="J5" i="20" s="1"/>
  <c r="F5" i="20"/>
  <c r="F4" i="20"/>
  <c r="H4" i="20" s="1"/>
  <c r="I3" i="20"/>
  <c r="J3" i="20" s="1"/>
  <c r="F3" i="20"/>
  <c r="F35" i="15" l="1"/>
  <c r="E35" i="15"/>
  <c r="C35" i="15"/>
  <c r="H35" i="20"/>
  <c r="I35" i="20" s="1"/>
  <c r="J35" i="20" s="1"/>
  <c r="I32" i="20"/>
  <c r="J32" i="20" s="1"/>
  <c r="H43" i="20"/>
  <c r="M16" i="20"/>
  <c r="I4" i="20"/>
  <c r="J4" i="20" s="1"/>
  <c r="H9" i="20"/>
  <c r="I55" i="20"/>
  <c r="J55" i="20" s="1"/>
  <c r="M46" i="20"/>
  <c r="H31" i="20"/>
  <c r="I13" i="20"/>
  <c r="J13" i="20" s="1"/>
  <c r="H44" i="20" l="1"/>
  <c r="H16" i="20"/>
  <c r="H46" i="20" l="1"/>
  <c r="H18" i="15"/>
  <c r="K46" i="15" l="1"/>
  <c r="J46" i="15"/>
  <c r="M46" i="15"/>
  <c r="L46" i="15"/>
  <c r="C35" i="10"/>
  <c r="N46" i="15" l="1"/>
  <c r="B18" i="29"/>
  <c r="I8" i="28" l="1"/>
  <c r="I9" i="28"/>
  <c r="I7" i="28"/>
  <c r="I6" i="28"/>
  <c r="I5" i="28"/>
  <c r="J18" i="28"/>
  <c r="I18" i="28"/>
  <c r="DU11" i="14" l="1"/>
  <c r="DU10" i="14"/>
  <c r="CT21" i="14"/>
  <c r="CT17" i="14"/>
  <c r="CT22" i="14" l="1"/>
  <c r="DU22" i="14"/>
  <c r="BU30" i="14"/>
  <c r="BU29" i="14"/>
  <c r="BU28" i="14"/>
  <c r="BU27" i="14"/>
  <c r="BU26" i="14"/>
  <c r="BS22" i="14"/>
  <c r="AS30" i="14"/>
  <c r="AS29" i="14"/>
  <c r="AS28" i="14"/>
  <c r="AS27" i="14"/>
  <c r="AS26" i="14"/>
  <c r="AL43" i="14" s="1"/>
  <c r="AQ22" i="14"/>
  <c r="O21" i="14"/>
  <c r="O17" i="14"/>
  <c r="O10" i="14"/>
  <c r="B9" i="29"/>
  <c r="O22" i="14" l="1"/>
  <c r="BU31" i="14"/>
  <c r="G89" i="21"/>
  <c r="H89" i="21" s="1"/>
  <c r="I89" i="21" s="1"/>
  <c r="G69" i="21"/>
  <c r="G81" i="21"/>
  <c r="J89" i="21" l="1"/>
  <c r="G20" i="3"/>
  <c r="G24" i="3" s="1"/>
  <c r="G26" i="3" s="1"/>
  <c r="C34" i="10"/>
  <c r="C44" i="10"/>
  <c r="C43" i="10"/>
  <c r="C41" i="10"/>
  <c r="C37" i="10"/>
  <c r="C33" i="10"/>
  <c r="C32" i="10"/>
  <c r="C30" i="10"/>
  <c r="C29" i="10"/>
  <c r="C60" i="10"/>
  <c r="C61" i="10"/>
  <c r="C63" i="10"/>
  <c r="C64" i="10"/>
  <c r="C65" i="10"/>
  <c r="C66" i="10"/>
  <c r="C67" i="10"/>
  <c r="C71" i="10"/>
  <c r="C72" i="10"/>
  <c r="C73" i="10"/>
  <c r="C74" i="10"/>
  <c r="G17" i="21"/>
  <c r="E59" i="13"/>
  <c r="D59" i="13"/>
  <c r="C59" i="13"/>
  <c r="K57" i="13"/>
  <c r="J57" i="13"/>
  <c r="C47" i="10" l="1"/>
  <c r="C48" i="10" s="1"/>
  <c r="C54" i="10" s="1"/>
  <c r="C77" i="10"/>
  <c r="C78" i="10" s="1"/>
  <c r="C55" i="10" l="1"/>
  <c r="B27" i="26" l="1"/>
  <c r="C27" i="26"/>
  <c r="T17" i="26"/>
  <c r="V17" i="26" s="1"/>
  <c r="R17" i="26"/>
  <c r="T16" i="26"/>
  <c r="V16" i="26" s="1"/>
  <c r="R16" i="26"/>
  <c r="P13" i="26"/>
  <c r="R12" i="26"/>
  <c r="T12" i="26" s="1"/>
  <c r="V12" i="26" s="1"/>
  <c r="R11" i="26"/>
  <c r="T11" i="26" s="1"/>
  <c r="V11" i="26" s="1"/>
  <c r="R10" i="26"/>
  <c r="T10" i="26" s="1"/>
  <c r="V10" i="26" s="1"/>
  <c r="R9" i="26"/>
  <c r="T9" i="26" s="1"/>
  <c r="V9" i="26" s="1"/>
  <c r="V8" i="26"/>
  <c r="R8" i="26"/>
  <c r="T7" i="26"/>
  <c r="V7" i="26" s="1"/>
  <c r="R7" i="26"/>
  <c r="R6" i="26"/>
  <c r="K81" i="13"/>
  <c r="J81" i="13"/>
  <c r="E83" i="13"/>
  <c r="D83" i="13"/>
  <c r="C83" i="13"/>
  <c r="R13" i="26" l="1"/>
  <c r="T6" i="26"/>
  <c r="V6" i="26" l="1"/>
  <c r="V13" i="26" s="1"/>
  <c r="T13" i="26"/>
  <c r="H11" i="15" l="1"/>
  <c r="C84" i="10" l="1"/>
  <c r="C85" i="10" s="1"/>
  <c r="H101" i="24"/>
  <c r="F101" i="24"/>
  <c r="E101" i="24"/>
  <c r="DR5" i="14" l="1"/>
  <c r="DR11" i="14"/>
  <c r="DR10" i="14"/>
  <c r="DR6" i="14"/>
  <c r="CQ21" i="14"/>
  <c r="CQ17" i="14"/>
  <c r="CQ6" i="14"/>
  <c r="CQ5" i="14"/>
  <c r="AN6" i="14"/>
  <c r="AN5" i="14"/>
  <c r="DR22" i="14" l="1"/>
  <c r="CQ22" i="14"/>
  <c r="AN22" i="14"/>
  <c r="BP8" i="14"/>
  <c r="BP6" i="14"/>
  <c r="BP5" i="14"/>
  <c r="L17" i="14"/>
  <c r="L21" i="14"/>
  <c r="L10" i="14"/>
  <c r="L6" i="14"/>
  <c r="L5" i="14"/>
  <c r="BP22" i="14" l="1"/>
  <c r="L22" i="14"/>
  <c r="F103" i="21" l="1"/>
  <c r="F89" i="21"/>
  <c r="F81" i="21"/>
  <c r="F69" i="21"/>
  <c r="F33" i="21"/>
  <c r="K105" i="13" l="1"/>
  <c r="I105" i="13"/>
  <c r="J105" i="13"/>
  <c r="F130" i="24" l="1"/>
  <c r="E130" i="24" l="1"/>
  <c r="C109" i="13" l="1"/>
  <c r="BM31" i="14" l="1"/>
  <c r="BN30" i="14" s="1"/>
  <c r="CN7" i="14"/>
  <c r="AE43" i="14"/>
  <c r="AP30" i="14" s="1"/>
  <c r="BJ30" i="14" s="1"/>
  <c r="BR30" i="14" l="1"/>
  <c r="DO5" i="14" s="1"/>
  <c r="BN27" i="14"/>
  <c r="AP28" i="14"/>
  <c r="BJ28" i="14" s="1"/>
  <c r="AP27" i="14"/>
  <c r="BJ27" i="14" s="1"/>
  <c r="AP29" i="14"/>
  <c r="BJ29" i="14" s="1"/>
  <c r="AP26" i="14"/>
  <c r="BN29" i="14"/>
  <c r="BN26" i="14"/>
  <c r="BR26" i="14" s="1"/>
  <c r="BN28" i="14"/>
  <c r="BR27" i="14" l="1"/>
  <c r="AK5" i="14" s="1"/>
  <c r="BR29" i="14"/>
  <c r="CN5" i="14" s="1"/>
  <c r="BJ26" i="14"/>
  <c r="AI43" i="14"/>
  <c r="BR28" i="14"/>
  <c r="BM5" i="14" s="1"/>
  <c r="BN31" i="14"/>
  <c r="I5" i="14" l="1"/>
  <c r="BJ31" i="14"/>
  <c r="BR31" i="14"/>
  <c r="I21" i="14" l="1"/>
  <c r="CN21" i="14"/>
  <c r="E109" i="13"/>
  <c r="H18" i="28" l="1"/>
  <c r="G18" i="28"/>
  <c r="F18" i="28"/>
  <c r="E18" i="28"/>
  <c r="D18" i="28"/>
  <c r="D109" i="13"/>
  <c r="M16" i="26"/>
  <c r="O16" i="26" s="1"/>
  <c r="M17" i="26"/>
  <c r="O17" i="26" s="1"/>
  <c r="O10" i="26"/>
  <c r="O8" i="26"/>
  <c r="K16" i="26"/>
  <c r="K17" i="26"/>
  <c r="M12" i="26"/>
  <c r="O12" i="26" s="1"/>
  <c r="M7" i="26"/>
  <c r="O7" i="26" s="1"/>
  <c r="K12" i="26"/>
  <c r="K10" i="26"/>
  <c r="K9" i="26"/>
  <c r="M9" i="26" s="1"/>
  <c r="O9" i="26" s="1"/>
  <c r="K8" i="26"/>
  <c r="K7" i="26"/>
  <c r="K11" i="26"/>
  <c r="M11" i="26" s="1"/>
  <c r="O11" i="26" s="1"/>
  <c r="K6" i="26"/>
  <c r="I13" i="26"/>
  <c r="H17" i="26"/>
  <c r="D17" i="26"/>
  <c r="H12" i="26"/>
  <c r="D12" i="26"/>
  <c r="F12" i="26" s="1"/>
  <c r="H11" i="26"/>
  <c r="D11" i="26"/>
  <c r="F11" i="26" s="1"/>
  <c r="H8" i="26"/>
  <c r="D8" i="26"/>
  <c r="F8" i="26" s="1"/>
  <c r="H7" i="26"/>
  <c r="D7" i="26"/>
  <c r="F7" i="26" s="1"/>
  <c r="H6" i="26"/>
  <c r="D6" i="26"/>
  <c r="F6" i="26" s="1"/>
  <c r="K13" i="26" l="1"/>
  <c r="M6" i="26"/>
  <c r="H13" i="26"/>
  <c r="F13" i="26"/>
  <c r="D13" i="26"/>
  <c r="M13" i="26" l="1"/>
  <c r="O6" i="26"/>
  <c r="O13" i="26" s="1"/>
  <c r="AB13" i="15" l="1"/>
  <c r="X13" i="15"/>
  <c r="X14" i="15"/>
  <c r="X15" i="15"/>
  <c r="X18" i="15"/>
  <c r="X19" i="15"/>
  <c r="X24" i="15"/>
  <c r="F5" i="15"/>
  <c r="M30" i="4" s="1"/>
  <c r="H5" i="15"/>
  <c r="M44" i="3" s="1"/>
  <c r="S5" i="15"/>
  <c r="H16" i="15" l="1"/>
  <c r="F16" i="15"/>
  <c r="M26" i="15" s="1"/>
  <c r="I16" i="15"/>
  <c r="K16" i="15" s="1"/>
  <c r="X20" i="15"/>
  <c r="K26" i="15" l="1"/>
  <c r="L26" i="15"/>
  <c r="J26" i="15"/>
  <c r="L44" i="15"/>
  <c r="J44" i="15"/>
  <c r="M44" i="15"/>
  <c r="K44" i="15"/>
  <c r="H41" i="10"/>
  <c r="H40" i="10"/>
  <c r="H33" i="10"/>
  <c r="N44" i="15" l="1"/>
  <c r="C104" i="10"/>
  <c r="H44" i="10" s="1"/>
  <c r="DO12" i="14" l="1"/>
  <c r="DO11" i="14"/>
  <c r="DO10" i="14"/>
  <c r="CN17" i="14"/>
  <c r="BM19" i="14"/>
  <c r="BM8" i="14"/>
  <c r="BM22" i="14" l="1"/>
  <c r="DO22" i="14"/>
  <c r="CN22" i="14"/>
  <c r="AK22" i="14"/>
  <c r="I17" i="14"/>
  <c r="I10" i="14"/>
  <c r="I9" i="14"/>
  <c r="I22" i="14" l="1"/>
  <c r="B22" i="14"/>
  <c r="D22" i="14"/>
  <c r="DN22" i="14" l="1"/>
  <c r="CM22" i="14"/>
  <c r="AJ22" i="14"/>
  <c r="H22" i="14"/>
  <c r="BL22" i="14" l="1"/>
  <c r="L77" i="21" l="1"/>
  <c r="L76" i="21"/>
  <c r="L68" i="21"/>
  <c r="L67" i="21"/>
  <c r="E69" i="21"/>
  <c r="F155" i="24" l="1"/>
  <c r="F181" i="24"/>
  <c r="E28" i="21" l="1"/>
  <c r="E27" i="21"/>
  <c r="E33" i="21" l="1"/>
  <c r="C105" i="10" l="1"/>
  <c r="L10" i="15" l="1"/>
  <c r="J17" i="15"/>
  <c r="E17" i="15"/>
  <c r="S6" i="15"/>
  <c r="K10" i="15" l="1"/>
  <c r="L11" i="15" s="1"/>
  <c r="H17" i="15"/>
  <c r="M45" i="15" l="1"/>
  <c r="K45" i="15"/>
  <c r="L45" i="15"/>
  <c r="J45" i="15"/>
  <c r="C17" i="15"/>
  <c r="F17" i="15"/>
  <c r="J27" i="15" s="1"/>
  <c r="D17" i="15"/>
  <c r="G17" i="15"/>
  <c r="E36" i="15" l="1"/>
  <c r="C36" i="15"/>
  <c r="F36" i="15"/>
  <c r="D36" i="15"/>
  <c r="E27" i="15"/>
  <c r="F27" i="15"/>
  <c r="D27" i="15"/>
  <c r="C27" i="15"/>
  <c r="M36" i="15"/>
  <c r="K36" i="15"/>
  <c r="L36" i="15"/>
  <c r="J36" i="15"/>
  <c r="N45" i="15"/>
  <c r="L27" i="15"/>
  <c r="K27" i="15"/>
  <c r="M27" i="15"/>
  <c r="I17" i="15"/>
  <c r="K17" i="15" s="1"/>
  <c r="N36" i="15" l="1"/>
  <c r="G29" i="33" s="1"/>
  <c r="G36" i="15"/>
  <c r="G35" i="8" s="1"/>
  <c r="G27" i="15"/>
  <c r="G17" i="7" s="1"/>
  <c r="C103" i="10"/>
  <c r="H43" i="10" s="1"/>
  <c r="C88" i="21" l="1"/>
  <c r="C87" i="21"/>
  <c r="D87" i="21" s="1"/>
  <c r="E87" i="21" s="1"/>
  <c r="B89" i="21"/>
  <c r="B69" i="21"/>
  <c r="D69" i="21"/>
  <c r="C28" i="21"/>
  <c r="D27" i="21"/>
  <c r="D28" i="21" s="1"/>
  <c r="D17" i="21"/>
  <c r="C103" i="21"/>
  <c r="L101" i="21"/>
  <c r="L96" i="21"/>
  <c r="M80" i="21"/>
  <c r="N80" i="21" s="1"/>
  <c r="C69" i="21"/>
  <c r="L69" i="21"/>
  <c r="C55" i="21"/>
  <c r="B55" i="21"/>
  <c r="C46" i="21"/>
  <c r="B46" i="21"/>
  <c r="L45" i="21"/>
  <c r="L43" i="21"/>
  <c r="C32" i="21"/>
  <c r="C31" i="21"/>
  <c r="C30" i="21"/>
  <c r="C29" i="21"/>
  <c r="O27" i="21"/>
  <c r="C27" i="21"/>
  <c r="P24" i="21"/>
  <c r="C17" i="21"/>
  <c r="B17" i="21"/>
  <c r="L103" i="21" l="1"/>
  <c r="C89" i="21"/>
  <c r="L46" i="21"/>
  <c r="D33" i="21"/>
  <c r="C33" i="21"/>
  <c r="L17" i="21"/>
  <c r="D88" i="21"/>
  <c r="E79" i="21"/>
  <c r="E78" i="21"/>
  <c r="E80" i="21"/>
  <c r="L33" i="21"/>
  <c r="D89" i="21" l="1"/>
  <c r="E88" i="21"/>
  <c r="E89" i="21" s="1"/>
  <c r="E81" i="21"/>
  <c r="DL12" i="14" l="1"/>
  <c r="DL11" i="14"/>
  <c r="DL10" i="14"/>
  <c r="DL5" i="14"/>
  <c r="CK15" i="14"/>
  <c r="CK17" i="14"/>
  <c r="CK5" i="14"/>
  <c r="BJ19" i="14"/>
  <c r="BJ8" i="14"/>
  <c r="BJ5" i="14"/>
  <c r="AH5" i="14"/>
  <c r="AH22" i="14" s="1"/>
  <c r="F17" i="14"/>
  <c r="F10" i="14"/>
  <c r="F9" i="14"/>
  <c r="F5" i="14"/>
  <c r="DK22" i="14"/>
  <c r="CJ22" i="14"/>
  <c r="AF22" i="14"/>
  <c r="AD22" i="14"/>
  <c r="BH22" i="14"/>
  <c r="BF22" i="14"/>
  <c r="BJ22" i="14" l="1"/>
  <c r="CK22" i="14"/>
  <c r="F22" i="14"/>
  <c r="F23" i="14"/>
  <c r="DL22" i="14"/>
  <c r="W41" i="15" l="1"/>
  <c r="U41" i="15"/>
  <c r="W36" i="15"/>
  <c r="AA36" i="15" s="1"/>
  <c r="AB36" i="15" s="1"/>
  <c r="U36" i="15"/>
  <c r="Z36" i="15" s="1"/>
  <c r="AB34" i="15"/>
  <c r="U34" i="15"/>
  <c r="Z34" i="15" s="1"/>
  <c r="W33" i="15"/>
  <c r="AA33" i="15" s="1"/>
  <c r="AB33" i="15" s="1"/>
  <c r="U33" i="15"/>
  <c r="Z33" i="15" s="1"/>
  <c r="W32" i="15"/>
  <c r="AA32" i="15" s="1"/>
  <c r="AB32" i="15" s="1"/>
  <c r="U32" i="15"/>
  <c r="Z32" i="15" s="1"/>
  <c r="W31" i="15"/>
  <c r="AA31" i="15" s="1"/>
  <c r="U31" i="15"/>
  <c r="AB24" i="15"/>
  <c r="J20" i="15"/>
  <c r="AB19" i="15"/>
  <c r="Z19" i="15"/>
  <c r="AB18" i="15"/>
  <c r="Z18" i="15"/>
  <c r="J18" i="15"/>
  <c r="AB15" i="15"/>
  <c r="Z15" i="15"/>
  <c r="J15" i="15"/>
  <c r="N26" i="15" s="1"/>
  <c r="AB14" i="15"/>
  <c r="Z14" i="15"/>
  <c r="Z13" i="15"/>
  <c r="S9" i="15"/>
  <c r="H20" i="15"/>
  <c r="G9" i="15"/>
  <c r="G20" i="15" s="1"/>
  <c r="F9" i="15"/>
  <c r="F20" i="15" s="1"/>
  <c r="E9" i="15"/>
  <c r="E20" i="15" s="1"/>
  <c r="D9" i="15"/>
  <c r="C9" i="15"/>
  <c r="S8" i="15"/>
  <c r="H8" i="15"/>
  <c r="G8" i="15"/>
  <c r="F8" i="15"/>
  <c r="E8" i="15"/>
  <c r="D8" i="15"/>
  <c r="AE17" i="15" s="1"/>
  <c r="C8" i="15"/>
  <c r="S7" i="15"/>
  <c r="G7" i="15"/>
  <c r="F7" i="15"/>
  <c r="F18" i="15" s="1"/>
  <c r="E7" i="15"/>
  <c r="E18" i="15" s="1"/>
  <c r="D7" i="15"/>
  <c r="C7" i="15"/>
  <c r="S4" i="15"/>
  <c r="H4" i="15"/>
  <c r="G4" i="15"/>
  <c r="F4" i="15"/>
  <c r="M36" i="4" s="1"/>
  <c r="M76" i="4" s="1"/>
  <c r="E4" i="15"/>
  <c r="E15" i="15" s="1"/>
  <c r="D4" i="15"/>
  <c r="J31" i="8" s="1"/>
  <c r="C4" i="15"/>
  <c r="DI22" i="14"/>
  <c r="CH22" i="14"/>
  <c r="M47" i="15" l="1"/>
  <c r="J33" i="8"/>
  <c r="J39" i="8" s="1"/>
  <c r="J82" i="8" s="1"/>
  <c r="M28" i="15"/>
  <c r="L28" i="15"/>
  <c r="K28" i="15"/>
  <c r="J28" i="15"/>
  <c r="G18" i="15"/>
  <c r="M24" i="7"/>
  <c r="M59" i="7" s="1"/>
  <c r="M60" i="7" s="1"/>
  <c r="J21" i="7"/>
  <c r="J24" i="7" s="1"/>
  <c r="J59" i="7" s="1"/>
  <c r="M36" i="33"/>
  <c r="M64" i="33" s="1"/>
  <c r="D11" i="2" s="1"/>
  <c r="J36" i="33"/>
  <c r="J64" i="33" s="1"/>
  <c r="M78" i="4"/>
  <c r="D16" i="2"/>
  <c r="M52" i="3"/>
  <c r="M86" i="3" s="1"/>
  <c r="C20" i="15"/>
  <c r="D29" i="15" s="1"/>
  <c r="I9" i="15"/>
  <c r="G31" i="8"/>
  <c r="M39" i="8"/>
  <c r="M82" i="8" s="1"/>
  <c r="M84" i="8" s="1"/>
  <c r="G15" i="15"/>
  <c r="M34" i="15" s="1"/>
  <c r="G31" i="33"/>
  <c r="F15" i="15"/>
  <c r="L25" i="15" s="1"/>
  <c r="H15" i="15"/>
  <c r="C15" i="15"/>
  <c r="F25" i="15" s="1"/>
  <c r="G21" i="7"/>
  <c r="D25" i="15"/>
  <c r="AE18" i="15"/>
  <c r="AF17" i="15"/>
  <c r="AE19" i="15"/>
  <c r="I7" i="15"/>
  <c r="J34" i="15"/>
  <c r="L47" i="15"/>
  <c r="K47" i="15"/>
  <c r="J47" i="15"/>
  <c r="K29" i="15"/>
  <c r="M29" i="15"/>
  <c r="J29" i="15"/>
  <c r="M38" i="15"/>
  <c r="L38" i="15"/>
  <c r="K38" i="15"/>
  <c r="J38" i="15"/>
  <c r="F29" i="15"/>
  <c r="N27" i="15"/>
  <c r="X41" i="15"/>
  <c r="C18" i="15"/>
  <c r="X32" i="15"/>
  <c r="AB20" i="15"/>
  <c r="J21" i="15"/>
  <c r="I8" i="15"/>
  <c r="H10" i="15"/>
  <c r="H12" i="15" s="1"/>
  <c r="E11" i="15"/>
  <c r="I11" i="15" s="1"/>
  <c r="I4" i="15"/>
  <c r="L29" i="15"/>
  <c r="D10" i="15"/>
  <c r="D12" i="15" s="1"/>
  <c r="D18" i="15"/>
  <c r="E21" i="15"/>
  <c r="D20" i="15"/>
  <c r="AA37" i="15"/>
  <c r="AB31" i="15"/>
  <c r="AB37" i="15" s="1"/>
  <c r="X36" i="15"/>
  <c r="Z20" i="15"/>
  <c r="D15" i="15"/>
  <c r="Z31" i="15"/>
  <c r="Z37" i="15" s="1"/>
  <c r="U37" i="15"/>
  <c r="X31" i="15"/>
  <c r="F10" i="15"/>
  <c r="F12" i="15" s="1"/>
  <c r="E10" i="15"/>
  <c r="C10" i="15"/>
  <c r="G10" i="15"/>
  <c r="C97" i="10"/>
  <c r="C96" i="10"/>
  <c r="H37" i="10" s="1"/>
  <c r="C95" i="10"/>
  <c r="H36" i="10" s="1"/>
  <c r="C94" i="10"/>
  <c r="H35" i="10" s="1"/>
  <c r="C93" i="10"/>
  <c r="H34" i="10" s="1"/>
  <c r="C91" i="10"/>
  <c r="H32" i="10" s="1"/>
  <c r="C90" i="10"/>
  <c r="H31" i="10" s="1"/>
  <c r="F16" i="2" l="1"/>
  <c r="D17" i="2"/>
  <c r="D12" i="2"/>
  <c r="D6" i="2"/>
  <c r="J66" i="33"/>
  <c r="C11" i="2"/>
  <c r="F11" i="2" s="1"/>
  <c r="J84" i="8"/>
  <c r="C14" i="6"/>
  <c r="C15" i="6" s="1"/>
  <c r="J60" i="7"/>
  <c r="C6" i="6"/>
  <c r="N28" i="15"/>
  <c r="D6" i="6"/>
  <c r="D12" i="1" s="1"/>
  <c r="M66" i="33"/>
  <c r="C29" i="15"/>
  <c r="L30" i="15"/>
  <c r="E28" i="15"/>
  <c r="D28" i="15"/>
  <c r="C28" i="15"/>
  <c r="M37" i="15"/>
  <c r="J37" i="15"/>
  <c r="L37" i="15"/>
  <c r="K37" i="15"/>
  <c r="C25" i="15"/>
  <c r="M88" i="3"/>
  <c r="J39" i="15"/>
  <c r="M39" i="15"/>
  <c r="D14" i="6"/>
  <c r="L34" i="15"/>
  <c r="L39" i="15" s="1"/>
  <c r="K34" i="15"/>
  <c r="K39" i="15" s="1"/>
  <c r="G12" i="15"/>
  <c r="G52" i="3"/>
  <c r="G86" i="3" s="1"/>
  <c r="G88" i="3" s="1"/>
  <c r="E25" i="15"/>
  <c r="K25" i="15"/>
  <c r="K30" i="15" s="1"/>
  <c r="M25" i="15"/>
  <c r="M30" i="15" s="1"/>
  <c r="F21" i="15"/>
  <c r="J25" i="15"/>
  <c r="M43" i="15"/>
  <c r="M48" i="15" s="1"/>
  <c r="K43" i="15"/>
  <c r="K48" i="15" s="1"/>
  <c r="L43" i="15"/>
  <c r="L48" i="15" s="1"/>
  <c r="J43" i="15"/>
  <c r="C37" i="15"/>
  <c r="E37" i="15"/>
  <c r="D37" i="15"/>
  <c r="F37" i="15"/>
  <c r="D38" i="15"/>
  <c r="F38" i="15"/>
  <c r="C38" i="15"/>
  <c r="E38" i="15"/>
  <c r="E34" i="15"/>
  <c r="C34" i="15"/>
  <c r="F34" i="15"/>
  <c r="D34" i="15"/>
  <c r="G26" i="15"/>
  <c r="G19" i="7" s="1"/>
  <c r="G21" i="15"/>
  <c r="AE20" i="15"/>
  <c r="I18" i="15"/>
  <c r="K18" i="15" s="1"/>
  <c r="F28" i="15"/>
  <c r="G28" i="15" s="1"/>
  <c r="G18" i="7" s="1"/>
  <c r="I20" i="15"/>
  <c r="K20" i="15" s="1"/>
  <c r="C39" i="15"/>
  <c r="E29" i="15"/>
  <c r="F39" i="15"/>
  <c r="D39" i="15"/>
  <c r="E39" i="15"/>
  <c r="H48" i="10"/>
  <c r="C21" i="15"/>
  <c r="I10" i="15"/>
  <c r="I12" i="15" s="1"/>
  <c r="I15" i="15"/>
  <c r="K15" i="15" s="1"/>
  <c r="E12" i="15"/>
  <c r="H21" i="15"/>
  <c r="C108" i="10"/>
  <c r="C109" i="10" s="1"/>
  <c r="N29" i="15"/>
  <c r="X37" i="15"/>
  <c r="N47" i="15"/>
  <c r="C12" i="15"/>
  <c r="D21" i="15"/>
  <c r="N38" i="15"/>
  <c r="D15" i="1" l="1"/>
  <c r="F15" i="1"/>
  <c r="F17" i="2"/>
  <c r="D19" i="2"/>
  <c r="D20" i="2" s="1"/>
  <c r="D7" i="2"/>
  <c r="F7" i="2" s="1"/>
  <c r="F6" i="2"/>
  <c r="D6" i="1"/>
  <c r="F19" i="2"/>
  <c r="C12" i="2"/>
  <c r="C20" i="2" s="1"/>
  <c r="C6" i="1"/>
  <c r="C8" i="1" s="1"/>
  <c r="C7" i="6"/>
  <c r="C10" i="6" s="1"/>
  <c r="C17" i="6" s="1"/>
  <c r="C12" i="1"/>
  <c r="C15" i="1" s="1"/>
  <c r="G29" i="15"/>
  <c r="N34" i="15"/>
  <c r="N37" i="15"/>
  <c r="G32" i="33" s="1"/>
  <c r="G35" i="33" s="1"/>
  <c r="G36" i="33" s="1"/>
  <c r="G64" i="33" s="1"/>
  <c r="G66" i="33" s="1"/>
  <c r="N25" i="15"/>
  <c r="N30" i="15" s="1"/>
  <c r="J30" i="15"/>
  <c r="N43" i="15"/>
  <c r="J48" i="15"/>
  <c r="G23" i="7"/>
  <c r="G24" i="7" s="1"/>
  <c r="G59" i="7" s="1"/>
  <c r="G37" i="15"/>
  <c r="G33" i="8" s="1"/>
  <c r="G38" i="15"/>
  <c r="G34" i="15"/>
  <c r="G25" i="15"/>
  <c r="G30" i="15" s="1"/>
  <c r="C116" i="10"/>
  <c r="I21" i="15"/>
  <c r="N39" i="15"/>
  <c r="G35" i="15"/>
  <c r="G32" i="8" s="1"/>
  <c r="G39" i="15"/>
  <c r="F12" i="1" l="1"/>
  <c r="F22" i="1"/>
  <c r="F20" i="2"/>
  <c r="D8" i="1"/>
  <c r="F6" i="1"/>
  <c r="F12" i="2"/>
  <c r="C25" i="6"/>
  <c r="C23" i="1"/>
  <c r="G36" i="4"/>
  <c r="G76" i="4" s="1"/>
  <c r="G78" i="4" s="1"/>
  <c r="G37" i="8"/>
  <c r="G39" i="8" s="1"/>
  <c r="G82" i="8" s="1"/>
  <c r="G40" i="15"/>
  <c r="C117" i="10"/>
  <c r="K21" i="15"/>
  <c r="N48" i="15"/>
  <c r="F8" i="1" l="1"/>
  <c r="D23" i="1"/>
  <c r="F23" i="1" s="1"/>
  <c r="G84" i="8"/>
  <c r="D15" i="6" l="1"/>
  <c r="D88" i="3" l="1"/>
  <c r="C88" i="3"/>
  <c r="D7" i="6" l="1"/>
  <c r="D10" i="6" l="1"/>
  <c r="F10" i="6" s="1"/>
  <c r="F7" i="6"/>
  <c r="G60" i="7"/>
  <c r="D25" i="6"/>
  <c r="F25" i="6" s="1"/>
  <c r="D17" i="6"/>
  <c r="F1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tc={9B53E6C4-681F-4306-8F38-46FBDCDF2276}</author>
    <author>tc={F0AA5015-1B8C-48BB-A4FC-7F99F9EAE861}</author>
    <author>tc={7E0C7215-1A1C-F146-BC0F-9D5666E46A50}</author>
    <author>tc={11CAD823-8E8E-864B-BEAA-EF4380A32E77}</author>
    <author>tc={C7A042D5-3606-408B-8CDC-6A599B5B71A5}</author>
    <author>tc={3A825F12-3195-4972-B2B6-52289EF7C65F}</author>
    <author>tc={89BB1F6E-0E70-E644-869D-A6F5CA5AF077}</author>
    <author>tc={09193B45-99F9-AB41-B8D2-8E26B2A9093A}</author>
    <author>tc={0B88B08A-F119-C94D-B858-361732E40697}</author>
    <author>tc={21B9ECB3-7DCE-FA40-8C77-0B5657D0DD41}</author>
    <author>tc={B1A1B493-186E-BE40-AAD2-91FE21F3E24D}</author>
    <author>tc={8381F849-0A56-3342-9684-4A9450A97C6E}</author>
    <author>tc={790E8F23-570D-A14C-BD63-D1ACABB31F84}</author>
    <author>tc={077FC6D0-36F6-1149-9325-E5CFE21EFF87}</author>
    <author>tc={F381557C-C02F-4C46-9364-3DB0FD87066D}</author>
  </authors>
  <commentList>
    <comment ref="I6" authorId="0" shapeId="0" xr:uid="{9B53E6C4-681F-4306-8F38-46FBDCDF2276}">
      <text>
        <t>[Threaded comment]
Your version of Excel allows you to read this threaded comment; however, any edits to it will get removed if the file is opened in a newer version of Excel. Learn more: https://go.microsoft.com/fwlink/?linkid=870924
Comment:
    22,700 not categorized</t>
      </text>
    </comment>
    <comment ref="J19" authorId="1" shapeId="0" xr:uid="{F0AA5015-1B8C-48BB-A4FC-7F99F9EAE861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 EXPIRED - 2021 rate used</t>
      </text>
    </comment>
    <comment ref="M34" authorId="2" shapeId="0" xr:uid="{7E0C7215-1A1C-F146-BC0F-9D5666E46A50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Landscaping		10,000
Sand fill-in @ office1,200</t>
      </text>
    </comment>
    <comment ref="B35" authorId="3" shapeId="0" xr:uid="{11CAD823-8E8E-864B-BEAA-EF4380A32E77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a Harbor expense? Membership instead?</t>
      </text>
    </comment>
    <comment ref="J35" authorId="4" shapeId="0" xr:uid="{C7A042D5-3606-408B-8CDC-6A599B5B71A5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Expense</t>
      </text>
    </comment>
    <comment ref="M35" authorId="5" shapeId="0" xr:uid="{3A825F12-3195-4972-B2B6-52289EF7C65F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Expense
Reply:
    Shouldn’t this be in Membership, with the other Wagon Rack expenses?</t>
      </text>
    </comment>
    <comment ref="M38" authorId="6" shapeId="0" xr:uid="{89BB1F6E-0E70-E644-869D-A6F5CA5AF077}">
      <text>
        <t>[Threaded comment]
Your version of Excel allows you to read this threaded comment; however, any edits to it will get removed if the file is opened in a newer version of Excel. Learn more: https://go.microsoft.com/fwlink/?linkid=870924
Comment:
    90-day video recorder, installation &amp; set-up:  $5,455
Outboard			1,200
Ladders x 10			3,000
Cleats, deadbolts		   500
Bumpers				   150
Lines				   250
Laptop				2,000
Camera monitor		   300
Electric adapter x 2	   500
40” monitor			   300
Office chair			   250</t>
      </text>
    </comment>
    <comment ref="M39" authorId="7" shapeId="0" xr:uid="{09193B45-99F9-AB41-B8D2-8E26B2A9093A}">
      <text>
        <t>[Threaded comment]
Your version of Excel allows you to read this threaded comment; however, any edits to it will get removed if the file is opened in a newer version of Excel. Learn more: https://go.microsoft.com/fwlink/?linkid=870924
Comment:
    Budgeting for antenna failure (salt air, water), replacement and labor</t>
      </text>
    </comment>
    <comment ref="B56" authorId="8" shapeId="0" xr:uid="{0B88B08A-F119-C94D-B858-361732E40697}">
      <text>
        <t>[Threaded comment]
Your version of Excel allows you to read this threaded comment; however, any edits to it will get removed if the file is opened in a newer version of Excel. Learn more: https://go.microsoft.com/fwlink/?linkid=870924
Comment:
    ???</t>
      </text>
    </comment>
    <comment ref="M57" authorId="9" shapeId="0" xr:uid="{21B9ECB3-7DCE-FA40-8C77-0B5657D0DD41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Estimated Verizon FiOS bill</t>
      </text>
    </comment>
    <comment ref="M58" authorId="10" shapeId="0" xr:uid="{B1A1B493-186E-BE40-AAD2-91FE21F3E24D}">
      <text>
        <t>[Threaded comment]
Your version of Excel allows you to read this threaded comment; however, any edits to it will get removed if the file is opened in a newer version of Excel. Learn more: https://go.microsoft.com/fwlink/?linkid=870924
Comment:
    Paying people to watch the harbor and the dock</t>
      </text>
    </comment>
    <comment ref="M59" authorId="11" shapeId="0" xr:uid="{8381F849-0A56-3342-9684-4A9450A97C6E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Stand-alone Marina web site – to be integrated into FIPPOA web site this year.</t>
      </text>
    </comment>
    <comment ref="M61" authorId="12" shapeId="0" xr:uid="{790E8F23-570D-A14C-BD63-D1ACABB31F84}">
      <text>
        <t>[Threaded comment]
Your version of Excel allows you to read this threaded comment; however, any edits to it will get removed if the file is opened in a newer version of Excel. Learn more: https://go.microsoft.com/fwlink/?linkid=870924
Comment:
    No budget this year – part of branding exercise. Will resume in 2024.</t>
      </text>
    </comment>
    <comment ref="M69" authorId="13" shapeId="0" xr:uid="{077FC6D0-36F6-1149-9325-E5CFE21EFF8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Dennis, we may upgrade to a professional level: $8,000</t>
      </text>
    </comment>
    <comment ref="M70" authorId="14" shapeId="0" xr:uid="{F381557C-C02F-4C46-9364-3DB0FD87066D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from operating budget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tc={1B992C8A-5413-EC44-9F39-670776811265}</author>
    <author>tc={F3406C14-C6A6-6649-A47A-B4F7451F47D3}</author>
    <author>tc={EAE57316-C60B-5146-A5F0-0ECDA8485342}</author>
    <author>tc={5CD5EDE0-9D79-1C46-A614-70C4FDB3C388}</author>
    <author>tc={337F814B-E897-734C-AB5A-26882CFEF56A}</author>
  </authors>
  <commentList>
    <comment ref="M7" authorId="0" shapeId="0" xr:uid="{1B992C8A-5413-EC44-9F39-670776811265}">
      <text>
        <t>[Threaded comment]
Your version of Excel allows you to read this threaded comment; however, any edits to it will get removed if the file is opened in a newer version of Excel. Learn more: https://go.microsoft.com/fwlink/?linkid=870924
Comment:
    $15,824 contracted
    8,000 anticipated from new parking</t>
      </text>
    </comment>
    <comment ref="I22" authorId="1" shapeId="0" xr:uid="{F3406C14-C6A6-6649-A47A-B4F7451F47D3}">
      <text>
        <t>[Threaded comment]
Your version of Excel allows you to read this threaded comment; however, any edits to it will get removed if the file is opened in a newer version of Excel. Learn more: https://go.microsoft.com/fwlink/?linkid=870924
Comment:
    Extra help, Tommaso, Flower Girls, Deyvi’s home improvement
Coded to 589-03 – Blvd. improvements</t>
      </text>
    </comment>
    <comment ref="M23" authorId="2" shapeId="0" xr:uid="{EAE57316-C60B-5146-A5F0-0ECDA84853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Capital expense?
No, annual tree-planting; therefore operating expense per Racheal.</t>
      </text>
    </comment>
    <comment ref="B24" authorId="3" shapeId="0" xr:uid="{5CD5EDE0-9D79-1C46-A614-70C4FDB3C38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 with 596-03</t>
      </text>
    </comment>
    <comment ref="M24" authorId="4" shapeId="0" xr:uid="{337F814B-E897-734C-AB5A-26882CFEF56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Combine with 596-03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tc={8504027F-F77B-344A-93F9-66642D2D3BB7}</author>
    <author>tc={BEDAB509-2834-3D4C-9DC8-4F8DDB505030}</author>
    <author>tc={E8365FD5-71AB-5343-A5C8-7AD3C468CFD9}</author>
    <author>tc={93B94625-3335-BC44-8595-0721434DDF4C}</author>
    <author>tc={64DE7D04-B399-2A41-A091-F846E97A86DF}</author>
  </authors>
  <commentList>
    <comment ref="M11" authorId="0" shapeId="0" xr:uid="{8504027F-F77B-344A-93F9-66642D2D3BB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Henry</t>
      </text>
    </comment>
    <comment ref="M14" authorId="1" shapeId="0" xr:uid="{BEDAB509-2834-3D4C-9DC8-4F8DDB505030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per AJB</t>
      </text>
    </comment>
    <comment ref="M15" authorId="2" shapeId="0" xr:uid="{E8365FD5-71AB-5343-A5C8-7AD3C468CFD9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per AJB</t>
      </text>
    </comment>
    <comment ref="M45" authorId="3" shapeId="0" xr:uid="{93B94625-3335-BC44-8595-0721434DDF4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per AJB</t>
      </text>
    </comment>
    <comment ref="M49" authorId="4" shapeId="0" xr:uid="{64DE7D04-B399-2A41-A091-F846E97A86DF}">
      <text>
        <t>[Threaded comment]
Your version of Excel allows you to read this threaded comment; however, any edits to it will get removed if the file is opened in a newer version of Excel. Learn more: https://go.microsoft.com/fwlink/?linkid=870924
Comment:
    Off-budget, part of rebranding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tc={BEDE0AE2-05A9-0340-A23C-3B592B29AD03}</author>
    <author>tc={6F857B3C-D808-474A-993F-F540D56A051F}</author>
  </authors>
  <commentList>
    <comment ref="J4" authorId="0" shapeId="0" xr:uid="{BEDE0AE2-05A9-0340-A23C-3B592B29AD0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Chris Mai: includes budget for rebranded staff apparel</t>
      </text>
    </comment>
    <comment ref="J5" authorId="1" shapeId="0" xr:uid="{6F857B3C-D808-474A-993F-F540D56A051F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Chris Mai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tc={71DB5682-5915-0542-A5F8-A1F0EE2E5B5C}</author>
  </authors>
  <commentList>
    <comment ref="J6" authorId="0" shapeId="0" xr:uid="{71DB5682-5915-0542-A5F8-A1F0EE2E5B5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$25,000 per Chris Mai plus $500 moved from Harbor budget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tc={71CB9D7B-F917-2547-A082-8BD9CA29BB35}</author>
  </authors>
  <commentList>
    <comment ref="D8" authorId="0" shapeId="0" xr:uid="{71CB9D7B-F917-2547-A082-8BD9CA29BB35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we be making these contributions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tc={822FEA88-EE9B-264C-8895-F62909C1A79F}</author>
    <author>tc={96DC870F-7034-7A4B-A8F8-812C54B12DEC}</author>
    <author>tc={AA5433AB-E26A-4746-856A-6DA7B5E68270}</author>
    <author>tc={C081FFB4-4F5E-4B40-AB1E-D52E7B3B42DC}</author>
    <author>tc={47BCF7B7-56E5-4DF7-9579-9A14F97B0584}</author>
    <author>tc={1440D9AA-C41D-C742-8AE4-9F2872452FED}</author>
    <author>tc={58E71C98-2F83-0544-A917-EF1CE07713F2}</author>
  </authors>
  <commentList>
    <comment ref="M6" authorId="0" shapeId="0" xr:uid="{822FEA88-EE9B-264C-8895-F62909C1A79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per AJB</t>
      </text>
    </comment>
    <comment ref="M7" authorId="1" shapeId="0" xr:uid="{96DC870F-7034-7A4B-A8F8-812C54B12DE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 per AJB</t>
      </text>
    </comment>
    <comment ref="M28" authorId="2" shapeId="0" xr:uid="{AA5433AB-E26A-4746-856A-6DA7B5E682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 to $10,000 for 2024 budget</t>
      </text>
    </comment>
    <comment ref="B33" authorId="3" shapeId="0" xr:uid="{C081FFB4-4F5E-4B40-AB1E-D52E7B3B42D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rename this GL code from “Special Events” to “Invasion”</t>
      </text>
    </comment>
    <comment ref="I33" authorId="4" shapeId="0" xr:uid="{47BCF7B7-56E5-4DF7-9579-9A14F97B058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Aids memorial exp and Trailblazers Park</t>
      </text>
    </comment>
    <comment ref="M34" authorId="5" shapeId="0" xr:uid="{1440D9AA-C41D-C742-8AE4-9F2872452F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set-up and break-down of chairs and tables</t>
      </text>
    </comment>
    <comment ref="M35" authorId="6" shapeId="0" xr:uid="{58E71C98-2F83-0544-A917-EF1CE07713F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Installation and supplies for WH monitors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tc={0CA72803-3943-844C-A08F-EF5FA2D7D7CA}</author>
    <author>tc={9A26387E-64E5-5C4C-963D-79CE84CF7D2D}</author>
    <author>tc={24ECC983-48EE-B045-9976-8A0AA624384E}</author>
    <author>tc={10454427-BF19-E84C-AC75-0C260FC88F3B}</author>
    <author>tc={4F130BBC-D15D-404A-A77E-3F3AA73B6565}</author>
    <author>tc={A04327F0-3E79-CA45-AC75-24B780636BFF}</author>
  </authors>
  <commentList>
    <comment ref="M13" authorId="0" shapeId="0" xr:uid="{0CA72803-3943-844C-A08F-EF5FA2D7D7CA}">
      <text>
        <t>[Threaded comment]
Your version of Excel allows you to read this threaded comment; however, any edits to it will get removed if the file is opened in a newer version of Excel. Learn more: https://go.microsoft.com/fwlink/?linkid=870924
Comment:
    Albert</t>
      </text>
    </comment>
    <comment ref="B33" authorId="1" shapeId="0" xr:uid="{9A26387E-64E5-5C4C-963D-79CE84CF7D2D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rename to Facilities Manager</t>
      </text>
    </comment>
    <comment ref="M42" authorId="2" shapeId="0" xr:uid="{24ECC983-48EE-B045-9976-8A0AA624384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Includes:
- HVAC repair
- PCC apartment painting
- Fire suppression door repair
- Second floor lobby door repair</t>
      </text>
    </comment>
    <comment ref="M55" authorId="3" shapeId="0" xr:uid="{10454427-BF19-E84C-AC75-0C260FC88F3B}">
      <text>
        <t>[Threaded comment]
Your version of Excel allows you to read this threaded comment; however, any edits to it will get removed if the file is opened in a newer version of Excel. Learn more: https://go.microsoft.com/fwlink/?linkid=870924
Comment:
    Repairs</t>
      </text>
    </comment>
    <comment ref="M58" authorId="4" shapeId="0" xr:uid="{4F130BBC-D15D-404A-A77E-3F3AA73B6565}">
      <text>
        <t>[Threaded comment]
Your version of Excel allows you to read this threaded comment; however, any edits to it will get removed if the file is opened in a newer version of Excel. Learn more: https://go.microsoft.com/fwlink/?linkid=870924
Comment:
    To be renewed in 2024</t>
      </text>
    </comment>
    <comment ref="B60" authorId="5" shapeId="0" xr:uid="{A04327F0-3E79-CA45-AC75-24B780636BFF}">
      <text>
        <t>[Threaded comment]
Your version of Excel allows you to read this threaded comment; however, any edits to it will get removed if the file is opened in a newer version of Excel. Learn more: https://go.microsoft.com/fwlink/?linkid=870924
Comment:
    Get rid of the word “Phone”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tc={2A7BE473-96C5-7C4A-BF72-E4959A7677B7}</author>
  </authors>
  <commentList>
    <comment ref="K5" authorId="0" shapeId="0" xr:uid="{2A7BE473-96C5-7C4A-BF72-E4959A7677B7}">
      <text>
        <t>[Threaded comment]
Your version of Excel allows you to read this threaded comment; however, any edits to it will get removed if the file is opened in a newer version of Excel. Learn more: https://go.microsoft.com/fwlink/?linkid=870924
Comment:
    $60K for Finance Manager (partial year)
$75K for A-Team (partial year)</t>
      </text>
    </comment>
  </commentList>
</comments>
</file>

<file path=xl/sharedStrings.xml><?xml version="1.0" encoding="utf-8"?>
<sst xmlns="http://schemas.openxmlformats.org/spreadsheetml/2006/main" count="3438" uniqueCount="1559">
  <si>
    <t>Q1</t>
  </si>
  <si>
    <t>Q2</t>
  </si>
  <si>
    <t>Q3</t>
  </si>
  <si>
    <t>Q4</t>
  </si>
  <si>
    <t>FIPPOA</t>
  </si>
  <si>
    <t>Net</t>
  </si>
  <si>
    <t>Foundation</t>
  </si>
  <si>
    <t/>
  </si>
  <si>
    <t>Expenses</t>
  </si>
  <si>
    <t>Insurance</t>
  </si>
  <si>
    <t>Total Expenses</t>
  </si>
  <si>
    <t>2015
Budget</t>
  </si>
  <si>
    <t>Notes</t>
  </si>
  <si>
    <t>Administration-Supplies</t>
  </si>
  <si>
    <t>Administration-Telephone</t>
  </si>
  <si>
    <t>Administration-Travel\Enter.</t>
  </si>
  <si>
    <t>Administration-Postage</t>
  </si>
  <si>
    <t>2016
Budget</t>
  </si>
  <si>
    <t>WHYTE HALL</t>
  </si>
  <si>
    <t>Admin</t>
  </si>
  <si>
    <t>Miscellaneous</t>
  </si>
  <si>
    <t>Whyte Hall</t>
  </si>
  <si>
    <t>Foundation Admin</t>
  </si>
  <si>
    <t>KP</t>
  </si>
  <si>
    <t>Month</t>
  </si>
  <si>
    <t>Annual</t>
  </si>
  <si>
    <t>Product</t>
  </si>
  <si>
    <t>Current Budget</t>
  </si>
  <si>
    <t>Fax .com</t>
  </si>
  <si>
    <t>Member/Admin</t>
  </si>
  <si>
    <t>Msn</t>
  </si>
  <si>
    <t>email</t>
  </si>
  <si>
    <t>Peachtree Support</t>
  </si>
  <si>
    <t>Includes upgrades and tax tables</t>
  </si>
  <si>
    <t>Formstack</t>
  </si>
  <si>
    <t>Processes Donations and Memberships</t>
  </si>
  <si>
    <t>Constant Contact</t>
  </si>
  <si>
    <t>Donor Perfect</t>
  </si>
  <si>
    <t>Database</t>
  </si>
  <si>
    <t>SBS Tech Solutions</t>
  </si>
  <si>
    <t>Tech Support (started in Sept 2014)</t>
  </si>
  <si>
    <t>Member Admin</t>
  </si>
  <si>
    <t>Time Warner</t>
  </si>
  <si>
    <t>Purchase and Installation to rollback Windows 8 on 2 Pines Machines to Windows 7</t>
  </si>
  <si>
    <t>Payroll Tax by Peachtree</t>
  </si>
  <si>
    <t>New in 2015 IC did prior</t>
  </si>
  <si>
    <t>Microsoft Office 365</t>
  </si>
  <si>
    <t xml:space="preserve">Office changing to an annual subscription </t>
  </si>
  <si>
    <t>Harbor/Admin</t>
  </si>
  <si>
    <t>Videotex.net</t>
  </si>
  <si>
    <t>FIPPOA and Pines Marina hosting ($600 in Harbor Budget)</t>
  </si>
  <si>
    <t>Insurance Tracking Software</t>
  </si>
  <si>
    <t>Pines Party/Admin</t>
  </si>
  <si>
    <t>PP SSL Certificate</t>
  </si>
  <si>
    <t>Pines Party</t>
  </si>
  <si>
    <t>Flipsnack</t>
  </si>
  <si>
    <t>Online Journal for Pines Party</t>
  </si>
  <si>
    <t>Total</t>
  </si>
  <si>
    <t>Ed Fale</t>
  </si>
  <si>
    <t>Verizon</t>
  </si>
  <si>
    <t>Date</t>
  </si>
  <si>
    <t>Event</t>
  </si>
  <si>
    <t>Rental</t>
  </si>
  <si>
    <t>PCC Opening Party</t>
  </si>
  <si>
    <t>Women's Pride</t>
  </si>
  <si>
    <t>DRA Party</t>
  </si>
  <si>
    <t>FIPAP Rehearsals/Play</t>
  </si>
  <si>
    <t>Rosh Hash Hana</t>
  </si>
  <si>
    <t>Yom Kippur</t>
  </si>
  <si>
    <t>Yoga</t>
  </si>
  <si>
    <t>Type of Coverage</t>
  </si>
  <si>
    <t>Admin/Memb</t>
  </si>
  <si>
    <t>Marina</t>
  </si>
  <si>
    <t>2015
Check</t>
  </si>
  <si>
    <t>2015 
Actual</t>
  </si>
  <si>
    <t>2015
check</t>
  </si>
  <si>
    <t>2015
actual</t>
  </si>
  <si>
    <t>2015
Actual</t>
  </si>
  <si>
    <t>Property - RBL</t>
  </si>
  <si>
    <t>Flood</t>
  </si>
  <si>
    <t>Boiler</t>
  </si>
  <si>
    <t>AP150006</t>
  </si>
  <si>
    <t>Dance Floor/Canopy</t>
  </si>
  <si>
    <t>Vacant Land/John Deere</t>
  </si>
  <si>
    <t>MAC Medical Group</t>
  </si>
  <si>
    <t>Postal Bond</t>
  </si>
  <si>
    <t>D&amp;O</t>
  </si>
  <si>
    <t>Property/Liability</t>
  </si>
  <si>
    <t>Marina Property</t>
  </si>
  <si>
    <t>Crime</t>
  </si>
  <si>
    <t>April Adjustment</t>
  </si>
  <si>
    <t>Global</t>
  </si>
  <si>
    <t>WH</t>
  </si>
  <si>
    <t>PP</t>
  </si>
  <si>
    <t>Maint</t>
  </si>
  <si>
    <t>Harbor</t>
  </si>
  <si>
    <t>Salary</t>
  </si>
  <si>
    <t>Bonus</t>
  </si>
  <si>
    <t xml:space="preserve">WH </t>
  </si>
  <si>
    <t>DA</t>
  </si>
  <si>
    <t>DM</t>
  </si>
  <si>
    <t>Dockhands</t>
  </si>
  <si>
    <t>2014 Hrs</t>
  </si>
  <si>
    <t>Rate</t>
  </si>
  <si>
    <t>OT</t>
  </si>
  <si>
    <t>No OT</t>
  </si>
  <si>
    <t>Ashley</t>
  </si>
  <si>
    <t>Payroll Allocation (Global Total/26)</t>
  </si>
  <si>
    <t>Chris</t>
  </si>
  <si>
    <t>Britney</t>
  </si>
  <si>
    <t>Dennis R.</t>
  </si>
  <si>
    <t>Budget Allocations</t>
  </si>
  <si>
    <t>James</t>
  </si>
  <si>
    <t>Quarterly Allocation Foundation Admin</t>
  </si>
  <si>
    <t>Quarterly Allocation FIPPOA Admin</t>
  </si>
  <si>
    <t>Nick</t>
  </si>
  <si>
    <t>2014 Actual</t>
  </si>
  <si>
    <t>2014 Correction</t>
  </si>
  <si>
    <t>Correction</t>
  </si>
  <si>
    <t>Difference</t>
  </si>
  <si>
    <t>Quarterly Budget Allocation Whyte Hall</t>
  </si>
  <si>
    <t xml:space="preserve"> </t>
  </si>
  <si>
    <t>Quarterly Budget Allocation Harbor</t>
  </si>
  <si>
    <t>Years</t>
  </si>
  <si>
    <t>Budget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</si>
  <si>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</si>
  <si>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</si>
  <si>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</si>
  <si>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</si>
  <si>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</si>
  <si>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</si>
  <si>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</si>
  <si>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</si>
  <si>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</si>
  <si>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</si>
  <si>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</si>
  <si>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</si>
  <si>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Broadway Bares</t>
  </si>
  <si>
    <t>Type</t>
  </si>
  <si>
    <t>ELEC</t>
  </si>
  <si>
    <t>Length</t>
  </si>
  <si>
    <t>Calc Amount</t>
  </si>
  <si>
    <t>Minimum</t>
  </si>
  <si>
    <t>To April 1</t>
  </si>
  <si>
    <t>To May 1</t>
  </si>
  <si>
    <t>To Jun 1</t>
  </si>
  <si>
    <t>Boss</t>
  </si>
  <si>
    <t>Commercial Owner</t>
  </si>
  <si>
    <t>Without</t>
  </si>
  <si>
    <t>Additional Boat</t>
  </si>
  <si>
    <t>Casazza</t>
  </si>
  <si>
    <t>Commercial Non Owner</t>
  </si>
  <si>
    <t>Santangelo</t>
  </si>
  <si>
    <t>Katen</t>
  </si>
  <si>
    <t>Lesser</t>
  </si>
  <si>
    <t>Pepe</t>
  </si>
  <si>
    <t>Sullivan</t>
  </si>
  <si>
    <t>Stoehrer</t>
  </si>
  <si>
    <t>Swift</t>
  </si>
  <si>
    <t xml:space="preserve">Teague  </t>
  </si>
  <si>
    <t>Santengelo</t>
  </si>
  <si>
    <t>Forklift</t>
  </si>
  <si>
    <t>TOTAL</t>
  </si>
  <si>
    <t xml:space="preserve">Total </t>
  </si>
  <si>
    <t>Commercial</t>
  </si>
  <si>
    <t>Recreational Non Owner</t>
  </si>
  <si>
    <t>With</t>
  </si>
  <si>
    <t>Hildebrandt</t>
  </si>
  <si>
    <t>Recreational Owner</t>
  </si>
  <si>
    <t>Krauthamer</t>
  </si>
  <si>
    <t>Lebow</t>
  </si>
  <si>
    <t>Lovito</t>
  </si>
  <si>
    <t>Mahler</t>
  </si>
  <si>
    <t>Marzella</t>
  </si>
  <si>
    <t>Nicosia</t>
  </si>
  <si>
    <t>Price</t>
  </si>
  <si>
    <t>Metered</t>
  </si>
  <si>
    <t>Scibio</t>
  </si>
  <si>
    <t>Solanos/Kleinfield</t>
  </si>
  <si>
    <t>Tonani</t>
  </si>
  <si>
    <t>Tortora/Gandolfe</t>
  </si>
  <si>
    <t>Veale/Keller</t>
  </si>
  <si>
    <t>Walden/Cheng</t>
  </si>
  <si>
    <t>Zarrilli/McKinney</t>
  </si>
  <si>
    <t>Total Harbor</t>
  </si>
  <si>
    <t>Name</t>
  </si>
  <si>
    <t>2016
Check</t>
  </si>
  <si>
    <t>2016
Actual</t>
  </si>
  <si>
    <t>* Not including Pines Party</t>
  </si>
  <si>
    <t>DropBox</t>
  </si>
  <si>
    <t>Files for Pines Party Too Large</t>
  </si>
  <si>
    <t>Foundation
Whyte Hall</t>
  </si>
  <si>
    <t>Due Date</t>
  </si>
  <si>
    <t>Budget Quarters</t>
  </si>
  <si>
    <t xml:space="preserve">Nov </t>
  </si>
  <si>
    <t>T-Mobile</t>
  </si>
  <si>
    <t>Increase 3% Every August</t>
  </si>
  <si>
    <t>USPS</t>
  </si>
  <si>
    <t>2012 Amt</t>
  </si>
  <si>
    <t>2013 Amt</t>
  </si>
  <si>
    <t>KP to Follow Up On Increase Request</t>
  </si>
  <si>
    <t>Tony's Auxilliary (Rolloff)</t>
  </si>
  <si>
    <t>My Copy From 2002 - No Financial Change Since</t>
  </si>
  <si>
    <t>Tony's Barge Garbage</t>
  </si>
  <si>
    <t>Sayville Ferry</t>
  </si>
  <si>
    <t>Coastline</t>
  </si>
  <si>
    <t>4.5 % per year increase</t>
  </si>
  <si>
    <t>LPG Platform</t>
  </si>
  <si>
    <t>Budget Schedule</t>
  </si>
  <si>
    <t>Contract is Expired Needs to be redone</t>
  </si>
  <si>
    <t>Advance Pest Control (Expense)</t>
  </si>
  <si>
    <t>Contract Specifies Amounts</t>
  </si>
  <si>
    <t>2012-13 - $10,200</t>
  </si>
  <si>
    <t>2013-14 - $10,800</t>
  </si>
  <si>
    <t>2014-15 - $12,000)</t>
  </si>
  <si>
    <t>Increase by 5% each year</t>
  </si>
  <si>
    <t>WIX</t>
  </si>
  <si>
    <t>Emails</t>
  </si>
  <si>
    <t>2015 Hrs</t>
  </si>
  <si>
    <t>Wire 1/20</t>
  </si>
  <si>
    <t>Morgan/Katen</t>
  </si>
  <si>
    <t>Discounted First 4 Years thru 2019</t>
  </si>
  <si>
    <t>x</t>
  </si>
  <si>
    <t>Recreational</t>
  </si>
  <si>
    <t>Email</t>
  </si>
  <si>
    <t>Phone</t>
  </si>
  <si>
    <t>Pines Address</t>
  </si>
  <si>
    <t>Normal</t>
  </si>
  <si>
    <t>bkaten@aol.com</t>
  </si>
  <si>
    <t>516.680.7405</t>
  </si>
  <si>
    <t>421 Ocean</t>
  </si>
  <si>
    <t>Open</t>
  </si>
  <si>
    <t>Steve Norring</t>
  </si>
  <si>
    <t>snorring@gmail.com</t>
  </si>
  <si>
    <t>917.685.8949</t>
  </si>
  <si>
    <t>450 Ocean</t>
  </si>
  <si>
    <t>joshleemck@gmail.com</t>
  </si>
  <si>
    <t>917.627.3548</t>
  </si>
  <si>
    <t>530 Sail</t>
  </si>
  <si>
    <t>Scott Bromly</t>
  </si>
  <si>
    <t>bromley@bromleycaldari.com</t>
  </si>
  <si>
    <t>917.921.5646</t>
  </si>
  <si>
    <t>519 Porgie</t>
  </si>
  <si>
    <t>emfale@gmail.com</t>
  </si>
  <si>
    <t>310.859.2777</t>
  </si>
  <si>
    <t>436 Ocean</t>
  </si>
  <si>
    <t>Doreen Katen</t>
  </si>
  <si>
    <t>doreen@fireislandpines.com</t>
  </si>
  <si>
    <t>Damian</t>
  </si>
  <si>
    <t>damian@fippoa.org</t>
  </si>
  <si>
    <t>917.319.3149</t>
  </si>
  <si>
    <t>437 Ocean</t>
  </si>
  <si>
    <t>Hal2r@aol.com</t>
  </si>
  <si>
    <t>336 Shell</t>
  </si>
  <si>
    <t>Tony Barge</t>
  </si>
  <si>
    <t>Double Deep</t>
  </si>
  <si>
    <t>tonysbarge@aol.com</t>
  </si>
  <si>
    <t>631.589.2130</t>
  </si>
  <si>
    <t>n/a</t>
  </si>
  <si>
    <t>FIB Rentals</t>
  </si>
  <si>
    <t>Sublet from Santangelo</t>
  </si>
  <si>
    <t>ADOBE Esign</t>
  </si>
  <si>
    <t>To Stonewall</t>
  </si>
  <si>
    <t>Recretional Owner</t>
  </si>
  <si>
    <t>Second Boat</t>
  </si>
  <si>
    <t>Todaro</t>
  </si>
  <si>
    <t>APRIL ADJUSTMENTS</t>
  </si>
  <si>
    <t>Revenue</t>
  </si>
  <si>
    <t>Blast emails/newsletters/based on no of emails
Pines Party List not charged to FNDTN</t>
  </si>
  <si>
    <t>NYC Internet/Pines Internet from Pantry
 in exchange for tower on WH</t>
  </si>
  <si>
    <t>2017
Budget</t>
  </si>
  <si>
    <t>2017 Whyte Hall Rental Budget</t>
  </si>
  <si>
    <t>2015 FIB Parking</t>
  </si>
  <si>
    <t>Spot</t>
  </si>
  <si>
    <t>Size</t>
  </si>
  <si>
    <t>First Year Deal</t>
  </si>
  <si>
    <t>Paid</t>
  </si>
  <si>
    <t>Randazo</t>
  </si>
  <si>
    <t>Molzon</t>
  </si>
  <si>
    <t>Fale</t>
  </si>
  <si>
    <t>Norring</t>
  </si>
  <si>
    <t>Bromley</t>
  </si>
  <si>
    <t>Rubenstein</t>
  </si>
  <si>
    <t>Rubinstein</t>
  </si>
  <si>
    <t>Tony's Barge</t>
  </si>
  <si>
    <t>2016 FIB Parking</t>
  </si>
  <si>
    <t>Late in Season First Year Deal until 3/31/18</t>
  </si>
  <si>
    <t>First Year Deal until 3/31/17</t>
  </si>
  <si>
    <t>Auerbach</t>
  </si>
  <si>
    <t>2017 FIB Parking</t>
  </si>
  <si>
    <t>Late In 2016 - First Year Deal until 3/31/18</t>
  </si>
  <si>
    <t>Plus 7250</t>
  </si>
  <si>
    <t>Blumenthal</t>
  </si>
  <si>
    <t>Jaggi</t>
  </si>
  <si>
    <t>Egan</t>
  </si>
  <si>
    <t>LaFountine</t>
  </si>
  <si>
    <t>Wire052001</t>
  </si>
  <si>
    <t>Add 220 Bay to Liability</t>
  </si>
  <si>
    <t>PTran0617</t>
  </si>
  <si>
    <t>2017 Budget</t>
  </si>
  <si>
    <t>2017
Check</t>
  </si>
  <si>
    <t>2017
Actual</t>
  </si>
  <si>
    <t>Workers Comp</t>
  </si>
  <si>
    <t>Memb</t>
  </si>
  <si>
    <t>Hosting fippoa.org</t>
  </si>
  <si>
    <t>Log Me In</t>
  </si>
  <si>
    <t>Uber Conference</t>
  </si>
  <si>
    <t xml:space="preserve">Mobile Hot Spot </t>
  </si>
  <si>
    <t>Hourly Employees</t>
  </si>
  <si>
    <t>2016 Hours</t>
  </si>
  <si>
    <t>Genevieve</t>
  </si>
  <si>
    <t>Total Salary</t>
  </si>
  <si>
    <t>2017 Rate</t>
  </si>
  <si>
    <t>Jeffery (Prev Nick)</t>
  </si>
  <si>
    <t>2017 With OT</t>
  </si>
  <si>
    <t>Ira</t>
  </si>
  <si>
    <t>2017 With OT &amp; Bonus</t>
  </si>
  <si>
    <t>Projected Hours</t>
  </si>
  <si>
    <t>FIPAP Resereve</t>
  </si>
  <si>
    <t>FIPAP Reserve</t>
  </si>
  <si>
    <t>FIPAP Art Show</t>
  </si>
  <si>
    <t>Round up</t>
  </si>
  <si>
    <t>After Week Of Rehearsals</t>
  </si>
  <si>
    <t>After Weekend of Rehearsals</t>
  </si>
  <si>
    <t>After Week of Rehersals</t>
  </si>
  <si>
    <t>Prior To Performance</t>
  </si>
  <si>
    <t>Ira 2016 Hours were 337.5 - would like to budget at 600 with increased hours</t>
  </si>
  <si>
    <t>Jefferey 2016 Hours were 444.5 - Would like to budget at 550 with increased
Maintenance Work (Painting)</t>
  </si>
  <si>
    <t>Clean In</t>
  </si>
  <si>
    <t>Clean Out</t>
  </si>
  <si>
    <t>Normal Friday Cleanings (23@$75)</t>
  </si>
  <si>
    <t>Income</t>
  </si>
  <si>
    <t>2016-2017</t>
  </si>
  <si>
    <t>2017-2018</t>
  </si>
  <si>
    <t>Profit/Loss</t>
  </si>
  <si>
    <t>DAMMINIX</t>
  </si>
  <si>
    <t>2008: $9,800 from Cox Concert (John Eckel)</t>
  </si>
  <si>
    <t>Expense</t>
  </si>
  <si>
    <t xml:space="preserve">2015-2016 </t>
  </si>
  <si>
    <t>Per
Application</t>
  </si>
  <si>
    <t>Budget
Year</t>
  </si>
  <si>
    <t>4 at $1180</t>
  </si>
  <si>
    <t>5 at $1250</t>
  </si>
  <si>
    <t>4 at $1250</t>
  </si>
  <si>
    <t>5 at $1,388</t>
  </si>
  <si>
    <t>4 at $1,388</t>
  </si>
  <si>
    <t>Nov(2)
 Dec (2)</t>
  </si>
  <si>
    <t>Jan (2) Feb
Mar Apr</t>
  </si>
  <si>
    <t>Budget
Total</t>
  </si>
  <si>
    <t>Additional Chair Cleaning</t>
  </si>
  <si>
    <t>50% FIPPOA</t>
  </si>
  <si>
    <t>Contract out for $2,640</t>
  </si>
  <si>
    <t>Contract out for $2,585</t>
  </si>
  <si>
    <t xml:space="preserve">Outpost (PJ) </t>
  </si>
  <si>
    <t>John Martin</t>
  </si>
  <si>
    <t>AdminMemb</t>
  </si>
  <si>
    <t>%</t>
  </si>
  <si>
    <t xml:space="preserve">Admin </t>
  </si>
  <si>
    <t>Commercial Liabilitry</t>
  </si>
  <si>
    <t>Outpost (PJ)</t>
  </si>
  <si>
    <t>Contract out for $2,296.80</t>
  </si>
  <si>
    <t>Proof</t>
  </si>
  <si>
    <t>PACH2016033101*</t>
  </si>
  <si>
    <t>*Boiler Refund (covered in Property)</t>
  </si>
  <si>
    <t>Wire021601</t>
  </si>
  <si>
    <t>Wire011901</t>
  </si>
  <si>
    <t>WIRE011901</t>
  </si>
  <si>
    <t>WIRE011902</t>
  </si>
  <si>
    <t>PWIRE011901</t>
  </si>
  <si>
    <t>PWIRE011902</t>
  </si>
  <si>
    <t>WIRE022701</t>
  </si>
  <si>
    <t>PWIRE022701</t>
  </si>
  <si>
    <t>Pwire2016042901</t>
  </si>
  <si>
    <t>PACH022302</t>
  </si>
  <si>
    <t>Kingman</t>
  </si>
  <si>
    <t>PACH010601
PWIRE032901</t>
  </si>
  <si>
    <t>10000
8,254.90</t>
  </si>
  <si>
    <t>Waiting</t>
  </si>
  <si>
    <t xml:space="preserve">Chris Furchert </t>
  </si>
  <si>
    <t>For Mark Ang</t>
  </si>
  <si>
    <t>Russell Ellison</t>
  </si>
  <si>
    <t>rhellison@gmail.com</t>
  </si>
  <si>
    <t>cfurchert@optonline.net</t>
  </si>
  <si>
    <t>Chimera</t>
  </si>
  <si>
    <t>Henn</t>
  </si>
  <si>
    <t>Grass</t>
  </si>
  <si>
    <t>Amount In Dispute</t>
  </si>
  <si>
    <t>Daniel Nardicio</t>
  </si>
  <si>
    <t>Wire05101</t>
  </si>
  <si>
    <t>Pwire051801</t>
  </si>
  <si>
    <t>Art Show</t>
  </si>
  <si>
    <t>Total Cleaning Fees</t>
  </si>
  <si>
    <t>Prior To Performance covered above</t>
  </si>
  <si>
    <t>Rent</t>
  </si>
  <si>
    <t>Cleaning</t>
  </si>
  <si>
    <t>Events</t>
  </si>
  <si>
    <t>Kitchen
Cleaning</t>
  </si>
  <si>
    <t>2018
Budget</t>
  </si>
  <si>
    <t>2018 Budget</t>
  </si>
  <si>
    <t>2018
Check</t>
  </si>
  <si>
    <t>2018
Actual</t>
  </si>
  <si>
    <t>Wire092001</t>
  </si>
  <si>
    <t>Marina liability (Cancelled)</t>
  </si>
  <si>
    <t>PWIRE092001</t>
  </si>
  <si>
    <t>Space</t>
  </si>
  <si>
    <t>SQ FT</t>
  </si>
  <si>
    <t>A</t>
  </si>
  <si>
    <t>B1</t>
  </si>
  <si>
    <t>B2</t>
  </si>
  <si>
    <t>C</t>
  </si>
  <si>
    <t>D</t>
  </si>
  <si>
    <t>Coyne</t>
  </si>
  <si>
    <t>E</t>
  </si>
  <si>
    <t>F</t>
  </si>
  <si>
    <t>Remiander on Auto CC thru Dec 2017</t>
  </si>
  <si>
    <t>LaFountine East</t>
  </si>
  <si>
    <t>G1</t>
  </si>
  <si>
    <t>G2</t>
  </si>
  <si>
    <t>Contract out for $7,410</t>
  </si>
  <si>
    <t>H</t>
  </si>
  <si>
    <t>Unrented</t>
  </si>
  <si>
    <t>I</t>
  </si>
  <si>
    <t>K</t>
  </si>
  <si>
    <t>2018 FIB Parking</t>
  </si>
  <si>
    <t>Paid
in 2017</t>
  </si>
  <si>
    <t>1A</t>
  </si>
  <si>
    <t>1B</t>
  </si>
  <si>
    <t>Furchert/Ang</t>
  </si>
  <si>
    <t>Been down this road, multiple times
…would not include in budget - kp</t>
  </si>
  <si>
    <t>Ellison</t>
  </si>
  <si>
    <t>New - your call on budget</t>
  </si>
  <si>
    <t>DID NOT PAY for 2017</t>
  </si>
  <si>
    <t>Crispino</t>
  </si>
  <si>
    <t>New - Your call on budget</t>
  </si>
  <si>
    <t>jcrispino@franciscauggman.com</t>
  </si>
  <si>
    <t>386 Shell</t>
  </si>
  <si>
    <t>2x2</t>
  </si>
  <si>
    <t>Whyte Hall
User Group Contributions</t>
  </si>
  <si>
    <t>2014</t>
  </si>
  <si>
    <t xml:space="preserve">AA </t>
  </si>
  <si>
    <t>St Anns</t>
  </si>
  <si>
    <t>Pines Care Center</t>
  </si>
  <si>
    <t>FIPAP</t>
  </si>
  <si>
    <t>Bnai Olam</t>
  </si>
  <si>
    <t>Fire Island Pines, Inc (Co-ops)</t>
  </si>
  <si>
    <t>2014 Total</t>
  </si>
  <si>
    <t>2015</t>
  </si>
  <si>
    <t>Fire Island Pines, Inc. (Co-ops)</t>
  </si>
  <si>
    <t>AA</t>
  </si>
  <si>
    <t>B'nai Olam</t>
  </si>
  <si>
    <t>2015 Total</t>
  </si>
  <si>
    <t>2016</t>
  </si>
  <si>
    <t>2016 Total</t>
  </si>
  <si>
    <t>2017</t>
  </si>
  <si>
    <t>Fire Island Pines Inc (Co-ops)</t>
  </si>
  <si>
    <t>St. Annes Episcopal Church (WH User Group)</t>
  </si>
  <si>
    <t xml:space="preserve">2017 Total </t>
  </si>
  <si>
    <t>Estimated cost $1,800</t>
  </si>
  <si>
    <t>Technology 2017</t>
  </si>
  <si>
    <t>Web Hosting for Pines Party back to Videotex</t>
  </si>
  <si>
    <t>Technology 2018</t>
  </si>
  <si>
    <t>Invoicely</t>
  </si>
  <si>
    <t>2018 Whyte Hall Rental Budget</t>
  </si>
  <si>
    <t>Gibbs Wedding</t>
  </si>
  <si>
    <t>Normal Friday Cleanings (25@$100)</t>
  </si>
  <si>
    <t>Hold</t>
  </si>
  <si>
    <t>Jimmy</t>
  </si>
  <si>
    <t>Adam</t>
  </si>
  <si>
    <t>Dennis R</t>
  </si>
  <si>
    <t>Reg</t>
  </si>
  <si>
    <t>2018 With OT</t>
  </si>
  <si>
    <t>2018 With OT &amp; Bonus</t>
  </si>
  <si>
    <t>2017 Hours</t>
  </si>
  <si>
    <t>2018 Rate</t>
  </si>
  <si>
    <t>Boulevard License (OBSO)</t>
  </si>
  <si>
    <t>Minimum Rates Apply</t>
  </si>
  <si>
    <t>NO (2nd boat no min)</t>
  </si>
  <si>
    <t>Special rate for small boat using un-usable space</t>
  </si>
  <si>
    <t>Swan</t>
  </si>
  <si>
    <t xml:space="preserve">NO </t>
  </si>
  <si>
    <t>NO</t>
  </si>
  <si>
    <t>Withouse</t>
  </si>
  <si>
    <t>Nicholson</t>
  </si>
  <si>
    <t>with</t>
  </si>
  <si>
    <t>without</t>
  </si>
  <si>
    <t xml:space="preserve">Quinn </t>
  </si>
  <si>
    <t>Admin Equipment</t>
  </si>
  <si>
    <t xml:space="preserve">Net  </t>
  </si>
  <si>
    <t>Wire20180125</t>
  </si>
  <si>
    <t>wire20180125</t>
  </si>
  <si>
    <t>pwire20180125</t>
  </si>
  <si>
    <t>wire040301</t>
  </si>
  <si>
    <t>PWIRE040301</t>
  </si>
  <si>
    <t>ACH2018011601
ACH2018031501</t>
  </si>
  <si>
    <t>1810
13362</t>
  </si>
  <si>
    <t>Wire051101</t>
  </si>
  <si>
    <t>PWire0511</t>
  </si>
  <si>
    <t>2019
Budget</t>
  </si>
  <si>
    <t>2019 Whyte Hall Rental Budget</t>
  </si>
  <si>
    <t>Normal Friday Cleanings (27@$150)</t>
  </si>
  <si>
    <t>Technology 2019</t>
  </si>
  <si>
    <t>Nerd Cloud</t>
  </si>
  <si>
    <t>Replacing SBS Tech Solutions</t>
  </si>
  <si>
    <t>Spectrum</t>
  </si>
  <si>
    <t>Beachscapes</t>
  </si>
  <si>
    <t>2019 FIB Parking</t>
  </si>
  <si>
    <t>Morner</t>
  </si>
  <si>
    <t>DID NOT PAY for 2018</t>
  </si>
  <si>
    <t>DRA Receptions</t>
  </si>
  <si>
    <t>PWire2018091801</t>
  </si>
  <si>
    <t>Wire2018091801</t>
  </si>
  <si>
    <t>2019 Budget</t>
  </si>
  <si>
    <t>2019
Check</t>
  </si>
  <si>
    <t>2019
Actual</t>
  </si>
  <si>
    <t>2018-2019</t>
  </si>
  <si>
    <t>2019-2020</t>
  </si>
  <si>
    <t>4 at $1,133</t>
  </si>
  <si>
    <t>5 at $1,184</t>
  </si>
  <si>
    <t>4 at $1,184</t>
  </si>
  <si>
    <t>4 at $1,030</t>
  </si>
  <si>
    <t>5 at $1,133</t>
  </si>
  <si>
    <t>5 at $1,030</t>
  </si>
  <si>
    <t>5 at $TBD</t>
  </si>
  <si>
    <t>DAMMINIX Contract (Labor Only)</t>
  </si>
  <si>
    <t>2018 - 2020 $5,250 per application (2 applications per year4)</t>
  </si>
  <si>
    <t>2015-2017 $4750 per application (2 applications per year)</t>
  </si>
  <si>
    <t>Contract
Total</t>
  </si>
  <si>
    <t xml:space="preserve">Per
Application </t>
  </si>
  <si>
    <t>Commercial (Designated)
12 Applications</t>
  </si>
  <si>
    <t>Community (TPF ADMIN)
9 Applications</t>
  </si>
  <si>
    <t>Contract
Year</t>
  </si>
  <si>
    <t>TBD</t>
  </si>
  <si>
    <t>Rodent Control*</t>
  </si>
  <si>
    <t>*Prices do not include
trap replacement
as needed</t>
  </si>
  <si>
    <t>Whyte Hall Pest Control
Applications as necessary</t>
  </si>
  <si>
    <t>NeonCRM (Z2)</t>
  </si>
  <si>
    <t>Pines Marina hosting ($600 in Harbor Budget)</t>
  </si>
  <si>
    <t>Excess - Greenwich now Burlington</t>
  </si>
  <si>
    <t>plus winter slip fee ($500)</t>
  </si>
  <si>
    <t>Was in Owner For Budget</t>
  </si>
  <si>
    <t>Espinosa</t>
  </si>
  <si>
    <t>Was not budgeted</t>
  </si>
  <si>
    <t>1360+2000+1500(in transients)</t>
  </si>
  <si>
    <t>3500+4213</t>
  </si>
  <si>
    <t>To May 31</t>
  </si>
  <si>
    <t>To Jun 30</t>
  </si>
  <si>
    <t>After July1</t>
  </si>
  <si>
    <t>RW</t>
  </si>
  <si>
    <t>WP19011501</t>
  </si>
  <si>
    <t>WP19011502</t>
  </si>
  <si>
    <t>PW19011502</t>
  </si>
  <si>
    <t>A19091301</t>
  </si>
  <si>
    <t>PW19090501</t>
  </si>
  <si>
    <t>KM</t>
  </si>
  <si>
    <t>430-01 · Interest Income</t>
  </si>
  <si>
    <t>Membership Dues Inc</t>
  </si>
  <si>
    <t>400-01 · Membership Dues</t>
  </si>
  <si>
    <t>Total Membership Dues Inc</t>
  </si>
  <si>
    <t>409-01 · Merchandise Sales (Mail Box)</t>
  </si>
  <si>
    <t>417-01 · Boulevard Rentals</t>
  </si>
  <si>
    <t>Other Rental Income</t>
  </si>
  <si>
    <t>Total Other Rental Income</t>
  </si>
  <si>
    <t>431-01 · Endowment Spending</t>
  </si>
  <si>
    <t>Total Income</t>
  </si>
  <si>
    <t>652-01 · CPA Fees</t>
  </si>
  <si>
    <t>680-01 · FIA Contribution</t>
  </si>
  <si>
    <t>Fees Credit Card</t>
  </si>
  <si>
    <t>695-01 · Credit card fees</t>
  </si>
  <si>
    <t>Total Fees Credit Card</t>
  </si>
  <si>
    <t>655-01 · Insurance Admin</t>
  </si>
  <si>
    <t>Total Insurance</t>
  </si>
  <si>
    <t>697-01 · Outside Counsel</t>
  </si>
  <si>
    <t>Mailing, Newsletter</t>
  </si>
  <si>
    <t>675-01 · Membership mailing/delivery</t>
  </si>
  <si>
    <t>Total Mailing, Newsletter</t>
  </si>
  <si>
    <t>Maintenance, Repairs</t>
  </si>
  <si>
    <t>688-01 · Computer  Hardware</t>
  </si>
  <si>
    <t>Total Maintenance, Repairs</t>
  </si>
  <si>
    <t>687-01 · Membership Expenses</t>
  </si>
  <si>
    <t>693-01 · Wagon Stickers</t>
  </si>
  <si>
    <t>705-01 · Membership Gift</t>
  </si>
  <si>
    <t>Total Miscellaneous</t>
  </si>
  <si>
    <t>Payroll Taxes &amp; Ins</t>
  </si>
  <si>
    <t>529-01 · Workers Com Insurance</t>
  </si>
  <si>
    <t>Total Payroll Taxes &amp; Ins</t>
  </si>
  <si>
    <t>535-01 · Post Office Postmaster fees</t>
  </si>
  <si>
    <t>538-01 · Post office expenses</t>
  </si>
  <si>
    <t>694-01 · Membership Brochure</t>
  </si>
  <si>
    <t>702-01 · Wagon Rack Signage</t>
  </si>
  <si>
    <t>703-01 · Membership Thank You Stanchion</t>
  </si>
  <si>
    <t>704-01 · Membership Party</t>
  </si>
  <si>
    <t>Total Expense</t>
  </si>
  <si>
    <t>2020 Budget</t>
  </si>
  <si>
    <t>Increase Every 5 Years 12%</t>
  </si>
  <si>
    <t>Next Increase 2024</t>
  </si>
  <si>
    <t>Boat Slip Rental</t>
  </si>
  <si>
    <t>420-02 · Boat/Owner/Recreational</t>
  </si>
  <si>
    <t>421-02 · Boat/Owner/Commercial</t>
  </si>
  <si>
    <t>422-02 · Boat/NonOwner/Recreational</t>
  </si>
  <si>
    <t>423-02 · Boat/NonOwner/Commercial</t>
  </si>
  <si>
    <t>Total Boat Slip Rental</t>
  </si>
  <si>
    <t>449-02 · Sale of Sand</t>
  </si>
  <si>
    <t>425-02 · Harbor IncomeWinter Seasonal</t>
  </si>
  <si>
    <t>431-02 · RentFerry</t>
  </si>
  <si>
    <t>435-02 · Freight Dock Fee Coastline</t>
  </si>
  <si>
    <t>436-02 · RentGas Platform  LPG</t>
  </si>
  <si>
    <t>437-02 · Freight Dock Usage</t>
  </si>
  <si>
    <t>655-02 · Insurance Harbor</t>
  </si>
  <si>
    <t>584-02 · Harbor Legal</t>
  </si>
  <si>
    <t>574-02 · Harbor Advertising</t>
  </si>
  <si>
    <t>545-02 · Harbor Maintenance</t>
  </si>
  <si>
    <t>555-02 · Replace/Repair Mooring Poles</t>
  </si>
  <si>
    <t>554-02 · Monitor Freight Dock</t>
  </si>
  <si>
    <t>529-02 · Workers Com Insurance 2</t>
  </si>
  <si>
    <t>566-02 · Harbor Real Estate Taxes</t>
  </si>
  <si>
    <t>550-02 · Harbor Phone</t>
  </si>
  <si>
    <t>565-02 · Ferry &amp; Parking</t>
  </si>
  <si>
    <t>551-02 · Harbor Electric</t>
  </si>
  <si>
    <t>552-02 · Harbor Water</t>
  </si>
  <si>
    <t>589-03 · Blvd. Improvements</t>
  </si>
  <si>
    <t>593-03 · General Maintenance</t>
  </si>
  <si>
    <t>596-03 · Tractor Expense</t>
  </si>
  <si>
    <t>695-03 · Maintenance Phone</t>
  </si>
  <si>
    <t>565-03 · Ferry &amp; Parking(1)</t>
  </si>
  <si>
    <t>Contrib &amp; Other Fund Raising</t>
  </si>
  <si>
    <t>426-06 · Foundation Endowment Spending</t>
  </si>
  <si>
    <t>Total Contrib &amp; Other Fund Raising</t>
  </si>
  <si>
    <t>430-06 · Interest Income</t>
  </si>
  <si>
    <t>796-06 · PCS Donation</t>
  </si>
  <si>
    <t>785-06 · Outside Counsel</t>
  </si>
  <si>
    <t>664-06 · Trash Containers</t>
  </si>
  <si>
    <t>787-06 · Miscellaneous</t>
  </si>
  <si>
    <t>Operating Expenses</t>
  </si>
  <si>
    <t>505-06 · Pet Pickups</t>
  </si>
  <si>
    <t>537-06 · Credit Card Fees</t>
  </si>
  <si>
    <t>655-06 · Admin Insurance</t>
  </si>
  <si>
    <t>762-06 · CPA Fees</t>
  </si>
  <si>
    <t>794-06 · Rodent Expense</t>
  </si>
  <si>
    <t>562-06 · PR Taxes</t>
  </si>
  <si>
    <t>Admissions &amp; Rentals</t>
  </si>
  <si>
    <t>406-05 · WH Rental Income</t>
  </si>
  <si>
    <t>432-05 · Cleaning Fees Paid In</t>
  </si>
  <si>
    <t>Total Admissions &amp; Rentals</t>
  </si>
  <si>
    <t>407-05 · User Group Contributions</t>
  </si>
  <si>
    <t>Other Rental</t>
  </si>
  <si>
    <t>450-05 · Verizon Contract</t>
  </si>
  <si>
    <t>452-05 · TMobile Contract</t>
  </si>
  <si>
    <t>Total Other Rental</t>
  </si>
  <si>
    <t>701-05 · WH Cleaning</t>
  </si>
  <si>
    <t>789-05 · WH  Technical Director</t>
  </si>
  <si>
    <t>760-05 · Elevator</t>
  </si>
  <si>
    <t>764-05 · Fire Prevention</t>
  </si>
  <si>
    <t>Insurance Exp</t>
  </si>
  <si>
    <t>655-05 · WH Insurance</t>
  </si>
  <si>
    <t>Total Insurance Exp</t>
  </si>
  <si>
    <t>754-05 · WH Landscape Maintenance</t>
  </si>
  <si>
    <t>Maintenance &amp; Supplies</t>
  </si>
  <si>
    <t>700-05 · WH Maintenance</t>
  </si>
  <si>
    <t>755-05 · WH Pest Control</t>
  </si>
  <si>
    <t>757-05 · WH Supplies</t>
  </si>
  <si>
    <t>Total Maintenance &amp; Supplies</t>
  </si>
  <si>
    <t>788-05 · WH  Liquor License</t>
  </si>
  <si>
    <t>790-05 · WH  Miscellaneous</t>
  </si>
  <si>
    <t>493-05 · WH Payroll Taxes</t>
  </si>
  <si>
    <t>750-05 · WH Real Estate Taxes</t>
  </si>
  <si>
    <t>751-05 · WH Electric</t>
  </si>
  <si>
    <t>752-05 · WH Water</t>
  </si>
  <si>
    <t>2020
Budget</t>
  </si>
  <si>
    <t>Paid
in 2018</t>
  </si>
  <si>
    <t>Hausman/Crispino</t>
  </si>
  <si>
    <t>w19031301</t>
  </si>
  <si>
    <t>2020
Check</t>
  </si>
  <si>
    <t>2020
Actual</t>
  </si>
  <si>
    <t>WF19011501</t>
  </si>
  <si>
    <t>655-03 · Insurance</t>
  </si>
  <si>
    <t>Paul Magnussen</t>
  </si>
  <si>
    <t>Recrectional Owner</t>
  </si>
  <si>
    <t>Liability - Scottsdale (Jan)</t>
  </si>
  <si>
    <t>Expiration</t>
  </si>
  <si>
    <t>Regular Member Discount</t>
  </si>
  <si>
    <t>Automatic Monthly Credit Card Payment</t>
  </si>
  <si>
    <t>4 year Building Discount &amp; Regular Member Discount</t>
  </si>
  <si>
    <t>?</t>
  </si>
  <si>
    <t>Charged Flat Rate (not by Square Footage)</t>
  </si>
  <si>
    <t>Beachscapes (Black)</t>
  </si>
  <si>
    <t>Advance Pest Control</t>
  </si>
  <si>
    <t>TFC Electric</t>
  </si>
  <si>
    <t>795-05 · License Agreement</t>
  </si>
  <si>
    <t>498-05 · Workers Comp</t>
  </si>
  <si>
    <t>2021 Budget</t>
  </si>
  <si>
    <t>2020 Actual</t>
  </si>
  <si>
    <t>0</t>
  </si>
  <si>
    <t>498-06 · Admin Workers Comp</t>
  </si>
  <si>
    <t>581-02 · DockWA  Credit Card Fees</t>
  </si>
  <si>
    <t>519-02 · Harbor Payroll Taxes</t>
  </si>
  <si>
    <t>577-02 · Harbor Dredging</t>
  </si>
  <si>
    <t xml:space="preserve">2020 Budget </t>
  </si>
  <si>
    <t>519-01 · Admin Payroll Taxes</t>
  </si>
  <si>
    <t>2020 ACTUAL</t>
  </si>
  <si>
    <t>2020Actual</t>
  </si>
  <si>
    <t>Payroll Taxes</t>
  </si>
  <si>
    <t>594-03 · Miscellaneous</t>
  </si>
  <si>
    <t>Total Operating Expenses</t>
  </si>
  <si>
    <t>449-05 · Whyte Hall Annual Fund</t>
  </si>
  <si>
    <t>Paid $1250 half for 2020 half for 2021</t>
  </si>
  <si>
    <t>Paid $624 half for 2020 half for 2021</t>
  </si>
  <si>
    <t>SB</t>
  </si>
  <si>
    <t>MAINT</t>
  </si>
  <si>
    <t>W20012901</t>
  </si>
  <si>
    <t>W20012902</t>
  </si>
  <si>
    <t xml:space="preserve">Evanston </t>
  </si>
  <si>
    <t>W20031901</t>
  </si>
  <si>
    <t>w20042701</t>
  </si>
  <si>
    <t>W20100701</t>
  </si>
  <si>
    <t>PW20012901</t>
  </si>
  <si>
    <t>PW20012902</t>
  </si>
  <si>
    <t>PW20100701</t>
  </si>
  <si>
    <t>2021
Check</t>
  </si>
  <si>
    <t>2021
Actual</t>
  </si>
  <si>
    <t>2021
Budget</t>
  </si>
  <si>
    <t>BLVD</t>
  </si>
  <si>
    <t>TPFADMIN</t>
  </si>
  <si>
    <t xml:space="preserve">Harbor </t>
  </si>
  <si>
    <t>Blvd</t>
  </si>
  <si>
    <t>Tech</t>
  </si>
  <si>
    <t>MyCOI</t>
  </si>
  <si>
    <t>Boulevard</t>
  </si>
  <si>
    <t>COST CENTER</t>
  </si>
  <si>
    <t>Actual</t>
  </si>
  <si>
    <t>MEMBADMIN</t>
  </si>
  <si>
    <t>HARBOR</t>
  </si>
  <si>
    <t>ADMIN</t>
  </si>
  <si>
    <t>ES to Check with Roger on Harbor Property</t>
  </si>
  <si>
    <t>Administration-Misc</t>
  </si>
  <si>
    <t>Last Name</t>
  </si>
  <si>
    <t>Winter slip</t>
  </si>
  <si>
    <t>Outstanding</t>
  </si>
  <si>
    <t>Invoices Sent</t>
  </si>
  <si>
    <t>First Name</t>
  </si>
  <si>
    <t>Address 1</t>
  </si>
  <si>
    <t>City</t>
  </si>
  <si>
    <t>State</t>
  </si>
  <si>
    <t>Zip</t>
  </si>
  <si>
    <t>Cell</t>
  </si>
  <si>
    <t>Home</t>
  </si>
  <si>
    <t>Office</t>
  </si>
  <si>
    <t>Pines</t>
  </si>
  <si>
    <t>Pines Lot</t>
  </si>
  <si>
    <t>Boat Name</t>
  </si>
  <si>
    <t>Make</t>
  </si>
  <si>
    <t>Reg/Doc#</t>
  </si>
  <si>
    <t>Reg Exp</t>
  </si>
  <si>
    <t>Beam</t>
  </si>
  <si>
    <t>Draft</t>
  </si>
  <si>
    <t>Head</t>
  </si>
  <si>
    <t>Value</t>
  </si>
  <si>
    <t>Insurance Liab</t>
  </si>
  <si>
    <t>Marina Ins</t>
  </si>
  <si>
    <t>HULL Ins</t>
  </si>
  <si>
    <t>Agreement</t>
  </si>
  <si>
    <t>Bolus</t>
  </si>
  <si>
    <t>John</t>
  </si>
  <si>
    <t>149 Essex Street, Apt. 4U</t>
  </si>
  <si>
    <t>Jersey City</t>
  </si>
  <si>
    <t>NJ</t>
  </si>
  <si>
    <t>917-539-6303</t>
  </si>
  <si>
    <t>johnmboulos@gmail.com</t>
  </si>
  <si>
    <t>Beyrouth </t>
  </si>
  <si>
    <t>Meridian</t>
  </si>
  <si>
    <t>NY</t>
  </si>
  <si>
    <t>Pearson</t>
  </si>
  <si>
    <t>Matt</t>
  </si>
  <si>
    <t>914-629-6665</t>
  </si>
  <si>
    <t>mpearson@marronfoods.com</t>
  </si>
  <si>
    <t>Agapoon</t>
  </si>
  <si>
    <t>Sea ay</t>
  </si>
  <si>
    <t>Type III</t>
  </si>
  <si>
    <t>Bradford</t>
  </si>
  <si>
    <t>2200 South Ocean Lane #2705</t>
  </si>
  <si>
    <t>Ft Lauderdale</t>
  </si>
  <si>
    <t>FL</t>
  </si>
  <si>
    <t>856-979-9112</t>
  </si>
  <si>
    <t>856-231-9393</t>
  </si>
  <si>
    <t>856-933-1111</t>
  </si>
  <si>
    <t>goinprice@gmail.com</t>
  </si>
  <si>
    <t>Price Water House</t>
  </si>
  <si>
    <t>Hatteras</t>
  </si>
  <si>
    <t>MD6994AW</t>
  </si>
  <si>
    <t>5'10"</t>
  </si>
  <si>
    <t>Quinn</t>
  </si>
  <si>
    <t>Lawrance</t>
  </si>
  <si>
    <t>16 Jareds Path</t>
  </si>
  <si>
    <t>Brookhaven</t>
  </si>
  <si>
    <t>631-275-1198</t>
  </si>
  <si>
    <t>Quinnselor@yahoo.com</t>
  </si>
  <si>
    <t>Gale Force</t>
  </si>
  <si>
    <t>Chris Craft</t>
  </si>
  <si>
    <t>18'</t>
  </si>
  <si>
    <t>4'5"</t>
  </si>
  <si>
    <t>Sal</t>
  </si>
  <si>
    <t>2 Kristin Ln</t>
  </si>
  <si>
    <t>Hauppauge</t>
  </si>
  <si>
    <t>ny</t>
  </si>
  <si>
    <t>516-429-3524</t>
  </si>
  <si>
    <t>sjscibico@aol.com</t>
  </si>
  <si>
    <t>Fury</t>
  </si>
  <si>
    <t>Pacemaker</t>
  </si>
  <si>
    <t>13' 11"</t>
  </si>
  <si>
    <t>Carlos/Alan</t>
  </si>
  <si>
    <t>12 Brittany Ct</t>
  </si>
  <si>
    <t>Ridge</t>
  </si>
  <si>
    <t>631.334.1496</t>
  </si>
  <si>
    <t>631.921.9221</t>
  </si>
  <si>
    <t>csakny@optonline.net</t>
  </si>
  <si>
    <t>Freedom</t>
  </si>
  <si>
    <t>Carver</t>
  </si>
  <si>
    <t>3'4"</t>
  </si>
  <si>
    <t>TenEyck</t>
  </si>
  <si>
    <t>New boater for 2021</t>
  </si>
  <si>
    <t>Christian</t>
  </si>
  <si>
    <t>83 Sanford place</t>
  </si>
  <si>
    <t>732-266-7768</t>
  </si>
  <si>
    <t>Christian.TenEyck83@gmail.com</t>
  </si>
  <si>
    <t>Watkins</t>
  </si>
  <si>
    <t>8.6'</t>
  </si>
  <si>
    <t>3'</t>
  </si>
  <si>
    <t>Anthony</t>
  </si>
  <si>
    <t>24 Littlefield Ave</t>
  </si>
  <si>
    <t>Staten Island</t>
  </si>
  <si>
    <t>917.942.4023</t>
  </si>
  <si>
    <t>718.317.5780</t>
  </si>
  <si>
    <t>anthonytonani@verizon.net</t>
  </si>
  <si>
    <t>Pupa</t>
  </si>
  <si>
    <t>Daniel/Michael</t>
  </si>
  <si>
    <t>PO Box 1498</t>
  </si>
  <si>
    <t>Rancho Sane Fe</t>
  </si>
  <si>
    <t>CA</t>
  </si>
  <si>
    <t>619.843.5182</t>
  </si>
  <si>
    <t>619.843.5181</t>
  </si>
  <si>
    <t>dveale9@aol.com</t>
  </si>
  <si>
    <t>Christina Tamara</t>
  </si>
  <si>
    <t>Boward</t>
  </si>
  <si>
    <t>STR09248M73E</t>
  </si>
  <si>
    <t>Chimeri</t>
  </si>
  <si>
    <t>161 gnarled Hollow rd</t>
  </si>
  <si>
    <t>East Setauket</t>
  </si>
  <si>
    <t xml:space="preserve">516.302.5330  </t>
  </si>
  <si>
    <t>Christopher.chimeri@gmail.com</t>
  </si>
  <si>
    <t>No Self Control</t>
  </si>
  <si>
    <t>Ryan</t>
  </si>
  <si>
    <t>322 W 52nd Street, #715</t>
  </si>
  <si>
    <t>New York</t>
  </si>
  <si>
    <t>212-203-6641</t>
  </si>
  <si>
    <t>Aries Rising</t>
  </si>
  <si>
    <t xml:space="preserve">101 w24th st unit 30h </t>
  </si>
  <si>
    <t>New York City</t>
  </si>
  <si>
    <t>248-854-8328</t>
  </si>
  <si>
    <t>mhhdoh@gmail.com</t>
  </si>
  <si>
    <t>Cobalt</t>
  </si>
  <si>
    <t>8' 6"</t>
  </si>
  <si>
    <t>1' 10"</t>
  </si>
  <si>
    <t>Bill</t>
  </si>
  <si>
    <t>212 E. 48th St.</t>
  </si>
  <si>
    <t>718-765-6922</t>
  </si>
  <si>
    <t>212-593-3743</t>
  </si>
  <si>
    <t>hildeny@msn.com</t>
  </si>
  <si>
    <t>630 Special</t>
  </si>
  <si>
    <t>Steiger Craft</t>
  </si>
  <si>
    <t>NY2597KD</t>
  </si>
  <si>
    <t>N/A</t>
  </si>
  <si>
    <t>Inzerillo</t>
  </si>
  <si>
    <t>Joseph</t>
  </si>
  <si>
    <t>173 Water St.</t>
  </si>
  <si>
    <t>Brooklyn</t>
  </si>
  <si>
    <t>312-907-4126</t>
  </si>
  <si>
    <t>joe@inzerillo.com</t>
  </si>
  <si>
    <t>Morgan Stark</t>
  </si>
  <si>
    <t>Striper</t>
  </si>
  <si>
    <t>NY4002MP</t>
  </si>
  <si>
    <t>2'</t>
  </si>
  <si>
    <t>Matthew</t>
  </si>
  <si>
    <t>315 York St #5</t>
  </si>
  <si>
    <t>646.265.2500</t>
  </si>
  <si>
    <t>matthewjkay@gmail.com</t>
  </si>
  <si>
    <t>Crownline</t>
  </si>
  <si>
    <t>NY3171MJ</t>
  </si>
  <si>
    <t>Ken &amp; Jean</t>
  </si>
  <si>
    <t>238 Paulanna Ave</t>
  </si>
  <si>
    <t>Bayport</t>
  </si>
  <si>
    <t>631.767.6991</t>
  </si>
  <si>
    <t>fireislander@msn.com</t>
  </si>
  <si>
    <t>Spotless</t>
  </si>
  <si>
    <t>Grady White</t>
  </si>
  <si>
    <t>NY7463JV</t>
  </si>
  <si>
    <t>8'</t>
  </si>
  <si>
    <t>54 Harbor Drive</t>
  </si>
  <si>
    <t xml:space="preserve">Blue Point </t>
  </si>
  <si>
    <t>516-768-5428</t>
  </si>
  <si>
    <t>631-963-9026</t>
  </si>
  <si>
    <t>631-467-6300</t>
  </si>
  <si>
    <t>chris@northatlantic.com</t>
  </si>
  <si>
    <t>North Atlantic</t>
  </si>
  <si>
    <t>Sea Ray</t>
  </si>
  <si>
    <t>Magnusson</t>
  </si>
  <si>
    <t>Paul</t>
  </si>
  <si>
    <t>917-653-5050</t>
  </si>
  <si>
    <t>nycmag@me.com</t>
  </si>
  <si>
    <t>Della.calm</t>
  </si>
  <si>
    <t>Island Packet</t>
  </si>
  <si>
    <t>10'6"</t>
  </si>
  <si>
    <t>2'8"</t>
  </si>
  <si>
    <t>Margolius</t>
  </si>
  <si>
    <t>Richard</t>
  </si>
  <si>
    <t>166 Hamilton Ave.</t>
  </si>
  <si>
    <t>New Rochelle</t>
  </si>
  <si>
    <t>richard.margolius@gmail.com</t>
  </si>
  <si>
    <t>Gung Ho</t>
  </si>
  <si>
    <t>Burnscraft</t>
  </si>
  <si>
    <t>12' 6"</t>
  </si>
  <si>
    <t>Martin</t>
  </si>
  <si>
    <t>222 Bloomingdale Rd.</t>
  </si>
  <si>
    <t>White Plains</t>
  </si>
  <si>
    <t>914-261-9839</t>
  </si>
  <si>
    <t>914-686-5600</t>
  </si>
  <si>
    <t>212-579-1944</t>
  </si>
  <si>
    <t>jmartin@allnyt.com</t>
  </si>
  <si>
    <t>Fuerva Nortus</t>
  </si>
  <si>
    <t>Formula</t>
  </si>
  <si>
    <t>12' 8"</t>
  </si>
  <si>
    <t>3.7'</t>
  </si>
  <si>
    <t>Mc Ateer</t>
  </si>
  <si>
    <t>PJ</t>
  </si>
  <si>
    <t>516.384.2599</t>
  </si>
  <si>
    <t xml:space="preserve">631.440.0079  </t>
  </si>
  <si>
    <t>mack696@aol.com</t>
  </si>
  <si>
    <t>Pines Princess</t>
  </si>
  <si>
    <t>McCauley</t>
  </si>
  <si>
    <t>Kevin</t>
  </si>
  <si>
    <t>917-273-1879</t>
  </si>
  <si>
    <t>608A</t>
  </si>
  <si>
    <t>kmc276@aol.com</t>
  </si>
  <si>
    <t>Boston Whaler</t>
  </si>
  <si>
    <t>Larry</t>
  </si>
  <si>
    <t>93 Rapelye St #4C</t>
  </si>
  <si>
    <t xml:space="preserve">Brooklyn </t>
  </si>
  <si>
    <t>917.868.3321</t>
  </si>
  <si>
    <t>631.597.6442</t>
  </si>
  <si>
    <t>wineselector@gmail.com</t>
  </si>
  <si>
    <t>Uniflite</t>
  </si>
  <si>
    <t>NY6770DF</t>
  </si>
  <si>
    <t>2'10"</t>
  </si>
  <si>
    <t>Roon</t>
  </si>
  <si>
    <t>89 Reade St. PHS</t>
  </si>
  <si>
    <t>917-992-4254</t>
  </si>
  <si>
    <t>kevinroon@mac.com</t>
  </si>
  <si>
    <t>Sol Rider</t>
  </si>
  <si>
    <t>Formula 27PC</t>
  </si>
  <si>
    <t>9'7"</t>
  </si>
  <si>
    <t>3' 4"</t>
  </si>
  <si>
    <t>PCR 1</t>
  </si>
  <si>
    <t>Safe</t>
  </si>
  <si>
    <t>NY7601GP</t>
  </si>
  <si>
    <t>8.5'</t>
  </si>
  <si>
    <t>2.5'</t>
  </si>
  <si>
    <t>Tortora</t>
  </si>
  <si>
    <t>Bob/Alan</t>
  </si>
  <si>
    <t>PO Box 2358</t>
  </si>
  <si>
    <t>Sag Harbor</t>
  </si>
  <si>
    <t>631.725.9700</t>
  </si>
  <si>
    <t>917.359.2000</t>
  </si>
  <si>
    <t>bobtortora@gmail.com</t>
  </si>
  <si>
    <t>Aqua Veolche</t>
  </si>
  <si>
    <t>NJ3285GZ</t>
  </si>
  <si>
    <t>Ken/Josh</t>
  </si>
  <si>
    <t>166 Coggeshall Ave</t>
  </si>
  <si>
    <t>Newport</t>
  </si>
  <si>
    <t>RI</t>
  </si>
  <si>
    <t>954.918.9666</t>
  </si>
  <si>
    <t>401.849.1051</t>
  </si>
  <si>
    <t>401.662.2159</t>
  </si>
  <si>
    <t>kzarrilli@gmail.com</t>
  </si>
  <si>
    <t>Edwina II</t>
  </si>
  <si>
    <t>Steiger craft</t>
  </si>
  <si>
    <t>NY1049LG</t>
  </si>
  <si>
    <t>9'6"</t>
  </si>
  <si>
    <t>2'6"</t>
  </si>
  <si>
    <t>Address 2</t>
  </si>
  <si>
    <t>Reg / Doc #</t>
  </si>
  <si>
    <t>SC License</t>
  </si>
  <si>
    <t>SCL EXPire</t>
  </si>
  <si>
    <t>Tom</t>
  </si>
  <si>
    <t>342 Astor Drive</t>
  </si>
  <si>
    <t>Sayville</t>
  </si>
  <si>
    <t>631.563.5028</t>
  </si>
  <si>
    <t>631.589.2800</t>
  </si>
  <si>
    <t>TFCelectric@gmail.com</t>
  </si>
  <si>
    <t>Pursuit Team</t>
  </si>
  <si>
    <t>Pursuit</t>
  </si>
  <si>
    <t>NY5335UV</t>
  </si>
  <si>
    <t>None</t>
  </si>
  <si>
    <t>None on File</t>
  </si>
  <si>
    <t>51 Edwards Lane</t>
  </si>
  <si>
    <t>Blue Point</t>
  </si>
  <si>
    <t>631.363.5296</t>
  </si>
  <si>
    <t>631.848.5744</t>
  </si>
  <si>
    <t>631.597.3703</t>
  </si>
  <si>
    <t>squig88@hotmail.com</t>
  </si>
  <si>
    <t>Bug Ranger</t>
  </si>
  <si>
    <t>Norweigan</t>
  </si>
  <si>
    <t>NY3827FR</t>
  </si>
  <si>
    <t>7'5"</t>
  </si>
  <si>
    <t>43560-H</t>
  </si>
  <si>
    <t>PO Box 815</t>
  </si>
  <si>
    <t xml:space="preserve">Sayville </t>
  </si>
  <si>
    <t>631.872.8268</t>
  </si>
  <si>
    <t>631.567.8446</t>
  </si>
  <si>
    <t>matt@rockandpaint.com</t>
  </si>
  <si>
    <t>MS Drywall &amp; Paint</t>
  </si>
  <si>
    <t>Parker</t>
  </si>
  <si>
    <t>9'1"</t>
  </si>
  <si>
    <t>21367-H</t>
  </si>
  <si>
    <t>Walter</t>
  </si>
  <si>
    <t>PO Box 186</t>
  </si>
  <si>
    <t>631.597.9191</t>
  </si>
  <si>
    <t>631.597.6262</t>
  </si>
  <si>
    <t>93 Black Duck</t>
  </si>
  <si>
    <t>waltboss@earthlink.com</t>
  </si>
  <si>
    <t>Karen B</t>
  </si>
  <si>
    <t>NY1300GR</t>
  </si>
  <si>
    <t>11'5"</t>
  </si>
  <si>
    <t>Not Specified</t>
  </si>
  <si>
    <t>25983-H</t>
  </si>
  <si>
    <t>Marauder</t>
  </si>
  <si>
    <t>Bertram</t>
  </si>
  <si>
    <t>11'2"</t>
  </si>
  <si>
    <t>3'1"</t>
  </si>
  <si>
    <t xml:space="preserve">217 Wyandanch Rd </t>
  </si>
  <si>
    <t>516.523.2365</t>
  </si>
  <si>
    <t>631.589.2157</t>
  </si>
  <si>
    <t>wns66@aol.com</t>
  </si>
  <si>
    <t>Salty Dog</t>
  </si>
  <si>
    <t>Uniflight</t>
  </si>
  <si>
    <t>10'10"</t>
  </si>
  <si>
    <t>2'4"</t>
  </si>
  <si>
    <t>36114-H</t>
  </si>
  <si>
    <t>PO Box 2100</t>
  </si>
  <si>
    <t>Patchogue</t>
  </si>
  <si>
    <t>631.553.0037</t>
  </si>
  <si>
    <t>631.597.9091</t>
  </si>
  <si>
    <t>419 Ocean</t>
  </si>
  <si>
    <t>billkaten@icloud.com</t>
  </si>
  <si>
    <t>Willie K</t>
  </si>
  <si>
    <t>Lubus</t>
  </si>
  <si>
    <t>11'</t>
  </si>
  <si>
    <t>30"</t>
  </si>
  <si>
    <t>43298 H</t>
  </si>
  <si>
    <t>Vinnie</t>
  </si>
  <si>
    <t>302 East Montauk Highway</t>
  </si>
  <si>
    <t>Hampton Bays</t>
  </si>
  <si>
    <t>631.742.7941</t>
  </si>
  <si>
    <t>631.728.5371</t>
  </si>
  <si>
    <t>631.597.6843</t>
  </si>
  <si>
    <t>89 Teal</t>
  </si>
  <si>
    <t>susiepook@aol.com</t>
  </si>
  <si>
    <t>Straight Line</t>
  </si>
  <si>
    <t>Jelleau</t>
  </si>
  <si>
    <t>NY16102J</t>
  </si>
  <si>
    <t>12'</t>
  </si>
  <si>
    <t>None Specified</t>
  </si>
  <si>
    <t>22370 H</t>
  </si>
  <si>
    <t>Stoehrer / Lafountaine</t>
  </si>
  <si>
    <t>Paul / Nicole</t>
  </si>
  <si>
    <t>150 Boylan Lane North</t>
  </si>
  <si>
    <t>631.561.7800</t>
  </si>
  <si>
    <t>631.597.7018</t>
  </si>
  <si>
    <t>631-597-9774</t>
  </si>
  <si>
    <t>paulstoehrer@mac.com</t>
  </si>
  <si>
    <t>Edgewater</t>
  </si>
  <si>
    <t>NY 80711138</t>
  </si>
  <si>
    <t>7'</t>
  </si>
  <si>
    <t>Doug</t>
  </si>
  <si>
    <t>PO Box 888</t>
  </si>
  <si>
    <t>631.597.9464</t>
  </si>
  <si>
    <t>631.597.6622</t>
  </si>
  <si>
    <t>480 Tarpon</t>
  </si>
  <si>
    <t>doug@cflafountaine.com</t>
  </si>
  <si>
    <t>Thomas Marine</t>
  </si>
  <si>
    <t>NY3349KD</t>
  </si>
  <si>
    <t>10'</t>
  </si>
  <si>
    <t>3"</t>
  </si>
  <si>
    <t>727-AR</t>
  </si>
  <si>
    <t>Quarterly Budget Allocation Boulevard</t>
  </si>
  <si>
    <t>Totals</t>
  </si>
  <si>
    <t>Shared Expenses</t>
  </si>
  <si>
    <t>Total Shared Expenses</t>
  </si>
  <si>
    <t>My COI</t>
  </si>
  <si>
    <t>Technology 2021</t>
  </si>
  <si>
    <t>ZOOM</t>
  </si>
  <si>
    <t>Survey Monkey</t>
  </si>
  <si>
    <t>Admin Ferry &amp; Parking</t>
  </si>
  <si>
    <t>Website</t>
  </si>
  <si>
    <t>Overhead Equipment</t>
  </si>
  <si>
    <t>Overhead Supplies</t>
  </si>
  <si>
    <t>Overhead Travel &amp; Entertainment</t>
  </si>
  <si>
    <t>Overhead Postage</t>
  </si>
  <si>
    <t>Overhead Misc</t>
  </si>
  <si>
    <t>Membership Expenses</t>
  </si>
  <si>
    <t>900 MEMBERSHIP APPEAL AND Fall Meeting</t>
  </si>
  <si>
    <t>947 in 2019 / 1233 in 2018 (600 for TY Stanchion) / 945 in 2017 (All TY Stanchion)</t>
  </si>
  <si>
    <r>
      <t xml:space="preserve">694-01 · Membership </t>
    </r>
    <r>
      <rPr>
        <b/>
        <sz val="14"/>
        <color rgb="FFFF0000"/>
        <rFont val="Arial"/>
        <family val="2"/>
      </rPr>
      <t xml:space="preserve">Sand Book </t>
    </r>
  </si>
  <si>
    <t>370 in 2017 for 500</t>
  </si>
  <si>
    <r>
      <t xml:space="preserve">702-01 · Wagon Rack </t>
    </r>
    <r>
      <rPr>
        <b/>
        <sz val="14"/>
        <color rgb="FFFF0000"/>
        <rFont val="Arial"/>
        <family val="2"/>
      </rPr>
      <t>Notices</t>
    </r>
  </si>
  <si>
    <t>Membership Contribution to budget</t>
  </si>
  <si>
    <t>Payroll, Taxes &amp; Ins</t>
  </si>
  <si>
    <t>Shared Expeses</t>
  </si>
  <si>
    <t>434-02 · Freight Dock (ROLLOFF)</t>
  </si>
  <si>
    <t>433-02 · RentGarbage Brownie</t>
  </si>
  <si>
    <t>592-02 · Harbor Website Hosting Videotex</t>
  </si>
  <si>
    <t>Future Income</t>
  </si>
  <si>
    <t xml:space="preserve">Future  </t>
  </si>
  <si>
    <t>433-05 · Building Management Fund</t>
  </si>
  <si>
    <t>759-05 · WH Appeal mailings</t>
  </si>
  <si>
    <t>BOULEVARD NET INCOME</t>
  </si>
  <si>
    <t xml:space="preserve">529-03 · Workers Com Insurance </t>
  </si>
  <si>
    <t xml:space="preserve">580-02 · Harbor Credit Card Fees </t>
  </si>
  <si>
    <t>HARBOR NET INCOME</t>
  </si>
  <si>
    <t>Other Income</t>
  </si>
  <si>
    <t>Total Other Income</t>
  </si>
  <si>
    <t>Postal Expenses</t>
  </si>
  <si>
    <t>Total Postal Expenses</t>
  </si>
  <si>
    <t>408-01 · Post Office Contract</t>
  </si>
  <si>
    <t>ADMIN Net Income</t>
  </si>
  <si>
    <t>Whyte Hall Net Income</t>
  </si>
  <si>
    <t>Year End Bonus Pool</t>
  </si>
  <si>
    <t>789-06 · Lyme Prevention Expense</t>
  </si>
  <si>
    <t>564-06 Community Manager</t>
  </si>
  <si>
    <t>495-05 · Community Manager</t>
  </si>
  <si>
    <t>497-05 · Adminsitrative Staff</t>
  </si>
  <si>
    <t>497-06 · Administrative Staff</t>
  </si>
  <si>
    <t xml:space="preserve">407-01 · Administrative Staff </t>
  </si>
  <si>
    <t>502-01 · Community Manager</t>
  </si>
  <si>
    <t xml:space="preserve">407-02 · Administrative Staff </t>
  </si>
  <si>
    <t>503-02 · Harbor Master</t>
  </si>
  <si>
    <t>505-02 · Harbor Staff</t>
  </si>
  <si>
    <t>2021 FIB Parking</t>
  </si>
  <si>
    <t>On Auto renewal $50 a month</t>
  </si>
  <si>
    <t>Lynch</t>
  </si>
  <si>
    <t>? KM - For Broadband?</t>
  </si>
  <si>
    <t>410-03 Finance Manager</t>
  </si>
  <si>
    <t>595-03  Community Manager Bike</t>
  </si>
  <si>
    <t>407-03 · Administrative Staff</t>
  </si>
  <si>
    <t>693-03 Professional (legal)</t>
  </si>
  <si>
    <t>694-03 Sand Gate</t>
  </si>
  <si>
    <t>609-03 Technology</t>
  </si>
  <si>
    <t>669-03 My COI</t>
  </si>
  <si>
    <t>790-03 Overhead Equipment</t>
  </si>
  <si>
    <t>546-02  Snow Removal</t>
  </si>
  <si>
    <t>590-02 · Harbor Admin DockWa</t>
  </si>
  <si>
    <t>609-02 Technology</t>
  </si>
  <si>
    <t>571-02 Overhead Ferry &amp; Parking</t>
  </si>
  <si>
    <t>669-02 My COI</t>
  </si>
  <si>
    <t>695-02 Overhead Phone</t>
  </si>
  <si>
    <t>410-01  Finance Manager</t>
  </si>
  <si>
    <t>565-01 Overhead Ferry &amp; Parking</t>
  </si>
  <si>
    <t>667-01 Overhead Supplies</t>
  </si>
  <si>
    <t>668-01 Overhead Phone</t>
  </si>
  <si>
    <t>669-01 My COI</t>
  </si>
  <si>
    <t>690-01 Technology</t>
  </si>
  <si>
    <t>670-01 Overhead Travel &amp; Entertainment</t>
  </si>
  <si>
    <t>676-01 Overhead Postage</t>
  </si>
  <si>
    <t>682-01 Overhead Misc</t>
  </si>
  <si>
    <t>790-01 Overhead Equipment</t>
  </si>
  <si>
    <t>786-05 Technology</t>
  </si>
  <si>
    <t>538-05 My COI</t>
  </si>
  <si>
    <t>792-05 Shared Ferry &amp; Parking</t>
  </si>
  <si>
    <t>761-05 Shared Phone</t>
  </si>
  <si>
    <t>756-05 Equipment</t>
  </si>
  <si>
    <t>756-06 Overhead Equipment</t>
  </si>
  <si>
    <t>757-06 Overhead Supplies</t>
  </si>
  <si>
    <t>723-06 Admin Travel &amp; Entertainment</t>
  </si>
  <si>
    <t>795-06 Overhead Postage</t>
  </si>
  <si>
    <t>797-06 Shared Misc</t>
  </si>
  <si>
    <t>798-06 Overhead Ferry &amp; Parking</t>
  </si>
  <si>
    <t>753-06 Overhead Phone</t>
  </si>
  <si>
    <t>786-06 Technology</t>
  </si>
  <si>
    <t>560-06 Finance Manager</t>
  </si>
  <si>
    <t>pw21091101</t>
  </si>
  <si>
    <t>W21091101</t>
  </si>
  <si>
    <t>2021 Actual</t>
  </si>
  <si>
    <t>650-05 WH Legal</t>
  </si>
  <si>
    <t>490-05 · FinanceManager</t>
  </si>
  <si>
    <t>525-06 · Beautification</t>
  </si>
  <si>
    <t>405-01 · Movie Income</t>
  </si>
  <si>
    <t>431-01 · Merchandise Income</t>
  </si>
  <si>
    <t>795-01 · Wagon Rack Improvements</t>
  </si>
  <si>
    <t>551-03 FIB Electric</t>
  </si>
  <si>
    <t>595-02 · Roncalli Litigation</t>
  </si>
  <si>
    <t>2022 Budget</t>
  </si>
  <si>
    <t>PA21012601</t>
  </si>
  <si>
    <t>PA21012602</t>
  </si>
  <si>
    <t>PA22011001</t>
  </si>
  <si>
    <t>PA21050401</t>
  </si>
  <si>
    <t>PW21061001</t>
  </si>
  <si>
    <t>PW21061002</t>
  </si>
  <si>
    <t>PA21012604</t>
  </si>
  <si>
    <t>PA21012605</t>
  </si>
  <si>
    <t>W21061001</t>
  </si>
  <si>
    <t>A212011001</t>
  </si>
  <si>
    <t>W21031201</t>
  </si>
  <si>
    <t>2022
Check</t>
  </si>
  <si>
    <t>2022
Actual</t>
  </si>
  <si>
    <t>2022
Budget</t>
  </si>
  <si>
    <t>2022 FIB Parking</t>
  </si>
  <si>
    <t>Comp as per K. McCutcheon</t>
  </si>
  <si>
    <t>2020  Budget Sheet</t>
  </si>
  <si>
    <t># Enc</t>
  </si>
  <si>
    <t>Owner</t>
  </si>
  <si>
    <t>Business Name</t>
  </si>
  <si>
    <t>Previous sf from contracts</t>
  </si>
  <si>
    <t>$ per sq ft</t>
  </si>
  <si>
    <t>Previous Amount</t>
  </si>
  <si>
    <t>Less 17% Property Owner Discount</t>
  </si>
  <si>
    <t>Total Previous Invoice Amt</t>
  </si>
  <si>
    <t>New Measurements</t>
  </si>
  <si>
    <t>Total Sq Ft</t>
  </si>
  <si>
    <t>New Lease Amount</t>
  </si>
  <si>
    <t xml:space="preserve">Revised Amt Combined </t>
  </si>
  <si>
    <t>Difference Previoius Rent vs New Rent</t>
  </si>
  <si>
    <t>Status</t>
  </si>
  <si>
    <t>Enclsoure</t>
  </si>
  <si>
    <t>Walter Boss</t>
  </si>
  <si>
    <t>49' W x 54' D</t>
  </si>
  <si>
    <t>B</t>
  </si>
  <si>
    <t>Billy Santangelo</t>
  </si>
  <si>
    <t>Crellory Property Management</t>
  </si>
  <si>
    <t>40' W x 54' D</t>
  </si>
  <si>
    <t>John Morgan (formally Bill Katen)</t>
  </si>
  <si>
    <t>John Morgan Custom Builders</t>
  </si>
  <si>
    <t>-</t>
  </si>
  <si>
    <t>34" x 24"</t>
  </si>
  <si>
    <t>PJ McAteer</t>
  </si>
  <si>
    <t>Outpost Pines LLC</t>
  </si>
  <si>
    <t>12' W x 42' D</t>
  </si>
  <si>
    <t>Brendan Egan</t>
  </si>
  <si>
    <t>Arthur Nelsen Licensed Electricians, Inc</t>
  </si>
  <si>
    <t>ON HOLD</t>
  </si>
  <si>
    <t>Rich Coyne</t>
  </si>
  <si>
    <t>Rich Coyne Carpentry</t>
  </si>
  <si>
    <t>Mike Jaggi</t>
  </si>
  <si>
    <t>Flower Girls Garden Maintenance Inc.</t>
  </si>
  <si>
    <t>Enclosure</t>
  </si>
  <si>
    <t>Doug Teague (East)</t>
  </si>
  <si>
    <t>Teague Services, Inc.</t>
  </si>
  <si>
    <t>34' x 28' x 45' x 29'</t>
  </si>
  <si>
    <t>7&amp;8</t>
  </si>
  <si>
    <t>Doug Teague (West)</t>
  </si>
  <si>
    <t>32'x29'x22'x30'</t>
  </si>
  <si>
    <t>Jamie Blumenthal</t>
  </si>
  <si>
    <t>Perfect Pool</t>
  </si>
  <si>
    <t>29'x23'x16'27'</t>
  </si>
  <si>
    <t>Perfect Pool and Patio</t>
  </si>
  <si>
    <t>12' W x 29' D</t>
  </si>
  <si>
    <t>Jim Black</t>
  </si>
  <si>
    <t>Beachscapes, Inc.</t>
  </si>
  <si>
    <t>14' W x 28' D</t>
  </si>
  <si>
    <t>Self Shed</t>
  </si>
  <si>
    <t>Vinnie Pepe</t>
  </si>
  <si>
    <t>47' W x 30 D</t>
  </si>
  <si>
    <t>mailed 10/12</t>
  </si>
  <si>
    <t>Matt Rotolo</t>
  </si>
  <si>
    <t>Dependable Pool &amp; Spa Inc.</t>
  </si>
  <si>
    <t>46' W x 21' D</t>
  </si>
  <si>
    <t>Chrissy Fisher</t>
  </si>
  <si>
    <t>Painting by Christine Fisher</t>
  </si>
  <si>
    <t>24' W x 23' D</t>
  </si>
  <si>
    <t>Chris VonAchen</t>
  </si>
  <si>
    <t>CM Pools</t>
  </si>
  <si>
    <t>30' W x 38' D</t>
  </si>
  <si>
    <t>Land</t>
  </si>
  <si>
    <t>Eddie Isacson</t>
  </si>
  <si>
    <t>EJR Construction</t>
  </si>
  <si>
    <t>33' W x 10'</t>
  </si>
  <si>
    <t>Michael Stillway</t>
  </si>
  <si>
    <t>Stillwater Pool &amp; Spa</t>
  </si>
  <si>
    <t>24' W x 9' D</t>
  </si>
  <si>
    <t>TOTALS</t>
  </si>
  <si>
    <t>Designated Accounts</t>
  </si>
  <si>
    <t>396-07 · Unrestricted Donations</t>
  </si>
  <si>
    <t>397-07 · Solstice Fund</t>
  </si>
  <si>
    <t>410-07 · Seashore Defense Fund</t>
  </si>
  <si>
    <t>411-07 · SDFwMEMB</t>
  </si>
  <si>
    <t>410-07 · Seashore Defense Fund - Other</t>
  </si>
  <si>
    <t>Total 410-07 · Seashore Defense Fund</t>
  </si>
  <si>
    <t>421-07 · Lyme Prevention Donations</t>
  </si>
  <si>
    <t>422-07 · Mobility Cart Donations</t>
  </si>
  <si>
    <t>424-07 · AIDS Memorial Donations</t>
  </si>
  <si>
    <t>450-07 · Boulevard Tree Donations</t>
  </si>
  <si>
    <t>451-07 · Juneteenth Donations</t>
  </si>
  <si>
    <t>452-07 · Quality Of Life Donations</t>
  </si>
  <si>
    <t>500-07 · Lyme Prevention Expenses</t>
  </si>
  <si>
    <t>503-07 · Seashore Defense Fund Expenses</t>
  </si>
  <si>
    <t>520-07 · Mobility Cart Expenses</t>
  </si>
  <si>
    <t>524-07 · AIDS Memorial Expenses</t>
  </si>
  <si>
    <t>663-07 · Boulevard Tree Expenses</t>
  </si>
  <si>
    <t>664-07 · Solstice Fund Expenses</t>
  </si>
  <si>
    <t>665-07 · Juneteenth Expenses</t>
  </si>
  <si>
    <t>667-07 · Quality of Life Expenses</t>
  </si>
  <si>
    <t>2021
Actuals</t>
  </si>
  <si>
    <t>Donor Restricted Income</t>
  </si>
  <si>
    <t>Total Donor Restricted Income</t>
  </si>
  <si>
    <t>Donor Restricted Expenses</t>
  </si>
  <si>
    <t>Total Donor Restricted Expenses</t>
  </si>
  <si>
    <t>TRAILBLAISERS?</t>
  </si>
  <si>
    <t>Trailblaisers Expenses?</t>
  </si>
  <si>
    <t>Facilities Manager</t>
  </si>
  <si>
    <t>Boulevard Expenses</t>
  </si>
  <si>
    <t>JM</t>
  </si>
  <si>
    <t>Brownie</t>
  </si>
  <si>
    <t>Community Dumpsters</t>
  </si>
  <si>
    <t xml:space="preserve">Bob </t>
  </si>
  <si>
    <t>BLVD Maintenance Labor</t>
  </si>
  <si>
    <t>Boulevard Grading</t>
  </si>
  <si>
    <t>Membership Meeting</t>
  </si>
  <si>
    <t>Harbor Dock District Income</t>
  </si>
  <si>
    <t>Erosion Control District</t>
  </si>
  <si>
    <t>Erosion Control Expenses (Dune Fencing)</t>
  </si>
  <si>
    <t>Harbor District Expenditures Dredging</t>
  </si>
  <si>
    <t>Harbor District Expenditures Stanchions</t>
  </si>
  <si>
    <t>Behind PO License</t>
  </si>
  <si>
    <t>Boulevard Landscaping</t>
  </si>
  <si>
    <t>Harbor Late Fees</t>
  </si>
  <si>
    <t>Boulevard Late Fees</t>
  </si>
  <si>
    <t>Dumpster (Spoons) Income</t>
  </si>
  <si>
    <t>Future All Contractors</t>
  </si>
  <si>
    <t>Future (new)</t>
  </si>
  <si>
    <t>PCC Contribution</t>
  </si>
  <si>
    <t>Theater Consultant</t>
  </si>
  <si>
    <t>Office Support</t>
  </si>
  <si>
    <t>Key Fobs</t>
  </si>
  <si>
    <t>Minimum Rate Applies</t>
  </si>
  <si>
    <t>Ahern</t>
  </si>
  <si>
    <t>Dennis</t>
  </si>
  <si>
    <t>Easy Does It</t>
  </si>
  <si>
    <t>Tiara</t>
  </si>
  <si>
    <t>8'6"</t>
  </si>
  <si>
    <t>Persuit</t>
  </si>
  <si>
    <t>ryan@ryanespinosa.com</t>
  </si>
  <si>
    <t>Silverton</t>
  </si>
  <si>
    <t>Waiting list for inside slip</t>
  </si>
  <si>
    <t>Miss</t>
  </si>
  <si>
    <t>NY7699GP</t>
  </si>
  <si>
    <t>Second boat Discount</t>
  </si>
  <si>
    <t>Small boat Disount</t>
  </si>
  <si>
    <t>Takes the corrner that is un-usable otherwise</t>
  </si>
  <si>
    <t>Pea shooter</t>
  </si>
  <si>
    <t>Peter</t>
  </si>
  <si>
    <t>Stephan</t>
  </si>
  <si>
    <t>646-732-4554</t>
  </si>
  <si>
    <t>stefanpeter@forumformeditation.com</t>
  </si>
  <si>
    <t>Riva</t>
  </si>
  <si>
    <t>non owner</t>
  </si>
  <si>
    <t>owner</t>
  </si>
  <si>
    <t>Small Boat Discount</t>
  </si>
  <si>
    <t>schrader</t>
  </si>
  <si>
    <t>Lodato?</t>
  </si>
  <si>
    <t>Total:</t>
  </si>
  <si>
    <t>2022 Base Rates</t>
  </si>
  <si>
    <t>Transient</t>
  </si>
  <si>
    <t>Column1</t>
  </si>
  <si>
    <t>minimum</t>
  </si>
  <si>
    <t>4hrs</t>
  </si>
  <si>
    <t>all day</t>
  </si>
  <si>
    <t>Commercial Non owner</t>
  </si>
  <si>
    <t>30'/min</t>
  </si>
  <si>
    <t>10% disc for BoatUS</t>
  </si>
  <si>
    <t>2018-2021 Base Rates</t>
  </si>
  <si>
    <t>with elect</t>
  </si>
  <si>
    <t>without elec</t>
  </si>
  <si>
    <t>Non owner</t>
  </si>
  <si>
    <t>Rec</t>
  </si>
  <si>
    <t>2017 Base Rates</t>
  </si>
  <si>
    <t>665-07 · CoBE Juneteenth</t>
  </si>
  <si>
    <t>Total off-budget expenses</t>
  </si>
  <si>
    <t>KEM</t>
  </si>
  <si>
    <t>DJM</t>
  </si>
  <si>
    <t>Update Wagon Rack lighting</t>
  </si>
  <si>
    <t>Bulkhead repair</t>
  </si>
  <si>
    <t>Apparel for Harbor staff</t>
  </si>
  <si>
    <t>Apparel with rebranding</t>
  </si>
  <si>
    <t>Bi-weekly allocations</t>
  </si>
  <si>
    <t>Enter proposed salaries, etc.</t>
  </si>
  <si>
    <t>2022 Whyte Hall Rental Budget</t>
  </si>
  <si>
    <t>Daniel Nardiccio events</t>
  </si>
  <si>
    <t>Rosh Hashona</t>
  </si>
  <si>
    <t>511 Fisherman</t>
  </si>
  <si>
    <t>Net profit</t>
  </si>
  <si>
    <t>To PP Reserve/other donations</t>
  </si>
  <si>
    <t>Contractor parking prep – soft costs</t>
  </si>
  <si>
    <t>693-01 · Wagon Stickers &amp; Mailing</t>
  </si>
  <si>
    <t>704-01 · Membership Party (new members)</t>
  </si>
  <si>
    <t>424-02 · Harbor Inc. Transient</t>
  </si>
  <si>
    <t>Kitchen clean of $450; cleaning of $300</t>
  </si>
  <si>
    <t>Not happening in 2022</t>
  </si>
  <si>
    <t>VIP reception</t>
  </si>
  <si>
    <t>Dancer dinner</t>
  </si>
  <si>
    <t>BOFFO</t>
  </si>
  <si>
    <t>Office Support – seasonal help</t>
  </si>
  <si>
    <t>Office support (seasonal help intern)</t>
  </si>
  <si>
    <t>Snow removal – 2023</t>
  </si>
  <si>
    <t>703-01 · Membership Thank-You stancheon</t>
  </si>
  <si>
    <t>Branding finalization and roll-out</t>
  </si>
  <si>
    <t>695-03 Admin – Phone</t>
  </si>
  <si>
    <t>566-03 Admin – Ferry &amp; Parking</t>
  </si>
  <si>
    <t>2022 Actual</t>
  </si>
  <si>
    <t>2023 Budget</t>
  </si>
  <si>
    <t>2023 Actual</t>
  </si>
  <si>
    <t>2023
Budget</t>
  </si>
  <si>
    <t>410-02 · Finance Manager</t>
  </si>
  <si>
    <t>502-02 · Community Manager</t>
  </si>
  <si>
    <t>502-03 · Community Manager</t>
  </si>
  <si>
    <t>598-03 Existing Blvd License Renewal</t>
  </si>
  <si>
    <t>496-05 · Events Manager</t>
  </si>
  <si>
    <t>Payroll,Taxes, &amp; Ins</t>
  </si>
  <si>
    <t>Walk signs project</t>
  </si>
  <si>
    <t>Directors and officers</t>
  </si>
  <si>
    <t>Property</t>
  </si>
  <si>
    <t>General liability</t>
  </si>
  <si>
    <t>Excess liability</t>
  </si>
  <si>
    <t>Excess</t>
  </si>
  <si>
    <r>
      <t>788-06 ·</t>
    </r>
    <r>
      <rPr>
        <sz val="11"/>
        <rFont val="Calibri"/>
        <family val="2"/>
        <scheme val="minor"/>
      </rPr>
      <t xml:space="preserve"> Beach</t>
    </r>
    <r>
      <rPr>
        <sz val="11"/>
        <color rgb="FF323232"/>
        <rFont val="Calibri"/>
        <family val="2"/>
        <scheme val="minor"/>
      </rPr>
      <t xml:space="preserve"> Cleanups</t>
    </r>
  </si>
  <si>
    <r>
      <t>Expense</t>
    </r>
    <r>
      <rPr>
        <sz val="12"/>
        <color rgb="FF323232"/>
        <rFont val="Calibri"/>
        <family val="2"/>
        <scheme val="minor"/>
      </rPr>
      <t>s</t>
    </r>
  </si>
  <si>
    <t>Admin &amp; Membership  net income</t>
  </si>
  <si>
    <t>Employee retention credit</t>
  </si>
  <si>
    <t>ERC analysis</t>
  </si>
  <si>
    <t>Moving to TPF Admin</t>
  </si>
  <si>
    <t>2023
Actual</t>
  </si>
  <si>
    <t>2023 off-budget budget</t>
  </si>
  <si>
    <t>Harbor expenses</t>
  </si>
  <si>
    <t>Harbor equipment</t>
  </si>
  <si>
    <t>Sprinkler system</t>
  </si>
  <si>
    <t>Structure repairs</t>
  </si>
  <si>
    <t>Pavilion, east post repair</t>
  </si>
  <si>
    <t>Harbor capital improvements</t>
  </si>
  <si>
    <t>New pilings (5)</t>
  </si>
  <si>
    <t>East garbage pen</t>
  </si>
  <si>
    <t>FIP and Atlantic 12' walkway</t>
  </si>
  <si>
    <t>FIPPOA net</t>
  </si>
  <si>
    <t>Admin &amp; Membership</t>
  </si>
  <si>
    <t>Foundation net w/o Pines Party</t>
  </si>
  <si>
    <t>Foundation net w/ Pines Party</t>
  </si>
  <si>
    <t>Trailblazers Park operations</t>
  </si>
  <si>
    <t>CoBE Juneteenth</t>
  </si>
  <si>
    <t>WH admin capital improvements/expenses</t>
  </si>
  <si>
    <t>Office chairs x 3</t>
  </si>
  <si>
    <t>Solstice Room monitor</t>
  </si>
  <si>
    <t>Printer</t>
  </si>
  <si>
    <t>Mac laptop</t>
  </si>
  <si>
    <t>Desktop monitors x 2</t>
  </si>
  <si>
    <t>Total FIPPOA expenses</t>
  </si>
  <si>
    <t>Total TPF off-budget expenses</t>
  </si>
  <si>
    <t>East and west hook rebuilds; resurfacing of decks, lighting; listed as "harbor office" in KM's spreadsheet?</t>
  </si>
  <si>
    <t>White Hall capital improvements</t>
  </si>
  <si>
    <t>Siding removal and repair</t>
  </si>
  <si>
    <t>Windown – remainder of balance</t>
  </si>
  <si>
    <t>What is this?</t>
  </si>
  <si>
    <t>New theater HVAC system w/heat</t>
  </si>
  <si>
    <t xml:space="preserve"> New decking - PCC</t>
  </si>
  <si>
    <t>Key fob system</t>
  </si>
  <si>
    <t>Bathroom vanity</t>
  </si>
  <si>
    <t>Kitchen closets</t>
  </si>
  <si>
    <t>Landscape maintenance</t>
  </si>
  <si>
    <t>Overflow platform and walkway</t>
  </si>
  <si>
    <t>Garage for mobility carts and snow blowers</t>
  </si>
  <si>
    <t>Enclosure fencing replacements</t>
  </si>
  <si>
    <t>New enclosure – Eddie</t>
  </si>
  <si>
    <t>Commercial parking area</t>
  </si>
  <si>
    <t>Commercial parking area – fencing</t>
  </si>
  <si>
    <t>Task forces</t>
  </si>
  <si>
    <t>Impact of climate change</t>
  </si>
  <si>
    <t>Environmental standards</t>
  </si>
  <si>
    <t>Infrastructure and services</t>
  </si>
  <si>
    <t>Total task forces expenses</t>
  </si>
  <si>
    <t>From last year: walk sign lighting; surveys for corrals; sand fence; all deferred to 2023</t>
  </si>
  <si>
    <t>Administration and Membership</t>
  </si>
  <si>
    <t>Net before reserve contributioin</t>
  </si>
  <si>
    <t>Operating reserve contribution</t>
  </si>
  <si>
    <t>Net before reserve contributions</t>
  </si>
  <si>
    <t>WH capital reserve contribution</t>
  </si>
  <si>
    <t>X</t>
  </si>
  <si>
    <t>Harbor WiFi mesh system</t>
  </si>
  <si>
    <t>2023
budget</t>
  </si>
  <si>
    <r>
      <t xml:space="preserve">450-02 · Harbor </t>
    </r>
    <r>
      <rPr>
        <sz val="11"/>
        <color rgb="FFFF0000"/>
        <rFont val="Calibri (Body)"/>
      </rPr>
      <t>Locale</t>
    </r>
    <r>
      <rPr>
        <sz val="11"/>
        <color rgb="FF323232"/>
        <rFont val="Calibri"/>
        <family val="2"/>
        <scheme val="minor"/>
      </rPr>
      <t xml:space="preserve"> Rentals</t>
    </r>
  </si>
  <si>
    <t>WiFi mesh system</t>
  </si>
  <si>
    <t>570-02 · Harbor Supplies Equip.</t>
  </si>
  <si>
    <t>Foundation*</t>
  </si>
  <si>
    <t>2023
Check</t>
  </si>
  <si>
    <t>Done in 2022</t>
  </si>
  <si>
    <t>Roncalli litigation</t>
  </si>
  <si>
    <t>Finance Mgr</t>
  </si>
  <si>
    <t>Harbormaster</t>
  </si>
  <si>
    <t>Anticipated revenue from new commercial parking.</t>
  </si>
  <si>
    <t>2021 Actual:</t>
  </si>
  <si>
    <t>2022 Budget:</t>
  </si>
  <si>
    <t>2023 Budget:</t>
  </si>
  <si>
    <t>2022 Actual:</t>
  </si>
  <si>
    <t>TPF Admin</t>
  </si>
  <si>
    <t>GCN</t>
  </si>
  <si>
    <t>2023 Whyte Hall Rental Budget</t>
  </si>
  <si>
    <t>Happening in 2023?</t>
  </si>
  <si>
    <t>Community manager</t>
  </si>
  <si>
    <t>Finance manager</t>
  </si>
  <si>
    <t>Office administrator</t>
  </si>
  <si>
    <t>Facilities manager</t>
  </si>
  <si>
    <t>2023 payroll allocation – salaries</t>
  </si>
  <si>
    <t>Enter salaries, bonuses and percentages: all else is computed by formula.</t>
  </si>
  <si>
    <t>Facilities maanger</t>
  </si>
  <si>
    <t xml:space="preserve">Total: </t>
  </si>
  <si>
    <t>Snow blower maintenance and repair</t>
  </si>
  <si>
    <t xml:space="preserve">783-06 · Invasion </t>
  </si>
  <si>
    <t>Special events</t>
  </si>
  <si>
    <t>530-06 · Bank Charges</t>
  </si>
  <si>
    <r>
      <t xml:space="preserve">762-05 · WH Canopy </t>
    </r>
    <r>
      <rPr>
        <strike/>
        <sz val="11"/>
        <color rgb="FFFF0000"/>
        <rFont val="Calibri (Body)"/>
      </rPr>
      <t>Removal/Storage/Inst</t>
    </r>
  </si>
  <si>
    <r>
      <t>502-</t>
    </r>
    <r>
      <rPr>
        <sz val="11"/>
        <color rgb="FFFF0000"/>
        <rFont val="Calibri (Body)"/>
      </rPr>
      <t>05</t>
    </r>
    <r>
      <rPr>
        <sz val="11"/>
        <color rgb="FF323232"/>
        <rFont val="Calibri"/>
        <family val="2"/>
        <scheme val="minor"/>
      </rPr>
      <t xml:space="preserve"> · Flag Expense</t>
    </r>
  </si>
  <si>
    <r>
      <t xml:space="preserve">753-05 · WH </t>
    </r>
    <r>
      <rPr>
        <strike/>
        <sz val="11"/>
        <color rgb="FFFF0000"/>
        <rFont val="Calibri (Body)"/>
      </rPr>
      <t>Phone</t>
    </r>
    <r>
      <rPr>
        <sz val="11"/>
        <color rgb="FF323232"/>
        <rFont val="Calibri"/>
        <family val="2"/>
        <scheme val="minor"/>
      </rPr>
      <t xml:space="preserve"> Internet</t>
    </r>
  </si>
  <si>
    <t>Total Payroll, Taxes, and Ins</t>
  </si>
  <si>
    <t>Payroll, Taxes, and Ins</t>
  </si>
  <si>
    <r>
      <t xml:space="preserve">533-02 · Direct TV Expense </t>
    </r>
    <r>
      <rPr>
        <sz val="11"/>
        <color rgb="FFFF0000"/>
        <rFont val="Calibri (Body)"/>
      </rPr>
      <t>--&gt; Internet service</t>
    </r>
  </si>
  <si>
    <t>Total Payroll, Taxes &amp; Ins</t>
  </si>
  <si>
    <t>Year-end bonus pool</t>
  </si>
  <si>
    <r>
      <t xml:space="preserve">492-05 · </t>
    </r>
    <r>
      <rPr>
        <strike/>
        <sz val="11"/>
        <color rgb="FFFF0000"/>
        <rFont val="Calibri (Body)"/>
      </rPr>
      <t>Maintenance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 (Body)"/>
      </rPr>
      <t>Facilities</t>
    </r>
    <r>
      <rPr>
        <sz val="11"/>
        <color rgb="FFFF0000"/>
        <rFont val="Calibri"/>
        <family val="2"/>
        <scheme val="minor"/>
      </rPr>
      <t xml:space="preserve"> Manager</t>
    </r>
  </si>
  <si>
    <t xml:space="preserve">Increase 3% divided by 7days in July </t>
  </si>
  <si>
    <t>Admin/Membership expenses</t>
  </si>
  <si>
    <t>Wagon rack improvements</t>
  </si>
  <si>
    <t>The Pines Foundation</t>
  </si>
  <si>
    <t>Boardwalk clean-ups</t>
  </si>
  <si>
    <t>FIPPOA summary – budgeted</t>
  </si>
  <si>
    <t>Global Budget Summary</t>
  </si>
  <si>
    <t>System upgrades, IT platform migration</t>
  </si>
  <si>
    <t>Reserve contribution</t>
  </si>
  <si>
    <t>Net before Pines Party</t>
  </si>
  <si>
    <t>Pines Party revenue</t>
  </si>
  <si>
    <t>Pines Party expenses</t>
  </si>
  <si>
    <t>Stonewall donation</t>
  </si>
  <si>
    <t>Other donations</t>
  </si>
  <si>
    <t>Whyte Hall reserve contribution</t>
  </si>
  <si>
    <t>Total 2023 net</t>
  </si>
  <si>
    <t>Foundation net</t>
  </si>
  <si>
    <t>Deck storage cabinets</t>
  </si>
  <si>
    <t>Total FIPPOA off-budget</t>
  </si>
  <si>
    <t>Seventieth Anniversary (net of anticipated revenues)</t>
  </si>
  <si>
    <t>Sponsorship revenue</t>
  </si>
  <si>
    <t>Foundation summary – budgeted</t>
  </si>
  <si>
    <t>Total Payroll,Taxes &amp; Ins</t>
  </si>
  <si>
    <t>Plus 10% for 2023</t>
  </si>
  <si>
    <t>Variance</t>
  </si>
  <si>
    <t>Pines Party net</t>
  </si>
  <si>
    <t>Pines Party after donations</t>
  </si>
  <si>
    <t>Commercial Parking Revenue</t>
  </si>
  <si>
    <r>
      <t xml:space="preserve">432-01 · </t>
    </r>
    <r>
      <rPr>
        <sz val="11"/>
        <color rgb="FFFF0000"/>
        <rFont val="Calibri (Body)"/>
      </rPr>
      <t xml:space="preserve">Residential </t>
    </r>
    <r>
      <rPr>
        <sz val="11"/>
        <color rgb="FF323232"/>
        <rFont val="Calibri"/>
        <family val="2"/>
        <scheme val="minor"/>
      </rPr>
      <t>Parking Revenue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</si>
</sst>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#,##0;\(#,##0\)"/>
    <numFmt numFmtId="166" formatCode="&quot;$&quot;#,##0"/>
    <numFmt numFmtId="167" formatCode="_(* #,##0_);_(* \(#,##0\);_(* &quot;-&quot;??_);_(@_)"/>
    <numFmt numFmtId="168" formatCode="mm/dd/yy;@"/>
    <numFmt numFmtId="169" formatCode="0.0"/>
    <numFmt numFmtId="170" formatCode="&quot;$&quot;#,##0.00"/>
    <numFmt numFmtId="171" formatCode="#,##0;\-#,##0;* ??"/>
    <numFmt numFmtId="172" formatCode="#,##0;[Red]\-#,##0"/>
    <numFmt numFmtId="173" formatCode="m/d;@"/>
    <numFmt numFmtId="174" formatCode="_(&quot;$&quot;* #,##0_);_(&quot;$&quot;* \(#,##0\);_(&quot;$&quot;* &quot;-&quot;??_);_(@_)"/>
    <numFmt numFmtId="175" formatCode="[$-409]d\-mmm\-yy;@"/>
    <numFmt numFmtId="176" formatCode="m/d/yy;@"/>
    <numFmt numFmtId="177" formatCode="0.0%"/>
    <numFmt numFmtId="178" formatCode="_(* #,##0.0_);_(* \(#,##0.0\);_(* &quot;-&quot;??_);_(@_)"/>
  </numFmts>
  <fonts count="12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b/>
      <u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u/>
      <sz val="16"/>
      <name val="Arial"/>
      <family val="2"/>
    </font>
    <font>
      <sz val="10"/>
      <color theme="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0"/>
      <name val="Arial"/>
      <family val="2"/>
    </font>
    <font>
      <b/>
      <u/>
      <sz val="12"/>
      <color theme="0"/>
      <name val="Arial"/>
      <family val="2"/>
    </font>
    <font>
      <sz val="10"/>
      <color indexed="9"/>
      <name val="Arial"/>
      <family val="2"/>
    </font>
    <font>
      <b/>
      <u/>
      <sz val="18"/>
      <color theme="0"/>
      <name val="Arial"/>
      <family val="2"/>
    </font>
    <font>
      <b/>
      <u/>
      <sz val="10"/>
      <name val="Arial"/>
      <family val="2"/>
    </font>
    <font>
      <b/>
      <u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b/>
      <u/>
      <sz val="9"/>
      <color rgb="FF000000"/>
      <name val="Arial"/>
      <family val="2"/>
    </font>
    <font>
      <b/>
      <sz val="8"/>
      <color rgb="FFFF0000"/>
      <name val="Calibri"/>
      <family val="2"/>
      <scheme val="minor"/>
    </font>
    <font>
      <b/>
      <u/>
      <sz val="12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323232"/>
      <name val="Arial"/>
      <family val="2"/>
    </font>
    <font>
      <b/>
      <u/>
      <sz val="14"/>
      <color rgb="FF323232"/>
      <name val="Arial"/>
      <family val="2"/>
    </font>
    <font>
      <sz val="14"/>
      <color rgb="FF32323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u/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</font>
    <font>
      <sz val="11"/>
      <color rgb="FF002060"/>
      <name val="Calibri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1"/>
      <color rgb="FF323232"/>
      <name val="Arial"/>
      <family val="2"/>
    </font>
    <font>
      <b/>
      <sz val="14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</font>
    <font>
      <u/>
      <sz val="11"/>
      <color rgb="FFFF0000"/>
      <name val="Calibri"/>
      <family val="2"/>
    </font>
    <font>
      <sz val="7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0"/>
      <color rgb="FF000000"/>
      <name val="Times New Roman"/>
      <family val="1"/>
    </font>
    <font>
      <b/>
      <u/>
      <sz val="24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trike/>
      <sz val="11"/>
      <color theme="1"/>
      <name val="Calibri"/>
      <family val="2"/>
      <scheme val="minor"/>
    </font>
    <font>
      <sz val="14"/>
      <color rgb="FF323232"/>
      <name val="Calibri"/>
      <family val="2"/>
      <scheme val="minor"/>
    </font>
    <font>
      <b/>
      <sz val="14"/>
      <color rgb="FF323232"/>
      <name val="Calibri"/>
      <family val="2"/>
      <scheme val="minor"/>
    </font>
    <font>
      <b/>
      <sz val="16"/>
      <color rgb="FF323232"/>
      <name val="Calibri"/>
      <family val="2"/>
      <scheme val="minor"/>
    </font>
    <font>
      <sz val="11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rgb="FF323232"/>
      <name val="Calibri"/>
      <family val="2"/>
      <scheme val="minor"/>
    </font>
    <font>
      <b/>
      <u/>
      <sz val="14"/>
      <color rgb="FF323232"/>
      <name val="Calibri"/>
      <family val="2"/>
      <scheme val="minor"/>
    </font>
    <font>
      <b/>
      <u/>
      <sz val="11"/>
      <color rgb="FF323232"/>
      <name val="Calibri"/>
      <family val="2"/>
      <scheme val="minor"/>
    </font>
    <font>
      <b/>
      <u/>
      <sz val="12"/>
      <color rgb="FF323232"/>
      <name val="Calibri"/>
      <family val="2"/>
      <scheme val="minor"/>
    </font>
    <font>
      <b/>
      <sz val="12"/>
      <color rgb="FF323232"/>
      <name val="Calibri"/>
      <family val="2"/>
      <scheme val="minor"/>
    </font>
    <font>
      <sz val="12"/>
      <color rgb="FF32323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323232"/>
      <name val="Calibri"/>
      <family val="2"/>
      <scheme val="minor"/>
    </font>
    <font>
      <b/>
      <sz val="18"/>
      <color rgb="FF323232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trike/>
      <sz val="11"/>
      <color rgb="FF32323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 (Body)"/>
    </font>
    <font>
      <b/>
      <sz val="11"/>
      <color indexed="10"/>
      <name val="Calibri"/>
      <family val="2"/>
      <scheme val="minor"/>
    </font>
    <font>
      <strike/>
      <sz val="11"/>
      <color rgb="FFFF0000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C9E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3FB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65" fillId="0" borderId="0"/>
    <xf numFmtId="9" fontId="3" fillId="0" borderId="0" applyFont="0" applyFill="0" applyBorder="0" applyAlignment="0" applyProtection="0"/>
    <xf numFmtId="0" fontId="28" fillId="0" borderId="0"/>
    <xf numFmtId="0" fontId="93" fillId="0" borderId="0" applyNumberFormat="0" applyFill="0" applyBorder="0" applyAlignment="0" applyProtection="0">
      <alignment vertical="top"/>
      <protection locked="0"/>
    </xf>
  </cellStyleXfs>
  <cellXfs count="1228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14" xfId="0" applyBorder="1"/>
    <xf numFmtId="0" fontId="14" fillId="0" borderId="1" xfId="0" applyFont="1" applyBorder="1" applyAlignment="1">
      <alignment horizontal="center"/>
    </xf>
    <xf numFmtId="16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12" fillId="0" borderId="1" xfId="0" applyFont="1" applyBorder="1"/>
    <xf numFmtId="166" fontId="12" fillId="0" borderId="1" xfId="0" applyNumberFormat="1" applyFont="1" applyBorder="1"/>
    <xf numFmtId="1" fontId="0" fillId="0" borderId="0" xfId="0" applyNumberFormat="1"/>
    <xf numFmtId="0" fontId="0" fillId="0" borderId="18" xfId="0" applyBorder="1"/>
    <xf numFmtId="0" fontId="18" fillId="0" borderId="0" xfId="0" applyFont="1"/>
    <xf numFmtId="1" fontId="1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49" fontId="23" fillId="0" borderId="0" xfId="0" applyNumberFormat="1" applyFont="1" applyAlignment="1">
      <alignment horizontal="left"/>
    </xf>
    <xf numFmtId="0" fontId="10" fillId="0" borderId="0" xfId="0" applyFont="1"/>
    <xf numFmtId="0" fontId="14" fillId="0" borderId="0" xfId="0" applyFont="1" applyAlignment="1">
      <alignment horizontal="center"/>
    </xf>
    <xf numFmtId="0" fontId="0" fillId="7" borderId="0" xfId="0" applyFill="1"/>
    <xf numFmtId="0" fontId="0" fillId="0" borderId="17" xfId="0" applyBorder="1"/>
    <xf numFmtId="0" fontId="18" fillId="3" borderId="0" xfId="0" applyFont="1" applyFill="1"/>
    <xf numFmtId="166" fontId="0" fillId="0" borderId="0" xfId="0" applyNumberFormat="1"/>
    <xf numFmtId="6" fontId="0" fillId="0" borderId="0" xfId="0" applyNumberFormat="1"/>
    <xf numFmtId="4" fontId="0" fillId="0" borderId="0" xfId="0" applyNumberFormat="1"/>
    <xf numFmtId="0" fontId="34" fillId="0" borderId="0" xfId="0" applyFont="1"/>
    <xf numFmtId="4" fontId="36" fillId="0" borderId="0" xfId="0" applyNumberFormat="1" applyFont="1"/>
    <xf numFmtId="0" fontId="37" fillId="0" borderId="0" xfId="0" applyFont="1"/>
    <xf numFmtId="0" fontId="36" fillId="0" borderId="0" xfId="0" applyFont="1"/>
    <xf numFmtId="0" fontId="27" fillId="0" borderId="0" xfId="0" applyFont="1" applyAlignment="1">
      <alignment horizontal="center"/>
    </xf>
    <xf numFmtId="4" fontId="27" fillId="0" borderId="14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3" fontId="0" fillId="0" borderId="0" xfId="0" applyNumberFormat="1"/>
    <xf numFmtId="0" fontId="39" fillId="11" borderId="14" xfId="0" applyFont="1" applyFill="1" applyBorder="1"/>
    <xf numFmtId="0" fontId="28" fillId="0" borderId="14" xfId="0" applyFont="1" applyBorder="1"/>
    <xf numFmtId="4" fontId="35" fillId="0" borderId="0" xfId="0" applyNumberFormat="1" applyFont="1"/>
    <xf numFmtId="0" fontId="40" fillId="0" borderId="0" xfId="0" applyFont="1"/>
    <xf numFmtId="0" fontId="35" fillId="0" borderId="0" xfId="0" applyFont="1"/>
    <xf numFmtId="2" fontId="0" fillId="0" borderId="0" xfId="0" applyNumberFormat="1"/>
    <xf numFmtId="4" fontId="0" fillId="0" borderId="14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166" fontId="39" fillId="12" borderId="14" xfId="2" applyNumberFormat="1" applyFont="1" applyFill="1" applyBorder="1"/>
    <xf numFmtId="166" fontId="0" fillId="0" borderId="14" xfId="2" applyNumberFormat="1" applyFont="1" applyBorder="1"/>
    <xf numFmtId="166" fontId="35" fillId="0" borderId="0" xfId="0" applyNumberFormat="1" applyFont="1"/>
    <xf numFmtId="4" fontId="28" fillId="0" borderId="0" xfId="0" applyNumberFormat="1" applyFont="1" applyAlignment="1">
      <alignment horizontal="right"/>
    </xf>
    <xf numFmtId="0" fontId="39" fillId="12" borderId="14" xfId="0" applyFont="1" applyFill="1" applyBorder="1"/>
    <xf numFmtId="4" fontId="39" fillId="0" borderId="0" xfId="0" applyNumberFormat="1" applyFont="1"/>
    <xf numFmtId="170" fontId="0" fillId="0" borderId="14" xfId="0" applyNumberFormat="1" applyBorder="1"/>
    <xf numFmtId="170" fontId="39" fillId="0" borderId="14" xfId="0" applyNumberFormat="1" applyFont="1" applyBorder="1"/>
    <xf numFmtId="0" fontId="41" fillId="0" borderId="0" xfId="0" applyFont="1"/>
    <xf numFmtId="4" fontId="41" fillId="0" borderId="0" xfId="0" applyNumberFormat="1" applyFont="1"/>
    <xf numFmtId="4" fontId="41" fillId="0" borderId="14" xfId="0" applyNumberFormat="1" applyFont="1" applyBorder="1"/>
    <xf numFmtId="0" fontId="42" fillId="0" borderId="0" xfId="0" applyFont="1"/>
    <xf numFmtId="0" fontId="0" fillId="0" borderId="15" xfId="0" applyBorder="1"/>
    <xf numFmtId="0" fontId="0" fillId="9" borderId="0" xfId="0" applyFill="1"/>
    <xf numFmtId="170" fontId="0" fillId="0" borderId="0" xfId="0" applyNumberFormat="1"/>
    <xf numFmtId="0" fontId="0" fillId="14" borderId="0" xfId="0" applyFill="1"/>
    <xf numFmtId="0" fontId="31" fillId="0" borderId="0" xfId="0" applyFont="1"/>
    <xf numFmtId="166" fontId="31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3" borderId="1" xfId="0" applyFill="1" applyBorder="1"/>
    <xf numFmtId="3" fontId="0" fillId="14" borderId="0" xfId="0" applyNumberFormat="1" applyFill="1"/>
    <xf numFmtId="0" fontId="10" fillId="14" borderId="0" xfId="0" applyFont="1" applyFill="1"/>
    <xf numFmtId="0" fontId="14" fillId="3" borderId="1" xfId="0" applyFont="1" applyFill="1" applyBorder="1" applyAlignment="1">
      <alignment horizontal="center"/>
    </xf>
    <xf numFmtId="3" fontId="0" fillId="0" borderId="1" xfId="0" applyNumberFormat="1" applyBorder="1"/>
    <xf numFmtId="0" fontId="0" fillId="3" borderId="1" xfId="0" applyFill="1" applyBorder="1" applyAlignment="1">
      <alignment horizontal="right"/>
    </xf>
    <xf numFmtId="3" fontId="0" fillId="3" borderId="1" xfId="0" applyNumberFormat="1" applyFill="1" applyBorder="1"/>
    <xf numFmtId="3" fontId="0" fillId="7" borderId="1" xfId="0" applyNumberFormat="1" applyFill="1" applyBorder="1"/>
    <xf numFmtId="0" fontId="1" fillId="14" borderId="0" xfId="0" applyFont="1" applyFill="1"/>
    <xf numFmtId="3" fontId="12" fillId="0" borderId="1" xfId="0" applyNumberFormat="1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3" fontId="0" fillId="14" borderId="1" xfId="0" applyNumberFormat="1" applyFill="1" applyBorder="1"/>
    <xf numFmtId="0" fontId="8" fillId="0" borderId="1" xfId="0" applyFont="1" applyBorder="1"/>
    <xf numFmtId="166" fontId="8" fillId="0" borderId="1" xfId="0" applyNumberFormat="1" applyFont="1" applyBorder="1"/>
    <xf numFmtId="0" fontId="45" fillId="0" borderId="1" xfId="0" applyFont="1" applyBorder="1"/>
    <xf numFmtId="0" fontId="11" fillId="0" borderId="1" xfId="0" applyFont="1" applyBorder="1"/>
    <xf numFmtId="166" fontId="11" fillId="0" borderId="1" xfId="0" applyNumberFormat="1" applyFont="1" applyBorder="1"/>
    <xf numFmtId="0" fontId="0" fillId="0" borderId="19" xfId="0" applyBorder="1"/>
    <xf numFmtId="0" fontId="0" fillId="0" borderId="19" xfId="0" applyBorder="1" applyAlignment="1">
      <alignment wrapText="1"/>
    </xf>
    <xf numFmtId="0" fontId="8" fillId="0" borderId="18" xfId="0" applyFont="1" applyBorder="1"/>
    <xf numFmtId="0" fontId="8" fillId="0" borderId="19" xfId="0" applyFont="1" applyBorder="1"/>
    <xf numFmtId="0" fontId="45" fillId="0" borderId="19" xfId="0" applyFont="1" applyBorder="1"/>
    <xf numFmtId="0" fontId="1" fillId="0" borderId="2" xfId="0" applyFont="1" applyBorder="1"/>
    <xf numFmtId="0" fontId="1" fillId="0" borderId="21" xfId="0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11" fillId="0" borderId="18" xfId="0" applyFont="1" applyBorder="1"/>
    <xf numFmtId="0" fontId="12" fillId="0" borderId="20" xfId="0" applyFont="1" applyBorder="1"/>
    <xf numFmtId="166" fontId="12" fillId="0" borderId="2" xfId="0" applyNumberFormat="1" applyFont="1" applyBorder="1"/>
    <xf numFmtId="0" fontId="0" fillId="0" borderId="0" xfId="0" applyAlignment="1">
      <alignment horizontal="center"/>
    </xf>
    <xf numFmtId="0" fontId="18" fillId="3" borderId="1" xfId="0" applyFont="1" applyFill="1" applyBorder="1"/>
    <xf numFmtId="0" fontId="0" fillId="14" borderId="0" xfId="0" applyFill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0" fillId="3" borderId="0" xfId="0" applyNumberFormat="1" applyFill="1"/>
    <xf numFmtId="3" fontId="12" fillId="3" borderId="1" xfId="0" applyNumberFormat="1" applyFont="1" applyFill="1" applyBorder="1"/>
    <xf numFmtId="3" fontId="14" fillId="3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18" xfId="0" applyFill="1" applyBorder="1"/>
    <xf numFmtId="166" fontId="0" fillId="5" borderId="1" xfId="0" applyNumberFormat="1" applyFill="1" applyBorder="1"/>
    <xf numFmtId="0" fontId="0" fillId="5" borderId="1" xfId="0" applyFill="1" applyBorder="1"/>
    <xf numFmtId="0" fontId="0" fillId="5" borderId="19" xfId="0" applyFill="1" applyBorder="1" applyAlignment="1">
      <alignment wrapText="1"/>
    </xf>
    <xf numFmtId="0" fontId="0" fillId="5" borderId="19" xfId="0" applyFill="1" applyBorder="1"/>
    <xf numFmtId="1" fontId="18" fillId="3" borderId="0" xfId="0" applyNumberFormat="1" applyFont="1" applyFill="1"/>
    <xf numFmtId="0" fontId="18" fillId="17" borderId="0" xfId="0" applyFont="1" applyFill="1" applyAlignment="1">
      <alignment horizontal="center"/>
    </xf>
    <xf numFmtId="1" fontId="18" fillId="17" borderId="0" xfId="0" applyNumberFormat="1" applyFont="1" applyFill="1" applyAlignment="1">
      <alignment horizontal="center"/>
    </xf>
    <xf numFmtId="0" fontId="18" fillId="17" borderId="0" xfId="0" applyFont="1" applyFill="1"/>
    <xf numFmtId="1" fontId="18" fillId="17" borderId="0" xfId="0" applyNumberFormat="1" applyFont="1" applyFill="1"/>
    <xf numFmtId="0" fontId="18" fillId="18" borderId="0" xfId="0" applyFont="1" applyFill="1" applyAlignment="1">
      <alignment horizontal="center"/>
    </xf>
    <xf numFmtId="1" fontId="18" fillId="18" borderId="0" xfId="0" applyNumberFormat="1" applyFont="1" applyFill="1"/>
    <xf numFmtId="0" fontId="18" fillId="18" borderId="0" xfId="0" applyFont="1" applyFill="1"/>
    <xf numFmtId="3" fontId="18" fillId="18" borderId="0" xfId="2" applyNumberFormat="1" applyFont="1" applyFill="1"/>
    <xf numFmtId="0" fontId="0" fillId="15" borderId="0" xfId="0" applyFill="1"/>
    <xf numFmtId="2" fontId="0" fillId="15" borderId="0" xfId="0" applyNumberForma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19" borderId="0" xfId="0" applyFill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right"/>
    </xf>
    <xf numFmtId="1" fontId="0" fillId="15" borderId="0" xfId="0" applyNumberFormat="1" applyFill="1"/>
    <xf numFmtId="1" fontId="0" fillId="8" borderId="0" xfId="0" applyNumberFormat="1" applyFill="1" applyAlignment="1">
      <alignment horizontal="right"/>
    </xf>
    <xf numFmtId="1" fontId="0" fillId="19" borderId="0" xfId="0" applyNumberFormat="1" applyFill="1"/>
    <xf numFmtId="0" fontId="0" fillId="13" borderId="0" xfId="0" applyFill="1"/>
    <xf numFmtId="166" fontId="0" fillId="3" borderId="1" xfId="0" applyNumberFormat="1" applyFill="1" applyBorder="1"/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5" fillId="0" borderId="0" xfId="0" applyFont="1"/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13" xfId="0" applyBorder="1"/>
    <xf numFmtId="166" fontId="0" fillId="0" borderId="8" xfId="0" applyNumberFormat="1" applyBorder="1"/>
    <xf numFmtId="0" fontId="5" fillId="0" borderId="15" xfId="0" applyFont="1" applyBorder="1"/>
    <xf numFmtId="0" fontId="5" fillId="0" borderId="10" xfId="0" applyFont="1" applyBorder="1"/>
    <xf numFmtId="6" fontId="5" fillId="0" borderId="17" xfId="0" applyNumberFormat="1" applyFont="1" applyBorder="1"/>
    <xf numFmtId="0" fontId="0" fillId="13" borderId="18" xfId="0" applyFill="1" applyBorder="1"/>
    <xf numFmtId="166" fontId="0" fillId="13" borderId="1" xfId="0" applyNumberFormat="1" applyFill="1" applyBorder="1"/>
    <xf numFmtId="0" fontId="0" fillId="13" borderId="1" xfId="0" applyFill="1" applyBorder="1"/>
    <xf numFmtId="0" fontId="0" fillId="13" borderId="19" xfId="0" applyFill="1" applyBorder="1"/>
    <xf numFmtId="3" fontId="43" fillId="0" borderId="1" xfId="3" applyNumberFormat="1" applyBorder="1"/>
    <xf numFmtId="3" fontId="1" fillId="0" borderId="1" xfId="0" applyNumberFormat="1" applyFont="1" applyBorder="1"/>
    <xf numFmtId="0" fontId="0" fillId="14" borderId="1" xfId="0" applyFill="1" applyBorder="1"/>
    <xf numFmtId="166" fontId="18" fillId="3" borderId="1" xfId="0" applyNumberFormat="1" applyFont="1" applyFill="1" applyBorder="1"/>
    <xf numFmtId="166" fontId="18" fillId="3" borderId="0" xfId="0" applyNumberFormat="1" applyFont="1" applyFill="1"/>
    <xf numFmtId="16" fontId="14" fillId="0" borderId="1" xfId="0" applyNumberFormat="1" applyFont="1" applyBorder="1" applyAlignment="1">
      <alignment horizontal="center"/>
    </xf>
    <xf numFmtId="16" fontId="0" fillId="3" borderId="1" xfId="0" applyNumberFormat="1" applyFill="1" applyBorder="1"/>
    <xf numFmtId="166" fontId="26" fillId="3" borderId="1" xfId="0" applyNumberFormat="1" applyFont="1" applyFill="1" applyBorder="1"/>
    <xf numFmtId="0" fontId="58" fillId="3" borderId="1" xfId="0" applyFont="1" applyFill="1" applyBorder="1" applyAlignment="1">
      <alignment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166" fontId="0" fillId="0" borderId="0" xfId="0" applyNumberFormat="1" applyAlignment="1">
      <alignment horizontal="center"/>
    </xf>
    <xf numFmtId="0" fontId="52" fillId="0" borderId="0" xfId="0" applyFont="1"/>
    <xf numFmtId="166" fontId="52" fillId="0" borderId="0" xfId="0" applyNumberFormat="1" applyFont="1"/>
    <xf numFmtId="166" fontId="52" fillId="0" borderId="0" xfId="0" applyNumberFormat="1" applyFont="1" applyAlignment="1">
      <alignment horizontal="center"/>
    </xf>
    <xf numFmtId="1" fontId="52" fillId="0" borderId="0" xfId="0" applyNumberFormat="1" applyFont="1"/>
    <xf numFmtId="166" fontId="18" fillId="0" borderId="0" xfId="0" applyNumberFormat="1" applyFont="1" applyAlignment="1">
      <alignment horizontal="center"/>
    </xf>
    <xf numFmtId="166" fontId="18" fillId="0" borderId="0" xfId="0" applyNumberFormat="1" applyFont="1"/>
    <xf numFmtId="166" fontId="18" fillId="20" borderId="0" xfId="0" applyNumberFormat="1" applyFont="1" applyFill="1"/>
    <xf numFmtId="166" fontId="31" fillId="0" borderId="0" xfId="0" applyNumberFormat="1" applyFont="1" applyAlignment="1">
      <alignment horizontal="center"/>
    </xf>
    <xf numFmtId="3" fontId="14" fillId="3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52" fillId="0" borderId="1" xfId="0" applyNumberFormat="1" applyFont="1" applyBorder="1"/>
    <xf numFmtId="3" fontId="52" fillId="3" borderId="1" xfId="0" applyNumberFormat="1" applyFont="1" applyFill="1" applyBorder="1"/>
    <xf numFmtId="3" fontId="52" fillId="0" borderId="1" xfId="0" applyNumberFormat="1" applyFont="1" applyBorder="1" applyAlignment="1">
      <alignment horizontal="center"/>
    </xf>
    <xf numFmtId="3" fontId="18" fillId="3" borderId="1" xfId="0" applyNumberFormat="1" applyFont="1" applyFill="1" applyBorder="1"/>
    <xf numFmtId="3" fontId="18" fillId="3" borderId="1" xfId="0" applyNumberFormat="1" applyFont="1" applyFill="1" applyBorder="1" applyAlignment="1">
      <alignment horizontal="center"/>
    </xf>
    <xf numFmtId="0" fontId="43" fillId="3" borderId="0" xfId="3" applyFill="1"/>
    <xf numFmtId="3" fontId="18" fillId="0" borderId="1" xfId="0" applyNumberFormat="1" applyFont="1" applyBorder="1"/>
    <xf numFmtId="3" fontId="18" fillId="0" borderId="1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0" fillId="7" borderId="18" xfId="0" applyFill="1" applyBorder="1"/>
    <xf numFmtId="166" fontId="0" fillId="7" borderId="1" xfId="0" applyNumberFormat="1" applyFill="1" applyBorder="1"/>
    <xf numFmtId="0" fontId="0" fillId="7" borderId="1" xfId="0" applyFill="1" applyBorder="1"/>
    <xf numFmtId="0" fontId="0" fillId="7" borderId="19" xfId="0" applyFill="1" applyBorder="1"/>
    <xf numFmtId="0" fontId="0" fillId="7" borderId="19" xfId="0" applyFill="1" applyBorder="1" applyAlignment="1">
      <alignment wrapText="1"/>
    </xf>
    <xf numFmtId="0" fontId="18" fillId="7" borderId="18" xfId="0" applyFont="1" applyFill="1" applyBorder="1"/>
    <xf numFmtId="166" fontId="18" fillId="7" borderId="1" xfId="0" applyNumberFormat="1" applyFont="1" applyFill="1" applyBorder="1"/>
    <xf numFmtId="0" fontId="18" fillId="7" borderId="1" xfId="0" applyFont="1" applyFill="1" applyBorder="1"/>
    <xf numFmtId="0" fontId="18" fillId="7" borderId="19" xfId="0" applyFont="1" applyFill="1" applyBorder="1"/>
    <xf numFmtId="166" fontId="26" fillId="0" borderId="0" xfId="0" applyNumberFormat="1" applyFont="1"/>
    <xf numFmtId="0" fontId="0" fillId="0" borderId="16" xfId="0" applyBorder="1"/>
    <xf numFmtId="6" fontId="5" fillId="0" borderId="16" xfId="0" applyNumberFormat="1" applyFont="1" applyBorder="1"/>
    <xf numFmtId="0" fontId="59" fillId="0" borderId="0" xfId="0" applyFont="1"/>
    <xf numFmtId="166" fontId="6" fillId="0" borderId="0" xfId="0" applyNumberFormat="1" applyFont="1"/>
    <xf numFmtId="6" fontId="59" fillId="0" borderId="0" xfId="0" applyNumberFormat="1" applyFont="1"/>
    <xf numFmtId="0" fontId="5" fillId="0" borderId="11" xfId="0" applyFont="1" applyBorder="1"/>
    <xf numFmtId="0" fontId="0" fillId="0" borderId="0" xfId="0" applyAlignment="1">
      <alignment horizontal="center" wrapText="1"/>
    </xf>
    <xf numFmtId="6" fontId="0" fillId="0" borderId="0" xfId="0" applyNumberFormat="1" applyAlignment="1">
      <alignment horizontal="center"/>
    </xf>
    <xf numFmtId="6" fontId="0" fillId="0" borderId="14" xfId="0" applyNumberFormat="1" applyBorder="1" applyAlignment="1">
      <alignment horizontal="right"/>
    </xf>
    <xf numFmtId="6" fontId="0" fillId="0" borderId="16" xfId="0" applyNumberFormat="1" applyBorder="1"/>
    <xf numFmtId="6" fontId="0" fillId="0" borderId="17" xfId="0" applyNumberFormat="1" applyBorder="1" applyAlignment="1">
      <alignment horizontal="right"/>
    </xf>
    <xf numFmtId="38" fontId="0" fillId="0" borderId="0" xfId="0" applyNumberFormat="1"/>
    <xf numFmtId="0" fontId="14" fillId="0" borderId="14" xfId="0" applyFont="1" applyBorder="1" applyAlignment="1">
      <alignment horizontal="center" wrapText="1"/>
    </xf>
    <xf numFmtId="38" fontId="0" fillId="0" borderId="14" xfId="0" applyNumberFormat="1" applyBorder="1"/>
    <xf numFmtId="166" fontId="0" fillId="0" borderId="16" xfId="0" applyNumberFormat="1" applyBorder="1"/>
    <xf numFmtId="0" fontId="0" fillId="0" borderId="16" xfId="0" applyBorder="1" applyAlignment="1">
      <alignment horizontal="right"/>
    </xf>
    <xf numFmtId="0" fontId="14" fillId="0" borderId="13" xfId="0" applyFont="1" applyBorder="1" applyAlignment="1">
      <alignment horizontal="center" wrapText="1"/>
    </xf>
    <xf numFmtId="166" fontId="5" fillId="0" borderId="0" xfId="0" applyNumberFormat="1" applyFont="1"/>
    <xf numFmtId="0" fontId="6" fillId="0" borderId="14" xfId="0" applyFont="1" applyBorder="1"/>
    <xf numFmtId="166" fontId="5" fillId="0" borderId="16" xfId="0" applyNumberFormat="1" applyFont="1" applyBorder="1"/>
    <xf numFmtId="6" fontId="59" fillId="0" borderId="16" xfId="0" applyNumberFormat="1" applyFont="1" applyBorder="1"/>
    <xf numFmtId="6" fontId="59" fillId="0" borderId="17" xfId="0" applyNumberFormat="1" applyFont="1" applyBorder="1"/>
    <xf numFmtId="0" fontId="5" fillId="0" borderId="12" xfId="0" applyFont="1" applyBorder="1"/>
    <xf numFmtId="166" fontId="0" fillId="0" borderId="14" xfId="0" applyNumberFormat="1" applyBorder="1"/>
    <xf numFmtId="166" fontId="0" fillId="0" borderId="38" xfId="0" applyNumberFormat="1" applyBorder="1"/>
    <xf numFmtId="166" fontId="0" fillId="0" borderId="17" xfId="0" applyNumberFormat="1" applyBorder="1"/>
    <xf numFmtId="0" fontId="27" fillId="9" borderId="1" xfId="0" applyFont="1" applyFill="1" applyBorder="1" applyAlignment="1" applyProtection="1">
      <alignment horizontal="center"/>
      <protection locked="0"/>
    </xf>
    <xf numFmtId="168" fontId="27" fillId="9" borderId="1" xfId="0" applyNumberFormat="1" applyFont="1" applyFill="1" applyBorder="1" applyAlignment="1" applyProtection="1">
      <alignment horizontal="center"/>
      <protection locked="0"/>
    </xf>
    <xf numFmtId="169" fontId="27" fillId="9" borderId="1" xfId="0" applyNumberFormat="1" applyFont="1" applyFill="1" applyBorder="1" applyAlignment="1" applyProtection="1">
      <alignment horizontal="center"/>
      <protection locked="0"/>
    </xf>
    <xf numFmtId="1" fontId="27" fillId="9" borderId="1" xfId="0" applyNumberFormat="1" applyFont="1" applyFill="1" applyBorder="1" applyAlignment="1">
      <alignment horizontal="center"/>
    </xf>
    <xf numFmtId="166" fontId="27" fillId="9" borderId="1" xfId="0" applyNumberFormat="1" applyFont="1" applyFill="1" applyBorder="1" applyAlignment="1">
      <alignment horizontal="center"/>
    </xf>
    <xf numFmtId="168" fontId="27" fillId="9" borderId="1" xfId="0" applyNumberFormat="1" applyFont="1" applyFill="1" applyBorder="1" applyAlignment="1">
      <alignment horizontal="center"/>
    </xf>
    <xf numFmtId="166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8" fillId="0" borderId="1" xfId="0" applyFont="1" applyBorder="1" applyProtection="1">
      <protection locked="0"/>
    </xf>
    <xf numFmtId="168" fontId="0" fillId="0" borderId="1" xfId="0" applyNumberFormat="1" applyBorder="1" applyAlignment="1" applyProtection="1">
      <alignment horizontal="left"/>
      <protection locked="0"/>
    </xf>
    <xf numFmtId="168" fontId="0" fillId="0" borderId="1" xfId="0" applyNumberFormat="1" applyBorder="1" applyAlignment="1" applyProtection="1">
      <alignment horizontal="center"/>
      <protection locked="0"/>
    </xf>
    <xf numFmtId="169" fontId="0" fillId="0" borderId="1" xfId="0" applyNumberFormat="1" applyBorder="1" applyProtection="1">
      <protection locked="0"/>
    </xf>
    <xf numFmtId="1" fontId="0" fillId="0" borderId="1" xfId="0" applyNumberFormat="1" applyBorder="1"/>
    <xf numFmtId="0" fontId="0" fillId="10" borderId="1" xfId="0" applyFill="1" applyBorder="1" applyProtection="1">
      <protection locked="0"/>
    </xf>
    <xf numFmtId="168" fontId="0" fillId="10" borderId="1" xfId="0" applyNumberFormat="1" applyFill="1" applyBorder="1" applyAlignment="1" applyProtection="1">
      <alignment horizontal="left"/>
      <protection locked="0"/>
    </xf>
    <xf numFmtId="168" fontId="0" fillId="10" borderId="1" xfId="0" applyNumberFormat="1" applyFill="1" applyBorder="1" applyAlignment="1" applyProtection="1">
      <alignment horizontal="center"/>
      <protection locked="0"/>
    </xf>
    <xf numFmtId="169" fontId="0" fillId="10" borderId="1" xfId="0" applyNumberFormat="1" applyFill="1" applyBorder="1" applyProtection="1">
      <protection locked="0"/>
    </xf>
    <xf numFmtId="1" fontId="28" fillId="10" borderId="1" xfId="0" applyNumberFormat="1" applyFont="1" applyFill="1" applyBorder="1"/>
    <xf numFmtId="166" fontId="28" fillId="10" borderId="1" xfId="0" applyNumberFormat="1" applyFont="1" applyFill="1" applyBorder="1"/>
    <xf numFmtId="166" fontId="0" fillId="10" borderId="1" xfId="0" applyNumberFormat="1" applyFill="1" applyBorder="1"/>
    <xf numFmtId="168" fontId="28" fillId="10" borderId="1" xfId="0" applyNumberFormat="1" applyFont="1" applyFill="1" applyBorder="1" applyAlignment="1" applyProtection="1">
      <alignment horizontal="left"/>
      <protection locked="0"/>
    </xf>
    <xf numFmtId="1" fontId="0" fillId="10" borderId="1" xfId="0" applyNumberFormat="1" applyFill="1" applyBorder="1"/>
    <xf numFmtId="166" fontId="29" fillId="10" borderId="1" xfId="0" applyNumberFormat="1" applyFont="1" applyFill="1" applyBorder="1" applyAlignment="1">
      <alignment horizontal="right"/>
    </xf>
    <xf numFmtId="0" fontId="28" fillId="10" borderId="1" xfId="0" applyFont="1" applyFill="1" applyBorder="1" applyProtection="1">
      <protection locked="0"/>
    </xf>
    <xf numFmtId="168" fontId="28" fillId="10" borderId="1" xfId="0" applyNumberFormat="1" applyFont="1" applyFill="1" applyBorder="1" applyAlignment="1" applyProtection="1">
      <alignment horizontal="center"/>
      <protection locked="0"/>
    </xf>
    <xf numFmtId="169" fontId="28" fillId="10" borderId="1" xfId="0" applyNumberFormat="1" applyFont="1" applyFill="1" applyBorder="1" applyProtection="1">
      <protection locked="0"/>
    </xf>
    <xf numFmtId="0" fontId="19" fillId="3" borderId="1" xfId="0" applyFont="1" applyFill="1" applyBorder="1" applyProtection="1">
      <protection locked="0"/>
    </xf>
    <xf numFmtId="168" fontId="19" fillId="3" borderId="1" xfId="0" applyNumberFormat="1" applyFont="1" applyFill="1" applyBorder="1" applyAlignment="1" applyProtection="1">
      <alignment horizontal="left"/>
      <protection locked="0"/>
    </xf>
    <xf numFmtId="168" fontId="19" fillId="3" borderId="1" xfId="0" applyNumberFormat="1" applyFont="1" applyFill="1" applyBorder="1" applyAlignment="1" applyProtection="1">
      <alignment horizontal="center"/>
      <protection locked="0"/>
    </xf>
    <xf numFmtId="169" fontId="19" fillId="3" borderId="1" xfId="0" applyNumberFormat="1" applyFont="1" applyFill="1" applyBorder="1" applyProtection="1">
      <protection locked="0"/>
    </xf>
    <xf numFmtId="1" fontId="19" fillId="3" borderId="1" xfId="0" applyNumberFormat="1" applyFont="1" applyFill="1" applyBorder="1"/>
    <xf numFmtId="166" fontId="19" fillId="3" borderId="1" xfId="0" applyNumberFormat="1" applyFont="1" applyFill="1" applyBorder="1"/>
    <xf numFmtId="166" fontId="55" fillId="3" borderId="1" xfId="0" applyNumberFormat="1" applyFont="1" applyFill="1" applyBorder="1"/>
    <xf numFmtId="0" fontId="55" fillId="3" borderId="1" xfId="0" applyFont="1" applyFill="1" applyBorder="1"/>
    <xf numFmtId="0" fontId="11" fillId="3" borderId="0" xfId="0" applyFont="1" applyFill="1"/>
    <xf numFmtId="0" fontId="49" fillId="3" borderId="0" xfId="0" applyFont="1" applyFill="1"/>
    <xf numFmtId="0" fontId="12" fillId="3" borderId="1" xfId="0" applyFont="1" applyFill="1" applyBorder="1" applyProtection="1">
      <protection locked="0"/>
    </xf>
    <xf numFmtId="168" fontId="12" fillId="3" borderId="1" xfId="0" applyNumberFormat="1" applyFont="1" applyFill="1" applyBorder="1" applyAlignment="1" applyProtection="1">
      <alignment horizontal="left"/>
      <protection locked="0"/>
    </xf>
    <xf numFmtId="168" fontId="12" fillId="3" borderId="1" xfId="0" applyNumberFormat="1" applyFont="1" applyFill="1" applyBorder="1" applyAlignment="1" applyProtection="1">
      <alignment horizontal="center"/>
      <protection locked="0"/>
    </xf>
    <xf numFmtId="169" fontId="12" fillId="3" borderId="1" xfId="0" applyNumberFormat="1" applyFont="1" applyFill="1" applyBorder="1" applyProtection="1">
      <protection locked="0"/>
    </xf>
    <xf numFmtId="1" fontId="12" fillId="3" borderId="1" xfId="0" applyNumberFormat="1" applyFont="1" applyFill="1" applyBorder="1"/>
    <xf numFmtId="166" fontId="12" fillId="3" borderId="1" xfId="0" applyNumberFormat="1" applyFont="1" applyFill="1" applyBorder="1"/>
    <xf numFmtId="166" fontId="30" fillId="3" borderId="1" xfId="0" applyNumberFormat="1" applyFont="1" applyFill="1" applyBorder="1" applyAlignment="1">
      <alignment horizontal="right"/>
    </xf>
    <xf numFmtId="166" fontId="56" fillId="3" borderId="1" xfId="0" applyNumberFormat="1" applyFont="1" applyFill="1" applyBorder="1"/>
    <xf numFmtId="0" fontId="56" fillId="3" borderId="1" xfId="0" applyFont="1" applyFill="1" applyBorder="1"/>
    <xf numFmtId="0" fontId="12" fillId="3" borderId="0" xfId="0" applyFont="1" applyFill="1"/>
    <xf numFmtId="0" fontId="50" fillId="3" borderId="0" xfId="0" applyFont="1" applyFill="1"/>
    <xf numFmtId="0" fontId="13" fillId="3" borderId="1" xfId="0" applyFont="1" applyFill="1" applyBorder="1" applyProtection="1">
      <protection locked="0"/>
    </xf>
    <xf numFmtId="168" fontId="13" fillId="3" borderId="1" xfId="0" applyNumberFormat="1" applyFont="1" applyFill="1" applyBorder="1" applyAlignment="1" applyProtection="1">
      <alignment horizontal="left"/>
      <protection locked="0"/>
    </xf>
    <xf numFmtId="168" fontId="13" fillId="3" borderId="1" xfId="0" applyNumberFormat="1" applyFont="1" applyFill="1" applyBorder="1" applyAlignment="1" applyProtection="1">
      <alignment horizontal="center"/>
      <protection locked="0"/>
    </xf>
    <xf numFmtId="169" fontId="13" fillId="3" borderId="1" xfId="0" applyNumberFormat="1" applyFont="1" applyFill="1" applyBorder="1" applyProtection="1">
      <protection locked="0"/>
    </xf>
    <xf numFmtId="1" fontId="13" fillId="3" borderId="1" xfId="0" applyNumberFormat="1" applyFont="1" applyFill="1" applyBorder="1"/>
    <xf numFmtId="166" fontId="13" fillId="3" borderId="1" xfId="0" applyNumberFormat="1" applyFont="1" applyFill="1" applyBorder="1"/>
    <xf numFmtId="166" fontId="57" fillId="3" borderId="1" xfId="0" applyNumberFormat="1" applyFont="1" applyFill="1" applyBorder="1"/>
    <xf numFmtId="0" fontId="57" fillId="3" borderId="1" xfId="0" applyFont="1" applyFill="1" applyBorder="1"/>
    <xf numFmtId="0" fontId="13" fillId="3" borderId="0" xfId="0" applyFont="1" applyFill="1"/>
    <xf numFmtId="0" fontId="54" fillId="3" borderId="0" xfId="0" applyFont="1" applyFill="1"/>
    <xf numFmtId="169" fontId="28" fillId="10" borderId="1" xfId="0" applyNumberFormat="1" applyFont="1" applyFill="1" applyBorder="1" applyAlignment="1">
      <alignment horizontal="center"/>
    </xf>
    <xf numFmtId="166" fontId="18" fillId="10" borderId="1" xfId="0" applyNumberFormat="1" applyFont="1" applyFill="1" applyBorder="1"/>
    <xf numFmtId="166" fontId="0" fillId="3" borderId="0" xfId="0" applyNumberFormat="1" applyFill="1"/>
    <xf numFmtId="1" fontId="20" fillId="3" borderId="1" xfId="0" applyNumberFormat="1" applyFont="1" applyFill="1" applyBorder="1"/>
    <xf numFmtId="166" fontId="20" fillId="3" borderId="1" xfId="0" applyNumberFormat="1" applyFont="1" applyFill="1" applyBorder="1"/>
    <xf numFmtId="169" fontId="20" fillId="3" borderId="1" xfId="0" applyNumberFormat="1" applyFont="1" applyFill="1" applyBorder="1" applyAlignment="1">
      <alignment horizontal="center"/>
    </xf>
    <xf numFmtId="166" fontId="18" fillId="10" borderId="1" xfId="0" applyNumberFormat="1" applyFont="1" applyFill="1" applyBorder="1" applyProtection="1">
      <protection locked="0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2" fillId="3" borderId="1" xfId="0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6" fontId="13" fillId="0" borderId="1" xfId="0" applyNumberFormat="1" applyFont="1" applyBorder="1"/>
    <xf numFmtId="0" fontId="57" fillId="3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0" fontId="14" fillId="3" borderId="0" xfId="0" applyFont="1" applyFill="1" applyAlignment="1">
      <alignment horizontal="center" wrapText="1"/>
    </xf>
    <xf numFmtId="166" fontId="18" fillId="13" borderId="33" xfId="0" applyNumberFormat="1" applyFont="1" applyFill="1" applyBorder="1"/>
    <xf numFmtId="166" fontId="12" fillId="3" borderId="0" xfId="0" applyNumberFormat="1" applyFont="1" applyFill="1"/>
    <xf numFmtId="166" fontId="28" fillId="3" borderId="33" xfId="0" applyNumberFormat="1" applyFont="1" applyFill="1" applyBorder="1"/>
    <xf numFmtId="166" fontId="13" fillId="3" borderId="0" xfId="0" applyNumberFormat="1" applyFont="1" applyFill="1"/>
    <xf numFmtId="168" fontId="0" fillId="0" borderId="1" xfId="0" applyNumberFormat="1" applyBorder="1" applyAlignment="1">
      <alignment horizontal="center"/>
    </xf>
    <xf numFmtId="168" fontId="0" fillId="10" borderId="1" xfId="0" applyNumberFormat="1" applyFill="1" applyBorder="1" applyAlignment="1">
      <alignment horizontal="center"/>
    </xf>
    <xf numFmtId="169" fontId="19" fillId="3" borderId="1" xfId="0" applyNumberFormat="1" applyFont="1" applyFill="1" applyBorder="1" applyAlignment="1">
      <alignment horizontal="center"/>
    </xf>
    <xf numFmtId="168" fontId="12" fillId="3" borderId="1" xfId="0" applyNumberFormat="1" applyFont="1" applyFill="1" applyBorder="1" applyAlignment="1">
      <alignment horizontal="center"/>
    </xf>
    <xf numFmtId="168" fontId="13" fillId="3" borderId="1" xfId="0" applyNumberFormat="1" applyFont="1" applyFill="1" applyBorder="1" applyAlignment="1">
      <alignment horizontal="center"/>
    </xf>
    <xf numFmtId="168" fontId="18" fillId="10" borderId="1" xfId="0" applyNumberFormat="1" applyFont="1" applyFill="1" applyBorder="1" applyAlignment="1" applyProtection="1">
      <alignment horizontal="center"/>
      <protection locked="0"/>
    </xf>
    <xf numFmtId="0" fontId="18" fillId="10" borderId="1" xfId="0" applyFont="1" applyFill="1" applyBorder="1" applyProtection="1">
      <protection locked="0"/>
    </xf>
    <xf numFmtId="49" fontId="64" fillId="3" borderId="1" xfId="0" applyNumberFormat="1" applyFont="1" applyFill="1" applyBorder="1" applyAlignment="1">
      <alignment horizontal="center" vertical="center"/>
    </xf>
    <xf numFmtId="49" fontId="64" fillId="0" borderId="1" xfId="0" applyNumberFormat="1" applyFont="1" applyBorder="1" applyAlignment="1">
      <alignment horizontal="center" vertical="center"/>
    </xf>
    <xf numFmtId="173" fontId="0" fillId="0" borderId="13" xfId="0" applyNumberFormat="1" applyBorder="1"/>
    <xf numFmtId="173" fontId="27" fillId="0" borderId="13" xfId="0" applyNumberFormat="1" applyFont="1" applyBorder="1" applyAlignment="1">
      <alignment horizontal="center"/>
    </xf>
    <xf numFmtId="173" fontId="28" fillId="0" borderId="13" xfId="0" applyNumberFormat="1" applyFont="1" applyBorder="1"/>
    <xf numFmtId="173" fontId="0" fillId="0" borderId="15" xfId="0" applyNumberFormat="1" applyBorder="1"/>
    <xf numFmtId="173" fontId="0" fillId="0" borderId="0" xfId="0" applyNumberFormat="1"/>
    <xf numFmtId="173" fontId="28" fillId="0" borderId="13" xfId="0" applyNumberFormat="1" applyFont="1" applyBorder="1" applyAlignment="1">
      <alignment horizontal="right"/>
    </xf>
    <xf numFmtId="173" fontId="41" fillId="0" borderId="13" xfId="0" applyNumberFormat="1" applyFont="1" applyBorder="1"/>
    <xf numFmtId="173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3" fontId="0" fillId="0" borderId="16" xfId="0" applyNumberFormat="1" applyBorder="1"/>
    <xf numFmtId="3" fontId="28" fillId="0" borderId="0" xfId="0" applyNumberFormat="1" applyFont="1" applyAlignment="1">
      <alignment horizontal="right"/>
    </xf>
    <xf numFmtId="3" fontId="41" fillId="0" borderId="0" xfId="0" applyNumberFormat="1" applyFont="1"/>
    <xf numFmtId="0" fontId="39" fillId="3" borderId="14" xfId="0" applyFont="1" applyFill="1" applyBorder="1"/>
    <xf numFmtId="3" fontId="0" fillId="0" borderId="0" xfId="2" applyNumberFormat="1" applyFont="1" applyBorder="1"/>
    <xf numFmtId="0" fontId="0" fillId="5" borderId="0" xfId="0" applyFill="1" applyAlignment="1">
      <alignment horizontal="center"/>
    </xf>
    <xf numFmtId="0" fontId="0" fillId="10" borderId="33" xfId="0" applyFill="1" applyBorder="1" applyProtection="1">
      <protection locked="0"/>
    </xf>
    <xf numFmtId="168" fontId="0" fillId="10" borderId="33" xfId="0" applyNumberFormat="1" applyFill="1" applyBorder="1" applyAlignment="1" applyProtection="1">
      <alignment horizontal="center"/>
      <protection locked="0"/>
    </xf>
    <xf numFmtId="166" fontId="18" fillId="5" borderId="0" xfId="0" applyNumberFormat="1" applyFont="1" applyFill="1"/>
    <xf numFmtId="6" fontId="0" fillId="5" borderId="0" xfId="0" applyNumberFormat="1" applyFill="1"/>
    <xf numFmtId="0" fontId="0" fillId="4" borderId="1" xfId="0" applyFill="1" applyBorder="1" applyProtection="1">
      <protection locked="0"/>
    </xf>
    <xf numFmtId="0" fontId="28" fillId="4" borderId="1" xfId="0" applyFont="1" applyFill="1" applyBorder="1" applyProtection="1">
      <protection locked="0"/>
    </xf>
    <xf numFmtId="0" fontId="12" fillId="5" borderId="1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166" fontId="18" fillId="20" borderId="0" xfId="0" applyNumberFormat="1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18" fillId="0" borderId="1" xfId="0" applyNumberFormat="1" applyFont="1" applyBorder="1"/>
    <xf numFmtId="166" fontId="18" fillId="0" borderId="1" xfId="0" applyNumberFormat="1" applyFont="1" applyBorder="1" applyAlignment="1">
      <alignment horizontal="center"/>
    </xf>
    <xf numFmtId="1" fontId="1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1" fillId="0" borderId="1" xfId="0" applyFont="1" applyBorder="1"/>
    <xf numFmtId="166" fontId="31" fillId="0" borderId="1" xfId="0" applyNumberFormat="1" applyFont="1" applyBorder="1"/>
    <xf numFmtId="166" fontId="31" fillId="0" borderId="1" xfId="0" applyNumberFormat="1" applyFont="1" applyBorder="1" applyAlignment="1">
      <alignment horizontal="center"/>
    </xf>
    <xf numFmtId="3" fontId="0" fillId="3" borderId="1" xfId="0" applyNumberFormat="1" applyFill="1" applyBorder="1" applyAlignment="1">
      <alignment horizontal="center" wrapText="1"/>
    </xf>
    <xf numFmtId="3" fontId="18" fillId="14" borderId="0" xfId="0" applyNumberFormat="1" applyFont="1" applyFill="1"/>
    <xf numFmtId="3" fontId="18" fillId="0" borderId="1" xfId="0" applyNumberFormat="1" applyFont="1" applyBorder="1" applyAlignment="1">
      <alignment wrapText="1"/>
    </xf>
    <xf numFmtId="3" fontId="56" fillId="0" borderId="1" xfId="0" applyNumberFormat="1" applyFont="1" applyBorder="1"/>
    <xf numFmtId="3" fontId="18" fillId="14" borderId="1" xfId="0" applyNumberFormat="1" applyFont="1" applyFill="1" applyBorder="1"/>
    <xf numFmtId="3" fontId="18" fillId="0" borderId="0" xfId="0" applyNumberFormat="1" applyFont="1"/>
    <xf numFmtId="3" fontId="58" fillId="0" borderId="1" xfId="0" applyNumberFormat="1" applyFont="1" applyBorder="1" applyAlignment="1">
      <alignment horizontal="center"/>
    </xf>
    <xf numFmtId="3" fontId="66" fillId="0" borderId="1" xfId="0" applyNumberFormat="1" applyFont="1" applyBorder="1" applyAlignment="1">
      <alignment wrapText="1"/>
    </xf>
    <xf numFmtId="3" fontId="66" fillId="0" borderId="1" xfId="0" applyNumberFormat="1" applyFont="1" applyBorder="1"/>
    <xf numFmtId="3" fontId="67" fillId="0" borderId="1" xfId="3" applyNumberFormat="1" applyFont="1" applyBorder="1"/>
    <xf numFmtId="3" fontId="68" fillId="0" borderId="1" xfId="0" applyNumberFormat="1" applyFont="1" applyBorder="1"/>
    <xf numFmtId="3" fontId="58" fillId="0" borderId="5" xfId="0" applyNumberFormat="1" applyFont="1" applyBorder="1" applyAlignment="1">
      <alignment horizontal="center"/>
    </xf>
    <xf numFmtId="3" fontId="18" fillId="0" borderId="5" xfId="0" applyNumberFormat="1" applyFont="1" applyBorder="1"/>
    <xf numFmtId="3" fontId="67" fillId="0" borderId="5" xfId="3" applyNumberFormat="1" applyFont="1" applyBorder="1"/>
    <xf numFmtId="3" fontId="68" fillId="0" borderId="5" xfId="0" applyNumberFormat="1" applyFont="1" applyBorder="1"/>
    <xf numFmtId="3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/>
    <xf numFmtId="0" fontId="1" fillId="3" borderId="0" xfId="0" applyFont="1" applyFill="1"/>
    <xf numFmtId="49" fontId="70" fillId="3" borderId="1" xfId="0" applyNumberFormat="1" applyFont="1" applyFill="1" applyBorder="1"/>
    <xf numFmtId="49" fontId="70" fillId="3" borderId="1" xfId="0" applyNumberFormat="1" applyFont="1" applyFill="1" applyBorder="1" applyAlignment="1">
      <alignment horizontal="center"/>
    </xf>
    <xf numFmtId="49" fontId="71" fillId="3" borderId="1" xfId="0" applyNumberFormat="1" applyFont="1" applyFill="1" applyBorder="1" applyAlignment="1">
      <alignment horizontal="center"/>
    </xf>
    <xf numFmtId="172" fontId="72" fillId="3" borderId="1" xfId="0" applyNumberFormat="1" applyFont="1" applyFill="1" applyBorder="1"/>
    <xf numFmtId="0" fontId="45" fillId="0" borderId="0" xfId="0" applyFont="1"/>
    <xf numFmtId="0" fontId="0" fillId="0" borderId="22" xfId="0" applyBorder="1"/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74" fontId="14" fillId="0" borderId="19" xfId="0" applyNumberFormat="1" applyFont="1" applyBorder="1" applyAlignment="1">
      <alignment horizontal="center"/>
    </xf>
    <xf numFmtId="174" fontId="0" fillId="0" borderId="0" xfId="2" applyNumberFormat="1" applyFont="1" applyBorder="1"/>
    <xf numFmtId="174" fontId="14" fillId="0" borderId="19" xfId="2" applyNumberFormat="1" applyFont="1" applyBorder="1" applyAlignment="1">
      <alignment horizontal="center"/>
    </xf>
    <xf numFmtId="174" fontId="0" fillId="0" borderId="0" xfId="0" applyNumberFormat="1"/>
    <xf numFmtId="0" fontId="0" fillId="3" borderId="18" xfId="0" applyFill="1" applyBorder="1"/>
    <xf numFmtId="0" fontId="0" fillId="3" borderId="19" xfId="0" applyFill="1" applyBorder="1"/>
    <xf numFmtId="0" fontId="0" fillId="3" borderId="19" xfId="0" applyFill="1" applyBorder="1" applyAlignment="1">
      <alignment wrapText="1"/>
    </xf>
    <xf numFmtId="0" fontId="12" fillId="3" borderId="20" xfId="0" applyFont="1" applyFill="1" applyBorder="1"/>
    <xf numFmtId="166" fontId="12" fillId="3" borderId="2" xfId="0" applyNumberFormat="1" applyFont="1" applyFill="1" applyBorder="1"/>
    <xf numFmtId="0" fontId="1" fillId="3" borderId="2" xfId="0" applyFont="1" applyFill="1" applyBorder="1"/>
    <xf numFmtId="0" fontId="1" fillId="3" borderId="21" xfId="0" applyFont="1" applyFill="1" applyBorder="1"/>
    <xf numFmtId="0" fontId="81" fillId="0" borderId="0" xfId="0" applyFont="1"/>
    <xf numFmtId="49" fontId="70" fillId="3" borderId="18" xfId="0" applyNumberFormat="1" applyFont="1" applyFill="1" applyBorder="1" applyAlignment="1">
      <alignment horizontal="center"/>
    </xf>
    <xf numFmtId="49" fontId="70" fillId="3" borderId="18" xfId="0" applyNumberFormat="1" applyFont="1" applyFill="1" applyBorder="1"/>
    <xf numFmtId="49" fontId="70" fillId="3" borderId="2" xfId="0" applyNumberFormat="1" applyFont="1" applyFill="1" applyBorder="1"/>
    <xf numFmtId="0" fontId="84" fillId="0" borderId="0" xfId="0" applyFont="1"/>
    <xf numFmtId="49" fontId="2" fillId="0" borderId="0" xfId="0" applyNumberFormat="1" applyFont="1" applyAlignment="1">
      <alignment horizontal="left"/>
    </xf>
    <xf numFmtId="49" fontId="70" fillId="0" borderId="0" xfId="0" applyNumberFormat="1" applyFont="1"/>
    <xf numFmtId="49" fontId="71" fillId="0" borderId="0" xfId="0" applyNumberFormat="1" applyFont="1" applyAlignment="1">
      <alignment horizontal="center"/>
    </xf>
    <xf numFmtId="49" fontId="72" fillId="0" borderId="0" xfId="0" applyNumberFormat="1" applyFont="1"/>
    <xf numFmtId="0" fontId="43" fillId="3" borderId="1" xfId="3" applyFill="1" applyBorder="1"/>
    <xf numFmtId="3" fontId="0" fillId="14" borderId="28" xfId="0" applyNumberFormat="1" applyFill="1" applyBorder="1"/>
    <xf numFmtId="3" fontId="18" fillId="14" borderId="28" xfId="0" applyNumberFormat="1" applyFont="1" applyFill="1" applyBorder="1"/>
    <xf numFmtId="0" fontId="0" fillId="14" borderId="28" xfId="0" applyFill="1" applyBorder="1"/>
    <xf numFmtId="3" fontId="14" fillId="0" borderId="18" xfId="0" applyNumberFormat="1" applyFont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3" fontId="18" fillId="0" borderId="18" xfId="0" applyNumberFormat="1" applyFont="1" applyBorder="1" applyAlignment="1">
      <alignment horizontal="right"/>
    </xf>
    <xf numFmtId="0" fontId="0" fillId="3" borderId="19" xfId="0" applyFill="1" applyBorder="1" applyAlignment="1">
      <alignment horizontal="right"/>
    </xf>
    <xf numFmtId="3" fontId="18" fillId="0" borderId="18" xfId="0" applyNumberFormat="1" applyFont="1" applyBorder="1"/>
    <xf numFmtId="3" fontId="66" fillId="0" borderId="18" xfId="0" applyNumberFormat="1" applyFont="1" applyBorder="1"/>
    <xf numFmtId="3" fontId="18" fillId="3" borderId="18" xfId="0" applyNumberFormat="1" applyFont="1" applyFill="1" applyBorder="1"/>
    <xf numFmtId="3" fontId="12" fillId="0" borderId="20" xfId="0" applyNumberFormat="1" applyFont="1" applyBorder="1"/>
    <xf numFmtId="3" fontId="12" fillId="3" borderId="2" xfId="0" applyNumberFormat="1" applyFont="1" applyFill="1" applyBorder="1"/>
    <xf numFmtId="3" fontId="12" fillId="0" borderId="2" xfId="0" applyNumberFormat="1" applyFont="1" applyBorder="1"/>
    <xf numFmtId="3" fontId="56" fillId="0" borderId="2" xfId="0" applyNumberFormat="1" applyFont="1" applyBorder="1"/>
    <xf numFmtId="3" fontId="1" fillId="0" borderId="2" xfId="0" applyNumberFormat="1" applyFont="1" applyBorder="1"/>
    <xf numFmtId="0" fontId="1" fillId="3" borderId="21" xfId="0" applyFont="1" applyFill="1" applyBorder="1" applyAlignment="1">
      <alignment horizontal="right"/>
    </xf>
    <xf numFmtId="3" fontId="18" fillId="13" borderId="1" xfId="0" applyNumberFormat="1" applyFont="1" applyFill="1" applyBorder="1"/>
    <xf numFmtId="3" fontId="18" fillId="1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66" fontId="18" fillId="20" borderId="0" xfId="0" applyNumberFormat="1" applyFont="1" applyFill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90" fillId="19" borderId="1" xfId="0" applyFont="1" applyFill="1" applyBorder="1" applyAlignment="1">
      <alignment horizontal="center" vertical="center" wrapText="1"/>
    </xf>
    <xf numFmtId="0" fontId="90" fillId="19" borderId="1" xfId="0" applyFont="1" applyFill="1" applyBorder="1" applyAlignment="1">
      <alignment horizontal="center" vertical="center"/>
    </xf>
    <xf numFmtId="3" fontId="5" fillId="19" borderId="1" xfId="0" applyNumberFormat="1" applyFont="1" applyFill="1" applyBorder="1" applyAlignment="1">
      <alignment horizontal="center" vertical="center" wrapText="1"/>
    </xf>
    <xf numFmtId="166" fontId="5" fillId="19" borderId="1" xfId="0" applyNumberFormat="1" applyFont="1" applyFill="1" applyBorder="1" applyAlignment="1">
      <alignment horizontal="center" vertical="center" wrapText="1"/>
    </xf>
    <xf numFmtId="166" fontId="90" fillId="19" borderId="1" xfId="0" applyNumberFormat="1" applyFont="1" applyFill="1" applyBorder="1" applyAlignment="1">
      <alignment horizontal="center" vertical="center" wrapText="1"/>
    </xf>
    <xf numFmtId="170" fontId="5" fillId="19" borderId="1" xfId="0" applyNumberFormat="1" applyFont="1" applyFill="1" applyBorder="1" applyAlignment="1">
      <alignment horizontal="center" vertical="center" wrapText="1"/>
    </xf>
    <xf numFmtId="3" fontId="90" fillId="19" borderId="1" xfId="0" applyNumberFormat="1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52" fillId="7" borderId="1" xfId="0" applyFont="1" applyFill="1" applyBorder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6" fontId="66" fillId="3" borderId="0" xfId="0" applyNumberFormat="1" applyFont="1" applyFill="1"/>
    <xf numFmtId="166" fontId="5" fillId="3" borderId="0" xfId="0" applyNumberFormat="1" applyFont="1" applyFill="1" applyAlignment="1">
      <alignment horizontal="center"/>
    </xf>
    <xf numFmtId="167" fontId="72" fillId="3" borderId="1" xfId="1" applyNumberFormat="1" applyFont="1" applyFill="1" applyBorder="1"/>
    <xf numFmtId="0" fontId="25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5" fontId="91" fillId="0" borderId="0" xfId="0" applyNumberFormat="1" applyFont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14" fillId="14" borderId="6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4" borderId="32" xfId="0" applyFont="1" applyFill="1" applyBorder="1" applyAlignment="1">
      <alignment horizontal="center" wrapText="1"/>
    </xf>
    <xf numFmtId="43" fontId="0" fillId="14" borderId="32" xfId="1" applyFont="1" applyFill="1" applyBorder="1"/>
    <xf numFmtId="43" fontId="0" fillId="14" borderId="0" xfId="1" applyFont="1" applyFill="1" applyBorder="1"/>
    <xf numFmtId="0" fontId="14" fillId="0" borderId="22" xfId="0" applyFont="1" applyBorder="1" applyAlignment="1">
      <alignment horizontal="center"/>
    </xf>
    <xf numFmtId="178" fontId="0" fillId="14" borderId="6" xfId="1" applyNumberFormat="1" applyFont="1" applyFill="1" applyBorder="1"/>
    <xf numFmtId="178" fontId="0" fillId="14" borderId="3" xfId="1" applyNumberFormat="1" applyFont="1" applyFill="1" applyBorder="1"/>
    <xf numFmtId="178" fontId="0" fillId="14" borderId="30" xfId="1" applyNumberFormat="1" applyFont="1" applyFill="1" applyBorder="1"/>
    <xf numFmtId="167" fontId="0" fillId="0" borderId="1" xfId="1" applyNumberFormat="1" applyFont="1" applyBorder="1"/>
    <xf numFmtId="167" fontId="0" fillId="0" borderId="2" xfId="1" applyNumberFormat="1" applyFont="1" applyBorder="1"/>
    <xf numFmtId="167" fontId="0" fillId="0" borderId="21" xfId="1" applyNumberFormat="1" applyFont="1" applyBorder="1"/>
    <xf numFmtId="9" fontId="0" fillId="3" borderId="32" xfId="5" applyFont="1" applyFill="1" applyBorder="1"/>
    <xf numFmtId="49" fontId="45" fillId="0" borderId="0" xfId="0" applyNumberFormat="1" applyFont="1"/>
    <xf numFmtId="49" fontId="45" fillId="0" borderId="0" xfId="0" applyNumberFormat="1" applyFont="1" applyAlignment="1">
      <alignment horizontal="centerContinuous"/>
    </xf>
    <xf numFmtId="49" fontId="45" fillId="0" borderId="42" xfId="0" applyNumberFormat="1" applyFont="1" applyBorder="1" applyAlignment="1">
      <alignment horizontal="centerContinuous"/>
    </xf>
    <xf numFmtId="172" fontId="72" fillId="0" borderId="0" xfId="0" applyNumberFormat="1" applyFont="1"/>
    <xf numFmtId="172" fontId="72" fillId="0" borderId="16" xfId="0" applyNumberFormat="1" applyFont="1" applyBorder="1"/>
    <xf numFmtId="0" fontId="70" fillId="0" borderId="0" xfId="0" applyFont="1"/>
    <xf numFmtId="49" fontId="71" fillId="0" borderId="43" xfId="0" applyNumberFormat="1" applyFont="1" applyBorder="1" applyAlignment="1">
      <alignment horizontal="center" wrapText="1"/>
    </xf>
    <xf numFmtId="49" fontId="25" fillId="0" borderId="0" xfId="0" applyNumberFormat="1" applyFont="1" applyAlignment="1">
      <alignment horizontal="center"/>
    </xf>
    <xf numFmtId="0" fontId="11" fillId="0" borderId="0" xfId="0" applyFont="1"/>
    <xf numFmtId="172" fontId="70" fillId="0" borderId="44" xfId="0" applyNumberFormat="1" applyFont="1" applyBorder="1"/>
    <xf numFmtId="172" fontId="70" fillId="0" borderId="11" xfId="0" applyNumberFormat="1" applyFont="1" applyBorder="1"/>
    <xf numFmtId="0" fontId="92" fillId="0" borderId="0" xfId="0" applyFont="1"/>
    <xf numFmtId="0" fontId="28" fillId="0" borderId="0" xfId="6"/>
    <xf numFmtId="0" fontId="27" fillId="23" borderId="0" xfId="6" applyFont="1" applyFill="1" applyAlignment="1" applyProtection="1">
      <alignment horizontal="center"/>
      <protection locked="0"/>
    </xf>
    <xf numFmtId="168" fontId="27" fillId="23" borderId="0" xfId="6" applyNumberFormat="1" applyFont="1" applyFill="1" applyAlignment="1" applyProtection="1">
      <alignment horizontal="center"/>
      <protection locked="0"/>
    </xf>
    <xf numFmtId="169" fontId="27" fillId="23" borderId="0" xfId="6" applyNumberFormat="1" applyFont="1" applyFill="1" applyAlignment="1" applyProtection="1">
      <alignment horizontal="center"/>
      <protection locked="0"/>
    </xf>
    <xf numFmtId="3" fontId="27" fillId="23" borderId="0" xfId="6" applyNumberFormat="1" applyFont="1" applyFill="1" applyAlignment="1">
      <alignment horizontal="center"/>
    </xf>
    <xf numFmtId="166" fontId="27" fillId="23" borderId="0" xfId="6" applyNumberFormat="1" applyFont="1" applyFill="1" applyAlignment="1">
      <alignment horizontal="center"/>
    </xf>
    <xf numFmtId="168" fontId="27" fillId="23" borderId="0" xfId="6" applyNumberFormat="1" applyFont="1" applyFill="1" applyAlignment="1">
      <alignment horizontal="center"/>
    </xf>
    <xf numFmtId="166" fontId="27" fillId="23" borderId="0" xfId="6" applyNumberFormat="1" applyFont="1" applyFill="1" applyAlignment="1" applyProtection="1">
      <alignment horizontal="center"/>
      <protection locked="0"/>
    </xf>
    <xf numFmtId="4" fontId="27" fillId="23" borderId="0" xfId="6" applyNumberFormat="1" applyFont="1" applyFill="1" applyAlignment="1" applyProtection="1">
      <alignment horizontal="center"/>
      <protection locked="0"/>
    </xf>
    <xf numFmtId="1" fontId="27" fillId="23" borderId="0" xfId="6" applyNumberFormat="1" applyFont="1" applyFill="1" applyAlignment="1" applyProtection="1">
      <alignment horizontal="center"/>
      <protection locked="0"/>
    </xf>
    <xf numFmtId="176" fontId="27" fillId="23" borderId="0" xfId="6" applyNumberFormat="1" applyFont="1" applyFill="1" applyAlignment="1" applyProtection="1">
      <alignment horizontal="center"/>
      <protection locked="0"/>
    </xf>
    <xf numFmtId="0" fontId="73" fillId="23" borderId="0" xfId="6" applyFont="1" applyFill="1" applyProtection="1">
      <protection locked="0"/>
    </xf>
    <xf numFmtId="0" fontId="73" fillId="23" borderId="0" xfId="6" applyFont="1" applyFill="1"/>
    <xf numFmtId="0" fontId="74" fillId="0" borderId="0" xfId="6" applyFont="1" applyProtection="1">
      <protection locked="0"/>
    </xf>
    <xf numFmtId="0" fontId="74" fillId="0" borderId="0" xfId="6" applyFont="1" applyAlignment="1" applyProtection="1">
      <alignment horizontal="center"/>
      <protection locked="0"/>
    </xf>
    <xf numFmtId="3" fontId="74" fillId="0" borderId="0" xfId="6" applyNumberFormat="1" applyFont="1"/>
    <xf numFmtId="0" fontId="74" fillId="0" borderId="0" xfId="6" applyFont="1"/>
    <xf numFmtId="169" fontId="74" fillId="0" borderId="0" xfId="6" applyNumberFormat="1" applyFont="1" applyAlignment="1">
      <alignment horizontal="center"/>
    </xf>
    <xf numFmtId="0" fontId="74" fillId="0" borderId="0" xfId="6" applyFont="1" applyAlignment="1">
      <alignment horizontal="center"/>
    </xf>
    <xf numFmtId="166" fontId="74" fillId="0" borderId="0" xfId="6" applyNumberFormat="1" applyFont="1"/>
    <xf numFmtId="3" fontId="74" fillId="0" borderId="0" xfId="6" applyNumberFormat="1" applyFont="1" applyProtection="1">
      <protection locked="0"/>
    </xf>
    <xf numFmtId="176" fontId="74" fillId="0" borderId="0" xfId="6" applyNumberFormat="1" applyFont="1" applyProtection="1">
      <protection locked="0"/>
    </xf>
    <xf numFmtId="0" fontId="77" fillId="0" borderId="0" xfId="7" applyFont="1" applyAlignment="1" applyProtection="1"/>
    <xf numFmtId="0" fontId="78" fillId="0" borderId="0" xfId="6" applyFont="1"/>
    <xf numFmtId="0" fontId="77" fillId="0" borderId="0" xfId="7" applyFont="1" applyAlignment="1">
      <protection locked="0"/>
    </xf>
    <xf numFmtId="1" fontId="74" fillId="0" borderId="0" xfId="6" applyNumberFormat="1" applyFont="1" applyAlignment="1">
      <alignment horizontal="center"/>
    </xf>
    <xf numFmtId="0" fontId="76" fillId="0" borderId="0" xfId="7" applyFont="1" applyAlignment="1">
      <protection locked="0"/>
    </xf>
    <xf numFmtId="166" fontId="74" fillId="0" borderId="0" xfId="6" applyNumberFormat="1" applyFont="1" applyProtection="1">
      <protection locked="0"/>
    </xf>
    <xf numFmtId="0" fontId="93" fillId="0" borderId="0" xfId="7" applyAlignment="1">
      <protection locked="0"/>
    </xf>
    <xf numFmtId="175" fontId="27" fillId="23" borderId="0" xfId="6" applyNumberFormat="1" applyFont="1" applyFill="1" applyAlignment="1" applyProtection="1">
      <alignment horizontal="center"/>
      <protection locked="0"/>
    </xf>
    <xf numFmtId="175" fontId="74" fillId="0" borderId="0" xfId="6" applyNumberFormat="1" applyFont="1"/>
    <xf numFmtId="0" fontId="93" fillId="0" borderId="0" xfId="7" applyAlignment="1" applyProtection="1"/>
    <xf numFmtId="0" fontId="79" fillId="0" borderId="0" xfId="6" applyFont="1"/>
    <xf numFmtId="1" fontId="74" fillId="0" borderId="0" xfId="6" applyNumberFormat="1" applyFont="1" applyAlignment="1" applyProtection="1">
      <alignment horizontal="center"/>
      <protection locked="0"/>
    </xf>
    <xf numFmtId="176" fontId="74" fillId="0" borderId="0" xfId="6" applyNumberFormat="1" applyFont="1" applyAlignment="1" applyProtection="1">
      <alignment horizontal="center"/>
      <protection locked="0"/>
    </xf>
    <xf numFmtId="14" fontId="74" fillId="0" borderId="0" xfId="6" applyNumberFormat="1" applyFont="1" applyAlignment="1" applyProtection="1">
      <alignment horizontal="center"/>
      <protection locked="0"/>
    </xf>
    <xf numFmtId="0" fontId="74" fillId="0" borderId="0" xfId="6" applyFont="1" applyAlignment="1">
      <alignment vertical="center"/>
    </xf>
    <xf numFmtId="0" fontId="76" fillId="0" borderId="0" xfId="7" applyFont="1" applyFill="1" applyAlignment="1">
      <protection locked="0"/>
    </xf>
    <xf numFmtId="0" fontId="75" fillId="0" borderId="0" xfId="6" applyFont="1" applyAlignment="1">
      <alignment vertical="center"/>
    </xf>
    <xf numFmtId="0" fontId="75" fillId="0" borderId="0" xfId="6" applyFont="1"/>
    <xf numFmtId="0" fontId="93" fillId="0" borderId="0" xfId="7" applyAlignment="1" applyProtection="1">
      <protection locked="0"/>
    </xf>
    <xf numFmtId="0" fontId="93" fillId="0" borderId="0" xfId="7" applyFill="1" applyAlignment="1">
      <protection locked="0"/>
    </xf>
    <xf numFmtId="0" fontId="93" fillId="0" borderId="0" xfId="7" applyFill="1" applyAlignment="1" applyProtection="1"/>
    <xf numFmtId="0" fontId="77" fillId="0" borderId="0" xfId="7" applyFont="1" applyFill="1" applyAlignment="1">
      <protection locked="0"/>
    </xf>
    <xf numFmtId="0" fontId="93" fillId="0" borderId="0" xfId="7" applyFill="1" applyAlignment="1" applyProtection="1">
      <protection locked="0"/>
    </xf>
    <xf numFmtId="0" fontId="73" fillId="7" borderId="0" xfId="6" applyFont="1" applyFill="1" applyProtection="1">
      <protection locked="0"/>
    </xf>
    <xf numFmtId="4" fontId="74" fillId="0" borderId="0" xfId="6" applyNumberFormat="1" applyFont="1" applyProtection="1">
      <protection locked="0"/>
    </xf>
    <xf numFmtId="166" fontId="74" fillId="0" borderId="0" xfId="6" applyNumberFormat="1" applyFont="1" applyAlignment="1">
      <alignment horizontal="center"/>
    </xf>
    <xf numFmtId="4" fontId="74" fillId="0" borderId="0" xfId="6" applyNumberFormat="1" applyFont="1" applyAlignment="1">
      <alignment horizontal="center"/>
    </xf>
    <xf numFmtId="1" fontId="94" fillId="0" borderId="0" xfId="6" applyNumberFormat="1" applyFont="1" applyAlignment="1">
      <alignment horizontal="center"/>
    </xf>
    <xf numFmtId="3" fontId="74" fillId="0" borderId="0" xfId="6" applyNumberFormat="1" applyFont="1" applyAlignment="1">
      <alignment horizontal="right"/>
    </xf>
    <xf numFmtId="166" fontId="74" fillId="0" borderId="0" xfId="6" applyNumberFormat="1" applyFont="1" applyAlignment="1">
      <alignment horizontal="left"/>
    </xf>
    <xf numFmtId="166" fontId="73" fillId="0" borderId="0" xfId="6" applyNumberFormat="1" applyFont="1" applyAlignment="1" applyProtection="1">
      <alignment horizontal="right"/>
      <protection locked="0"/>
    </xf>
    <xf numFmtId="166" fontId="73" fillId="0" borderId="0" xfId="6" applyNumberFormat="1" applyFont="1" applyAlignment="1">
      <alignment horizontal="left"/>
    </xf>
    <xf numFmtId="0" fontId="28" fillId="0" borderId="0" xfId="6" applyProtection="1">
      <protection locked="0"/>
    </xf>
    <xf numFmtId="166" fontId="28" fillId="0" borderId="0" xfId="6" applyNumberFormat="1"/>
    <xf numFmtId="168" fontId="28" fillId="0" borderId="0" xfId="6" applyNumberFormat="1" applyAlignment="1" applyProtection="1">
      <alignment horizontal="left"/>
      <protection locked="0"/>
    </xf>
    <xf numFmtId="1" fontId="28" fillId="0" borderId="0" xfId="6" applyNumberFormat="1" applyProtection="1">
      <protection locked="0"/>
    </xf>
    <xf numFmtId="0" fontId="28" fillId="0" borderId="0" xfId="6" applyAlignment="1" applyProtection="1">
      <alignment horizontal="center"/>
      <protection locked="0"/>
    </xf>
    <xf numFmtId="3" fontId="28" fillId="0" borderId="0" xfId="6" applyNumberFormat="1" applyProtection="1">
      <protection locked="0"/>
    </xf>
    <xf numFmtId="169" fontId="28" fillId="0" borderId="0" xfId="6" applyNumberFormat="1"/>
    <xf numFmtId="176" fontId="28" fillId="0" borderId="0" xfId="6" applyNumberFormat="1" applyProtection="1">
      <protection locked="0"/>
    </xf>
    <xf numFmtId="176" fontId="28" fillId="0" borderId="0" xfId="6" applyNumberFormat="1" applyAlignment="1" applyProtection="1">
      <alignment horizontal="center"/>
      <protection locked="0"/>
    </xf>
    <xf numFmtId="0" fontId="28" fillId="0" borderId="0" xfId="7" applyFont="1" applyAlignment="1">
      <protection locked="0"/>
    </xf>
    <xf numFmtId="14" fontId="28" fillId="0" borderId="0" xfId="6" applyNumberFormat="1" applyAlignment="1" applyProtection="1">
      <alignment horizontal="center"/>
      <protection locked="0"/>
    </xf>
    <xf numFmtId="0" fontId="22" fillId="0" borderId="0" xfId="6" applyFont="1" applyAlignment="1" applyProtection="1">
      <alignment horizontal="right"/>
      <protection locked="0"/>
    </xf>
    <xf numFmtId="16" fontId="28" fillId="0" borderId="0" xfId="6" applyNumberFormat="1" applyAlignment="1" applyProtection="1">
      <alignment horizontal="center"/>
      <protection locked="0"/>
    </xf>
    <xf numFmtId="0" fontId="28" fillId="23" borderId="0" xfId="6" applyFill="1" applyProtection="1">
      <protection locked="0"/>
    </xf>
    <xf numFmtId="0" fontId="28" fillId="23" borderId="13" xfId="6" applyFill="1" applyBorder="1" applyProtection="1">
      <protection locked="0"/>
    </xf>
    <xf numFmtId="168" fontId="27" fillId="23" borderId="0" xfId="6" applyNumberFormat="1" applyFont="1" applyFill="1" applyAlignment="1" applyProtection="1">
      <alignment horizontal="left"/>
      <protection locked="0"/>
    </xf>
    <xf numFmtId="1" fontId="27" fillId="23" borderId="0" xfId="6" applyNumberFormat="1" applyFont="1" applyFill="1" applyAlignment="1">
      <alignment horizontal="center"/>
    </xf>
    <xf numFmtId="0" fontId="28" fillId="7" borderId="0" xfId="6" applyFill="1" applyProtection="1">
      <protection locked="0"/>
    </xf>
    <xf numFmtId="3" fontId="74" fillId="0" borderId="0" xfId="6" applyNumberFormat="1" applyFont="1" applyAlignment="1">
      <alignment horizontal="center"/>
    </xf>
    <xf numFmtId="0" fontId="28" fillId="0" borderId="0" xfId="6" applyAlignment="1" applyProtection="1">
      <alignment horizontal="right"/>
      <protection locked="0"/>
    </xf>
    <xf numFmtId="3" fontId="28" fillId="0" borderId="0" xfId="6" applyNumberFormat="1" applyAlignment="1">
      <alignment horizontal="left"/>
    </xf>
    <xf numFmtId="3" fontId="21" fillId="0" borderId="0" xfId="6" applyNumberFormat="1" applyFont="1" applyAlignment="1">
      <alignment horizontal="left"/>
    </xf>
    <xf numFmtId="170" fontId="28" fillId="0" borderId="0" xfId="6" applyNumberFormat="1"/>
    <xf numFmtId="0" fontId="22" fillId="19" borderId="0" xfId="6" applyFont="1" applyFill="1" applyAlignment="1">
      <alignment horizontal="center"/>
    </xf>
    <xf numFmtId="0" fontId="28" fillId="19" borderId="0" xfId="6" applyFill="1" applyAlignment="1">
      <alignment horizontal="center"/>
    </xf>
    <xf numFmtId="0" fontId="95" fillId="24" borderId="0" xfId="6" applyFont="1" applyFill="1" applyAlignment="1">
      <alignment horizontal="center"/>
    </xf>
    <xf numFmtId="0" fontId="96" fillId="24" borderId="0" xfId="6" applyFont="1" applyFill="1"/>
    <xf numFmtId="166" fontId="96" fillId="24" borderId="0" xfId="6" applyNumberFormat="1" applyFont="1" applyFill="1"/>
    <xf numFmtId="0" fontId="14" fillId="24" borderId="18" xfId="0" applyFont="1" applyFill="1" applyBorder="1" applyAlignment="1">
      <alignment horizontal="center"/>
    </xf>
    <xf numFmtId="0" fontId="14" fillId="24" borderId="19" xfId="0" applyFont="1" applyFill="1" applyBorder="1" applyAlignment="1">
      <alignment horizontal="center" wrapText="1"/>
    </xf>
    <xf numFmtId="9" fontId="0" fillId="24" borderId="18" xfId="5" applyFont="1" applyFill="1" applyBorder="1"/>
    <xf numFmtId="167" fontId="0" fillId="24" borderId="19" xfId="1" applyNumberFormat="1" applyFont="1" applyFill="1" applyBorder="1"/>
    <xf numFmtId="9" fontId="0" fillId="24" borderId="20" xfId="5" applyFont="1" applyFill="1" applyBorder="1"/>
    <xf numFmtId="0" fontId="14" fillId="26" borderId="18" xfId="0" applyFont="1" applyFill="1" applyBorder="1" applyAlignment="1">
      <alignment horizontal="center"/>
    </xf>
    <xf numFmtId="0" fontId="14" fillId="26" borderId="19" xfId="0" applyFont="1" applyFill="1" applyBorder="1" applyAlignment="1">
      <alignment horizontal="center" wrapText="1"/>
    </xf>
    <xf numFmtId="9" fontId="0" fillId="26" borderId="18" xfId="5" applyFont="1" applyFill="1" applyBorder="1"/>
    <xf numFmtId="167" fontId="0" fillId="26" borderId="19" xfId="1" applyNumberFormat="1" applyFont="1" applyFill="1" applyBorder="1"/>
    <xf numFmtId="9" fontId="0" fillId="26" borderId="20" xfId="5" applyFont="1" applyFill="1" applyBorder="1"/>
    <xf numFmtId="167" fontId="0" fillId="0" borderId="1" xfId="1" applyNumberFormat="1" applyFont="1" applyFill="1" applyBorder="1"/>
    <xf numFmtId="167" fontId="0" fillId="0" borderId="0" xfId="1" applyNumberFormat="1" applyFont="1" applyFill="1" applyBorder="1"/>
    <xf numFmtId="166" fontId="0" fillId="3" borderId="28" xfId="0" applyNumberFormat="1" applyFill="1" applyBorder="1" applyAlignment="1">
      <alignment horizontal="right" vertical="center"/>
    </xf>
    <xf numFmtId="167" fontId="0" fillId="0" borderId="0" xfId="1" applyNumberFormat="1" applyFont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3" fontId="0" fillId="15" borderId="1" xfId="0" applyNumberFormat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8" borderId="1" xfId="0" applyFill="1" applyBorder="1"/>
    <xf numFmtId="3" fontId="0" fillId="28" borderId="1" xfId="0" applyNumberFormat="1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9" borderId="1" xfId="0" applyFill="1" applyBorder="1"/>
    <xf numFmtId="3" fontId="0" fillId="29" borderId="1" xfId="0" applyNumberFormat="1" applyFill="1" applyBorder="1" applyAlignment="1">
      <alignment horizontal="center"/>
    </xf>
    <xf numFmtId="166" fontId="0" fillId="3" borderId="28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horizontal="right" vertical="center"/>
    </xf>
    <xf numFmtId="167" fontId="70" fillId="3" borderId="1" xfId="1" applyNumberFormat="1" applyFont="1" applyFill="1" applyBorder="1"/>
    <xf numFmtId="167" fontId="0" fillId="15" borderId="1" xfId="1" applyNumberFormat="1" applyFont="1" applyFill="1" applyBorder="1"/>
    <xf numFmtId="0" fontId="10" fillId="0" borderId="23" xfId="0" applyFont="1" applyBorder="1" applyAlignment="1">
      <alignment horizontal="center"/>
    </xf>
    <xf numFmtId="0" fontId="66" fillId="24" borderId="18" xfId="0" applyFont="1" applyFill="1" applyBorder="1"/>
    <xf numFmtId="0" fontId="66" fillId="26" borderId="18" xfId="0" applyFont="1" applyFill="1" applyBorder="1"/>
    <xf numFmtId="0" fontId="5" fillId="24" borderId="18" xfId="0" applyFont="1" applyFill="1" applyBorder="1"/>
    <xf numFmtId="0" fontId="0" fillId="24" borderId="0" xfId="0" applyFill="1"/>
    <xf numFmtId="174" fontId="18" fillId="24" borderId="0" xfId="0" applyNumberFormat="1" applyFont="1" applyFill="1"/>
    <xf numFmtId="0" fontId="5" fillId="26" borderId="18" xfId="0" applyFont="1" applyFill="1" applyBorder="1"/>
    <xf numFmtId="0" fontId="0" fillId="26" borderId="0" xfId="0" applyFill="1"/>
    <xf numFmtId="174" fontId="18" fillId="26" borderId="0" xfId="0" applyNumberFormat="1" applyFont="1" applyFill="1"/>
    <xf numFmtId="167" fontId="18" fillId="24" borderId="1" xfId="1" applyNumberFormat="1" applyFont="1" applyFill="1" applyBorder="1"/>
    <xf numFmtId="167" fontId="18" fillId="24" borderId="19" xfId="1" applyNumberFormat="1" applyFont="1" applyFill="1" applyBorder="1"/>
    <xf numFmtId="167" fontId="18" fillId="26" borderId="1" xfId="1" applyNumberFormat="1" applyFont="1" applyFill="1" applyBorder="1"/>
    <xf numFmtId="167" fontId="18" fillId="26" borderId="19" xfId="1" applyNumberFormat="1" applyFont="1" applyFill="1" applyBorder="1"/>
    <xf numFmtId="167" fontId="0" fillId="24" borderId="1" xfId="1" applyNumberFormat="1" applyFont="1" applyFill="1" applyBorder="1"/>
    <xf numFmtId="167" fontId="5" fillId="24" borderId="18" xfId="1" applyNumberFormat="1" applyFont="1" applyFill="1" applyBorder="1"/>
    <xf numFmtId="167" fontId="0" fillId="24" borderId="0" xfId="1" applyNumberFormat="1" applyFont="1" applyFill="1"/>
    <xf numFmtId="167" fontId="0" fillId="26" borderId="1" xfId="1" applyNumberFormat="1" applyFont="1" applyFill="1" applyBorder="1"/>
    <xf numFmtId="167" fontId="5" fillId="26" borderId="18" xfId="1" applyNumberFormat="1" applyFont="1" applyFill="1" applyBorder="1"/>
    <xf numFmtId="167" fontId="0" fillId="26" borderId="0" xfId="1" applyNumberFormat="1" applyFont="1" applyFill="1"/>
    <xf numFmtId="167" fontId="18" fillId="0" borderId="1" xfId="1" applyNumberFormat="1" applyFont="1" applyFill="1" applyBorder="1"/>
    <xf numFmtId="174" fontId="0" fillId="0" borderId="0" xfId="2" applyNumberFormat="1" applyFont="1" applyFill="1" applyBorder="1"/>
    <xf numFmtId="174" fontId="14" fillId="0" borderId="0" xfId="2" applyNumberFormat="1" applyFont="1" applyFill="1" applyBorder="1" applyAlignment="1">
      <alignment horizontal="center"/>
    </xf>
    <xf numFmtId="174" fontId="18" fillId="0" borderId="0" xfId="0" applyNumberFormat="1" applyFont="1"/>
    <xf numFmtId="0" fontId="66" fillId="0" borderId="20" xfId="0" applyFont="1" applyBorder="1"/>
    <xf numFmtId="174" fontId="18" fillId="0" borderId="2" xfId="0" applyNumberFormat="1" applyFont="1" applyBorder="1"/>
    <xf numFmtId="174" fontId="18" fillId="0" borderId="21" xfId="0" applyNumberFormat="1" applyFont="1" applyBorder="1"/>
    <xf numFmtId="167" fontId="0" fillId="0" borderId="0" xfId="1" applyNumberFormat="1" applyFont="1" applyFill="1"/>
    <xf numFmtId="0" fontId="5" fillId="0" borderId="20" xfId="0" applyFont="1" applyBorder="1"/>
    <xf numFmtId="174" fontId="0" fillId="0" borderId="2" xfId="0" applyNumberFormat="1" applyBorder="1"/>
    <xf numFmtId="174" fontId="0" fillId="0" borderId="21" xfId="2" applyNumberFormat="1" applyFont="1" applyFill="1" applyBorder="1"/>
    <xf numFmtId="174" fontId="18" fillId="0" borderId="20" xfId="2" applyNumberFormat="1" applyFont="1" applyFill="1" applyBorder="1"/>
    <xf numFmtId="174" fontId="0" fillId="0" borderId="11" xfId="2" applyNumberFormat="1" applyFont="1" applyFill="1" applyBorder="1"/>
    <xf numFmtId="0" fontId="14" fillId="0" borderId="0" xfId="0" applyFont="1"/>
    <xf numFmtId="167" fontId="18" fillId="0" borderId="0" xfId="1" applyNumberFormat="1" applyFont="1" applyFill="1" applyBorder="1"/>
    <xf numFmtId="174" fontId="18" fillId="0" borderId="0" xfId="2" applyNumberFormat="1" applyFont="1" applyFill="1" applyBorder="1"/>
    <xf numFmtId="174" fontId="18" fillId="0" borderId="21" xfId="2" applyNumberFormat="1" applyFont="1" applyFill="1" applyBorder="1"/>
    <xf numFmtId="167" fontId="18" fillId="24" borderId="18" xfId="1" applyNumberFormat="1" applyFont="1" applyFill="1" applyBorder="1"/>
    <xf numFmtId="167" fontId="18" fillId="26" borderId="18" xfId="1" applyNumberFormat="1" applyFont="1" applyFill="1" applyBorder="1"/>
    <xf numFmtId="9" fontId="18" fillId="24" borderId="1" xfId="5" applyFont="1" applyFill="1" applyBorder="1"/>
    <xf numFmtId="9" fontId="18" fillId="26" borderId="1" xfId="5" applyFont="1" applyFill="1" applyBorder="1"/>
    <xf numFmtId="9" fontId="18" fillId="0" borderId="2" xfId="5" applyFont="1" applyFill="1" applyBorder="1"/>
    <xf numFmtId="9" fontId="0" fillId="24" borderId="1" xfId="5" applyFont="1" applyFill="1" applyBorder="1"/>
    <xf numFmtId="9" fontId="0" fillId="26" borderId="1" xfId="5" applyFont="1" applyFill="1" applyBorder="1"/>
    <xf numFmtId="9" fontId="0" fillId="0" borderId="2" xfId="5" applyFont="1" applyFill="1" applyBorder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87" fillId="0" borderId="0" xfId="0" applyNumberFormat="1" applyFont="1" applyAlignment="1">
      <alignment horizontal="center" vertical="center"/>
    </xf>
    <xf numFmtId="166" fontId="88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4" borderId="0" xfId="0" applyFill="1" applyAlignment="1">
      <alignment horizontal="center" vertical="center"/>
    </xf>
    <xf numFmtId="166" fontId="0" fillId="24" borderId="0" xfId="0" applyNumberFormat="1" applyFill="1" applyAlignment="1">
      <alignment horizontal="center" vertical="center"/>
    </xf>
    <xf numFmtId="166" fontId="18" fillId="24" borderId="0" xfId="0" applyNumberFormat="1" applyFont="1" applyFill="1" applyAlignment="1">
      <alignment horizontal="center" vertical="center"/>
    </xf>
    <xf numFmtId="166" fontId="6" fillId="24" borderId="0" xfId="0" applyNumberFormat="1" applyFont="1" applyFill="1" applyAlignment="1">
      <alignment horizontal="center" vertical="center"/>
    </xf>
    <xf numFmtId="0" fontId="18" fillId="26" borderId="0" xfId="0" applyFont="1" applyFill="1" applyAlignment="1">
      <alignment vertical="center"/>
    </xf>
    <xf numFmtId="0" fontId="18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5" fillId="24" borderId="0" xfId="0" applyFont="1" applyFill="1" applyAlignment="1">
      <alignment horizontal="center" vertical="center" wrapText="1"/>
    </xf>
    <xf numFmtId="1" fontId="5" fillId="24" borderId="0" xfId="0" applyNumberFormat="1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14" fillId="24" borderId="0" xfId="0" applyFont="1" applyFill="1" applyAlignment="1">
      <alignment horizontal="center" vertical="center" wrapText="1"/>
    </xf>
    <xf numFmtId="0" fontId="58" fillId="24" borderId="0" xfId="0" applyFont="1" applyFill="1" applyAlignment="1">
      <alignment horizontal="center" vertical="center" wrapText="1"/>
    </xf>
    <xf numFmtId="0" fontId="58" fillId="18" borderId="0" xfId="0" applyFont="1" applyFill="1" applyAlignment="1">
      <alignment horizontal="center" vertical="center" wrapText="1"/>
    </xf>
    <xf numFmtId="166" fontId="14" fillId="24" borderId="0" xfId="0" applyNumberFormat="1" applyFont="1" applyFill="1" applyAlignment="1">
      <alignment horizontal="center" vertical="center" wrapText="1"/>
    </xf>
    <xf numFmtId="166" fontId="58" fillId="24" borderId="0" xfId="0" applyNumberFormat="1" applyFont="1" applyFill="1" applyAlignment="1">
      <alignment horizontal="center" vertical="center" wrapText="1"/>
    </xf>
    <xf numFmtId="166" fontId="58" fillId="18" borderId="0" xfId="0" applyNumberFormat="1" applyFont="1" applyFill="1" applyAlignment="1">
      <alignment horizontal="center" vertical="center" wrapText="1"/>
    </xf>
    <xf numFmtId="0" fontId="5" fillId="26" borderId="0" xfId="0" applyFont="1" applyFill="1" applyAlignment="1">
      <alignment horizontal="center" vertical="center" wrapText="1"/>
    </xf>
    <xf numFmtId="166" fontId="14" fillId="26" borderId="0" xfId="0" applyNumberFormat="1" applyFont="1" applyFill="1" applyAlignment="1">
      <alignment horizontal="center" vertical="center" wrapText="1"/>
    </xf>
    <xf numFmtId="0" fontId="14" fillId="26" borderId="0" xfId="0" applyFont="1" applyFill="1" applyAlignment="1">
      <alignment horizontal="center" vertical="center" wrapText="1"/>
    </xf>
    <xf numFmtId="166" fontId="58" fillId="26" borderId="0" xfId="0" applyNumberFormat="1" applyFont="1" applyFill="1" applyAlignment="1">
      <alignment horizontal="center" vertical="center" wrapText="1"/>
    </xf>
    <xf numFmtId="0" fontId="58" fillId="26" borderId="0" xfId="0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24" borderId="0" xfId="0" applyNumberForma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2" fontId="4" fillId="24" borderId="0" xfId="0" applyNumberFormat="1" applyFont="1" applyFill="1" applyAlignment="1">
      <alignment horizontal="center" vertical="center"/>
    </xf>
    <xf numFmtId="166" fontId="66" fillId="24" borderId="0" xfId="0" applyNumberFormat="1" applyFont="1" applyFill="1" applyAlignment="1">
      <alignment horizontal="center" vertical="center"/>
    </xf>
    <xf numFmtId="1" fontId="4" fillId="24" borderId="0" xfId="0" applyNumberFormat="1" applyFont="1" applyFill="1" applyAlignment="1">
      <alignment horizontal="center" vertical="center"/>
    </xf>
    <xf numFmtId="166" fontId="0" fillId="26" borderId="0" xfId="0" applyNumberFormat="1" applyFill="1" applyAlignment="1">
      <alignment horizontal="center" vertical="center"/>
    </xf>
    <xf numFmtId="166" fontId="18" fillId="26" borderId="0" xfId="0" applyNumberFormat="1" applyFont="1" applyFill="1" applyAlignment="1">
      <alignment horizontal="center" vertical="center"/>
    </xf>
    <xf numFmtId="166" fontId="66" fillId="26" borderId="0" xfId="0" applyNumberFormat="1" applyFont="1" applyFill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66" fontId="51" fillId="24" borderId="0" xfId="0" applyNumberFormat="1" applyFont="1" applyFill="1" applyAlignment="1">
      <alignment horizontal="center" vertical="center"/>
    </xf>
    <xf numFmtId="166" fontId="0" fillId="24" borderId="0" xfId="0" applyNumberFormat="1" applyFill="1" applyAlignment="1">
      <alignment horizontal="right" vertical="center"/>
    </xf>
    <xf numFmtId="166" fontId="69" fillId="24" borderId="0" xfId="0" applyNumberFormat="1" applyFont="1" applyFill="1" applyAlignment="1">
      <alignment horizontal="center" vertical="center"/>
    </xf>
    <xf numFmtId="1" fontId="4" fillId="24" borderId="0" xfId="2" applyNumberFormat="1" applyFont="1" applyFill="1" applyBorder="1" applyAlignment="1">
      <alignment horizontal="center" vertical="center"/>
    </xf>
    <xf numFmtId="41" fontId="4" fillId="24" borderId="0" xfId="2" applyNumberFormat="1" applyFont="1" applyFill="1" applyBorder="1" applyAlignment="1">
      <alignment horizontal="center" vertical="center"/>
    </xf>
    <xf numFmtId="166" fontId="51" fillId="26" borderId="0" xfId="0" applyNumberFormat="1" applyFont="1" applyFill="1" applyAlignment="1">
      <alignment horizontal="center" vertical="center"/>
    </xf>
    <xf numFmtId="166" fontId="69" fillId="26" borderId="0" xfId="0" applyNumberFormat="1" applyFont="1" applyFill="1" applyAlignment="1">
      <alignment horizontal="center" vertical="center"/>
    </xf>
    <xf numFmtId="166" fontId="52" fillId="0" borderId="0" xfId="0" applyNumberFormat="1" applyFont="1" applyAlignment="1">
      <alignment horizontal="center" vertical="center"/>
    </xf>
    <xf numFmtId="41" fontId="0" fillId="24" borderId="0" xfId="2" applyNumberFormat="1" applyFont="1" applyFill="1" applyBorder="1" applyAlignment="1">
      <alignment horizontal="center" vertical="center"/>
    </xf>
    <xf numFmtId="1" fontId="0" fillId="24" borderId="0" xfId="2" applyNumberFormat="1" applyFont="1" applyFill="1" applyBorder="1" applyAlignment="1">
      <alignment horizontal="center" vertical="center"/>
    </xf>
    <xf numFmtId="166" fontId="18" fillId="24" borderId="0" xfId="0" applyNumberFormat="1" applyFont="1" applyFill="1" applyAlignment="1">
      <alignment horizontal="right" vertical="center"/>
    </xf>
    <xf numFmtId="166" fontId="66" fillId="24" borderId="0" xfId="0" applyNumberFormat="1" applyFont="1" applyFill="1" applyAlignment="1">
      <alignment horizontal="right" vertical="center"/>
    </xf>
    <xf numFmtId="166" fontId="51" fillId="24" borderId="0" xfId="0" applyNumberFormat="1" applyFont="1" applyFill="1" applyAlignment="1">
      <alignment horizontal="right" vertical="center"/>
    </xf>
    <xf numFmtId="166" fontId="69" fillId="24" borderId="0" xfId="0" applyNumberFormat="1" applyFont="1" applyFill="1" applyAlignment="1">
      <alignment horizontal="right" vertical="center"/>
    </xf>
    <xf numFmtId="1" fontId="0" fillId="26" borderId="0" xfId="0" applyNumberFormat="1" applyFill="1" applyAlignment="1">
      <alignment horizontal="center" vertical="center"/>
    </xf>
    <xf numFmtId="0" fontId="51" fillId="26" borderId="0" xfId="0" applyFont="1" applyFill="1" applyAlignment="1">
      <alignment horizontal="center" vertical="center"/>
    </xf>
    <xf numFmtId="166" fontId="0" fillId="26" borderId="0" xfId="0" applyNumberFormat="1" applyFill="1" applyAlignment="1">
      <alignment vertical="center"/>
    </xf>
    <xf numFmtId="166" fontId="60" fillId="24" borderId="0" xfId="0" applyNumberFormat="1" applyFont="1" applyFill="1" applyAlignment="1">
      <alignment horizontal="center" vertical="center" wrapText="1"/>
    </xf>
    <xf numFmtId="166" fontId="0" fillId="24" borderId="0" xfId="0" applyNumberFormat="1" applyFill="1" applyAlignment="1">
      <alignment horizontal="center" vertical="center" wrapText="1"/>
    </xf>
    <xf numFmtId="166" fontId="18" fillId="24" borderId="0" xfId="0" applyNumberFormat="1" applyFont="1" applyFill="1" applyAlignment="1">
      <alignment horizontal="center" vertical="center" wrapText="1"/>
    </xf>
    <xf numFmtId="166" fontId="89" fillId="24" borderId="0" xfId="0" applyNumberFormat="1" applyFont="1" applyFill="1" applyAlignment="1">
      <alignment horizontal="center" vertical="center" wrapText="1"/>
    </xf>
    <xf numFmtId="166" fontId="69" fillId="24" borderId="0" xfId="0" applyNumberFormat="1" applyFont="1" applyFill="1" applyAlignment="1">
      <alignment horizontal="center" vertical="center" wrapText="1"/>
    </xf>
    <xf numFmtId="166" fontId="51" fillId="24" borderId="0" xfId="0" applyNumberFormat="1" applyFont="1" applyFill="1" applyAlignment="1">
      <alignment horizontal="center" vertical="center" wrapText="1"/>
    </xf>
    <xf numFmtId="41" fontId="52" fillId="24" borderId="0" xfId="2" applyNumberFormat="1" applyFont="1" applyFill="1" applyBorder="1" applyAlignment="1">
      <alignment horizontal="center" vertical="center"/>
    </xf>
    <xf numFmtId="1" fontId="52" fillId="24" borderId="0" xfId="2" applyNumberFormat="1" applyFont="1" applyFill="1" applyBorder="1" applyAlignment="1">
      <alignment horizontal="center" vertical="center"/>
    </xf>
    <xf numFmtId="166" fontId="52" fillId="24" borderId="0" xfId="0" applyNumberFormat="1" applyFont="1" applyFill="1" applyAlignment="1">
      <alignment horizontal="right" vertical="center"/>
    </xf>
    <xf numFmtId="1" fontId="52" fillId="24" borderId="0" xfId="0" applyNumberFormat="1" applyFont="1" applyFill="1" applyAlignment="1">
      <alignment horizontal="center" vertical="center"/>
    </xf>
    <xf numFmtId="166" fontId="52" fillId="24" borderId="0" xfId="0" applyNumberFormat="1" applyFont="1" applyFill="1" applyAlignment="1">
      <alignment horizontal="center" vertical="center"/>
    </xf>
    <xf numFmtId="166" fontId="63" fillId="24" borderId="0" xfId="0" applyNumberFormat="1" applyFont="1" applyFill="1" applyAlignment="1">
      <alignment horizontal="center" vertical="center"/>
    </xf>
    <xf numFmtId="166" fontId="0" fillId="26" borderId="0" xfId="0" applyNumberFormat="1" applyFill="1" applyAlignment="1">
      <alignment horizontal="right" vertical="center"/>
    </xf>
    <xf numFmtId="6" fontId="0" fillId="24" borderId="0" xfId="0" applyNumberFormat="1" applyFill="1" applyAlignment="1">
      <alignment horizontal="center" vertical="center"/>
    </xf>
    <xf numFmtId="6" fontId="18" fillId="24" borderId="0" xfId="0" applyNumberFormat="1" applyFont="1" applyFill="1" applyAlignment="1">
      <alignment horizontal="center" vertical="center"/>
    </xf>
    <xf numFmtId="6" fontId="69" fillId="24" borderId="0" xfId="0" applyNumberFormat="1" applyFont="1" applyFill="1" applyAlignment="1">
      <alignment horizontal="center" vertical="center"/>
    </xf>
    <xf numFmtId="6" fontId="0" fillId="24" borderId="0" xfId="0" applyNumberFormat="1" applyFill="1" applyAlignment="1">
      <alignment horizontal="right" vertical="center"/>
    </xf>
    <xf numFmtId="6" fontId="51" fillId="24" borderId="0" xfId="0" applyNumberFormat="1" applyFont="1" applyFill="1" applyAlignment="1">
      <alignment horizontal="center" vertical="center"/>
    </xf>
    <xf numFmtId="6" fontId="66" fillId="24" borderId="0" xfId="0" applyNumberFormat="1" applyFont="1" applyFill="1" applyAlignment="1">
      <alignment horizontal="center" vertical="center"/>
    </xf>
    <xf numFmtId="166" fontId="60" fillId="26" borderId="0" xfId="0" applyNumberFormat="1" applyFont="1" applyFill="1" applyAlignment="1">
      <alignment horizontal="center" vertical="center"/>
    </xf>
    <xf numFmtId="166" fontId="4" fillId="26" borderId="0" xfId="0" applyNumberFormat="1" applyFont="1" applyFill="1" applyAlignment="1">
      <alignment horizontal="center" vertical="center"/>
    </xf>
    <xf numFmtId="1" fontId="4" fillId="26" borderId="0" xfId="0" applyNumberFormat="1" applyFont="1" applyFill="1" applyAlignment="1">
      <alignment horizontal="center" vertical="center"/>
    </xf>
    <xf numFmtId="1" fontId="51" fillId="26" borderId="0" xfId="0" applyNumberFormat="1" applyFont="1" applyFill="1" applyAlignment="1">
      <alignment horizontal="center" vertical="center"/>
    </xf>
    <xf numFmtId="0" fontId="51" fillId="24" borderId="0" xfId="0" applyFont="1" applyFill="1" applyAlignment="1">
      <alignment horizontal="center" vertical="center"/>
    </xf>
    <xf numFmtId="0" fontId="69" fillId="24" borderId="0" xfId="0" applyFont="1" applyFill="1" applyAlignment="1">
      <alignment horizontal="center" vertical="center"/>
    </xf>
    <xf numFmtId="166" fontId="85" fillId="26" borderId="0" xfId="0" applyNumberFormat="1" applyFont="1" applyFill="1" applyAlignment="1">
      <alignment horizontal="center" vertical="center"/>
    </xf>
    <xf numFmtId="166" fontId="86" fillId="26" borderId="0" xfId="0" applyNumberFormat="1" applyFont="1" applyFill="1" applyAlignment="1">
      <alignment horizontal="center" vertical="center"/>
    </xf>
    <xf numFmtId="166" fontId="4" fillId="24" borderId="0" xfId="0" applyNumberFormat="1" applyFont="1" applyFill="1" applyAlignment="1">
      <alignment horizontal="center" vertical="center"/>
    </xf>
    <xf numFmtId="166" fontId="60" fillId="2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6" fontId="1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66" fontId="66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7" fontId="0" fillId="0" borderId="0" xfId="1" applyNumberFormat="1" applyFont="1"/>
    <xf numFmtId="0" fontId="0" fillId="26" borderId="8" xfId="0" applyFill="1" applyBorder="1"/>
    <xf numFmtId="167" fontId="0" fillId="26" borderId="8" xfId="1" applyNumberFormat="1" applyFont="1" applyFill="1" applyBorder="1"/>
    <xf numFmtId="49" fontId="99" fillId="15" borderId="1" xfId="0" applyNumberFormat="1" applyFont="1" applyFill="1" applyBorder="1"/>
    <xf numFmtId="49" fontId="101" fillId="3" borderId="1" xfId="0" applyNumberFormat="1" applyFont="1" applyFill="1" applyBorder="1"/>
    <xf numFmtId="167" fontId="101" fillId="3" borderId="1" xfId="1" applyNumberFormat="1" applyFont="1" applyFill="1" applyBorder="1"/>
    <xf numFmtId="167" fontId="18" fillId="30" borderId="1" xfId="1" applyNumberFormat="1" applyFont="1" applyFill="1" applyBorder="1"/>
    <xf numFmtId="167" fontId="101" fillId="18" borderId="1" xfId="1" applyNumberFormat="1" applyFont="1" applyFill="1" applyBorder="1"/>
    <xf numFmtId="167" fontId="0" fillId="3" borderId="1" xfId="1" applyNumberFormat="1" applyFont="1" applyFill="1" applyBorder="1"/>
    <xf numFmtId="49" fontId="102" fillId="21" borderId="1" xfId="0" applyNumberFormat="1" applyFont="1" applyFill="1" applyBorder="1"/>
    <xf numFmtId="167" fontId="102" fillId="21" borderId="1" xfId="1" applyNumberFormat="1" applyFont="1" applyFill="1" applyBorder="1"/>
    <xf numFmtId="49" fontId="102" fillId="3" borderId="1" xfId="0" applyNumberFormat="1" applyFont="1" applyFill="1" applyBorder="1"/>
    <xf numFmtId="167" fontId="101" fillId="21" borderId="1" xfId="1" applyNumberFormat="1" applyFont="1" applyFill="1" applyBorder="1"/>
    <xf numFmtId="167" fontId="0" fillId="21" borderId="1" xfId="1" applyNumberFormat="1" applyFont="1" applyFill="1" applyBorder="1"/>
    <xf numFmtId="167" fontId="101" fillId="15" borderId="1" xfId="1" applyNumberFormat="1" applyFont="1" applyFill="1" applyBorder="1"/>
    <xf numFmtId="167" fontId="101" fillId="26" borderId="1" xfId="1" applyNumberFormat="1" applyFont="1" applyFill="1" applyBorder="1"/>
    <xf numFmtId="49" fontId="101" fillId="21" borderId="1" xfId="0" applyNumberFormat="1" applyFont="1" applyFill="1" applyBorder="1"/>
    <xf numFmtId="167" fontId="0" fillId="3" borderId="1" xfId="1" applyNumberFormat="1" applyFont="1" applyFill="1" applyBorder="1" applyAlignment="1">
      <alignment vertical="center"/>
    </xf>
    <xf numFmtId="167" fontId="0" fillId="0" borderId="1" xfId="1" applyNumberFormat="1" applyFont="1" applyFill="1" applyBorder="1" applyAlignment="1">
      <alignment vertical="center"/>
    </xf>
    <xf numFmtId="49" fontId="101" fillId="0" borderId="1" xfId="0" applyNumberFormat="1" applyFont="1" applyBorder="1"/>
    <xf numFmtId="167" fontId="101" fillId="0" borderId="1" xfId="1" applyNumberFormat="1" applyFont="1" applyBorder="1"/>
    <xf numFmtId="167" fontId="18" fillId="3" borderId="1" xfId="1" applyNumberFormat="1" applyFont="1" applyFill="1" applyBorder="1"/>
    <xf numFmtId="167" fontId="101" fillId="0" borderId="1" xfId="1" applyNumberFormat="1" applyFont="1" applyFill="1" applyBorder="1"/>
    <xf numFmtId="49" fontId="103" fillId="0" borderId="1" xfId="0" applyNumberFormat="1" applyFont="1" applyBorder="1" applyAlignment="1">
      <alignment horizontal="left"/>
    </xf>
    <xf numFmtId="49" fontId="105" fillId="3" borderId="1" xfId="0" applyNumberFormat="1" applyFont="1" applyFill="1" applyBorder="1" applyAlignment="1">
      <alignment horizontal="center"/>
    </xf>
    <xf numFmtId="49" fontId="102" fillId="3" borderId="1" xfId="0" applyNumberFormat="1" applyFont="1" applyFill="1" applyBorder="1" applyAlignment="1">
      <alignment horizontal="center"/>
    </xf>
    <xf numFmtId="49" fontId="106" fillId="3" borderId="1" xfId="0" applyNumberFormat="1" applyFont="1" applyFill="1" applyBorder="1" applyAlignment="1">
      <alignment horizontal="center"/>
    </xf>
    <xf numFmtId="172" fontId="101" fillId="15" borderId="1" xfId="0" applyNumberFormat="1" applyFont="1" applyFill="1" applyBorder="1"/>
    <xf numFmtId="49" fontId="101" fillId="15" borderId="1" xfId="0" applyNumberFormat="1" applyFont="1" applyFill="1" applyBorder="1"/>
    <xf numFmtId="172" fontId="101" fillId="21" borderId="1" xfId="0" applyNumberFormat="1" applyFont="1" applyFill="1" applyBorder="1"/>
    <xf numFmtId="49" fontId="107" fillId="3" borderId="1" xfId="0" applyNumberFormat="1" applyFont="1" applyFill="1" applyBorder="1" applyAlignment="1">
      <alignment horizontal="center"/>
    </xf>
    <xf numFmtId="49" fontId="108" fillId="21" borderId="1" xfId="0" applyNumberFormat="1" applyFont="1" applyFill="1" applyBorder="1"/>
    <xf numFmtId="167" fontId="0" fillId="30" borderId="1" xfId="1" applyNumberFormat="1" applyFont="1" applyFill="1" applyBorder="1"/>
    <xf numFmtId="172" fontId="101" fillId="15" borderId="7" xfId="0" applyNumberFormat="1" applyFont="1" applyFill="1" applyBorder="1"/>
    <xf numFmtId="167" fontId="101" fillId="15" borderId="7" xfId="1" applyNumberFormat="1" applyFont="1" applyFill="1" applyBorder="1"/>
    <xf numFmtId="172" fontId="101" fillId="3" borderId="7" xfId="0" applyNumberFormat="1" applyFont="1" applyFill="1" applyBorder="1"/>
    <xf numFmtId="167" fontId="101" fillId="3" borderId="7" xfId="1" applyNumberFormat="1" applyFont="1" applyFill="1" applyBorder="1"/>
    <xf numFmtId="0" fontId="0" fillId="3" borderId="7" xfId="0" applyFill="1" applyBorder="1"/>
    <xf numFmtId="167" fontId="0" fillId="3" borderId="7" xfId="1" applyNumberFormat="1" applyFont="1" applyFill="1" applyBorder="1"/>
    <xf numFmtId="172" fontId="101" fillId="21" borderId="7" xfId="0" applyNumberFormat="1" applyFont="1" applyFill="1" applyBorder="1"/>
    <xf numFmtId="167" fontId="101" fillId="21" borderId="7" xfId="1" applyNumberFormat="1" applyFont="1" applyFill="1" applyBorder="1"/>
    <xf numFmtId="167" fontId="102" fillId="21" borderId="7" xfId="1" applyNumberFormat="1" applyFont="1" applyFill="1" applyBorder="1"/>
    <xf numFmtId="167" fontId="101" fillId="0" borderId="7" xfId="1" applyNumberFormat="1" applyFont="1" applyFill="1" applyBorder="1"/>
    <xf numFmtId="167" fontId="101" fillId="30" borderId="7" xfId="1" applyNumberFormat="1" applyFont="1" applyFill="1" applyBorder="1"/>
    <xf numFmtId="167" fontId="106" fillId="3" borderId="1" xfId="1" applyNumberFormat="1" applyFont="1" applyFill="1" applyBorder="1" applyAlignment="1">
      <alignment horizontal="center"/>
    </xf>
    <xf numFmtId="167" fontId="14" fillId="3" borderId="1" xfId="1" applyNumberFormat="1" applyFont="1" applyFill="1" applyBorder="1" applyAlignment="1">
      <alignment horizontal="center"/>
    </xf>
    <xf numFmtId="167" fontId="102" fillId="27" borderId="1" xfId="1" applyNumberFormat="1" applyFont="1" applyFill="1" applyBorder="1"/>
    <xf numFmtId="167" fontId="102" fillId="3" borderId="1" xfId="1" applyNumberFormat="1" applyFont="1" applyFill="1" applyBorder="1" applyAlignment="1"/>
    <xf numFmtId="167" fontId="5" fillId="21" borderId="1" xfId="1" applyNumberFormat="1" applyFont="1" applyFill="1" applyBorder="1"/>
    <xf numFmtId="167" fontId="101" fillId="3" borderId="1" xfId="1" applyNumberFormat="1" applyFont="1" applyFill="1" applyBorder="1" applyAlignment="1">
      <alignment horizontal="right"/>
    </xf>
    <xf numFmtId="49" fontId="102" fillId="19" borderId="1" xfId="0" applyNumberFormat="1" applyFont="1" applyFill="1" applyBorder="1"/>
    <xf numFmtId="167" fontId="102" fillId="19" borderId="1" xfId="1" applyNumberFormat="1" applyFont="1" applyFill="1" applyBorder="1"/>
    <xf numFmtId="172" fontId="101" fillId="0" borderId="1" xfId="0" applyNumberFormat="1" applyFont="1" applyBorder="1"/>
    <xf numFmtId="167" fontId="110" fillId="3" borderId="1" xfId="1" applyNumberFormat="1" applyFont="1" applyFill="1" applyBorder="1"/>
    <xf numFmtId="49" fontId="108" fillId="3" borderId="1" xfId="0" applyNumberFormat="1" applyFont="1" applyFill="1" applyBorder="1" applyAlignment="1">
      <alignment horizontal="center"/>
    </xf>
    <xf numFmtId="167" fontId="102" fillId="3" borderId="1" xfId="1" applyNumberFormat="1" applyFont="1" applyFill="1" applyBorder="1"/>
    <xf numFmtId="167" fontId="111" fillId="3" borderId="1" xfId="1" applyNumberFormat="1" applyFont="1" applyFill="1" applyBorder="1"/>
    <xf numFmtId="0" fontId="92" fillId="0" borderId="8" xfId="0" applyFont="1" applyBorder="1"/>
    <xf numFmtId="0" fontId="113" fillId="0" borderId="8" xfId="0" applyFont="1" applyBorder="1"/>
    <xf numFmtId="167" fontId="0" fillId="15" borderId="1" xfId="1" applyNumberFormat="1" applyFont="1" applyFill="1" applyBorder="1" applyAlignment="1">
      <alignment horizontal="center"/>
    </xf>
    <xf numFmtId="167" fontId="0" fillId="15" borderId="5" xfId="1" applyNumberFormat="1" applyFont="1" applyFill="1" applyBorder="1" applyAlignment="1">
      <alignment horizontal="center"/>
    </xf>
    <xf numFmtId="167" fontId="0" fillId="28" borderId="1" xfId="1" applyNumberFormat="1" applyFont="1" applyFill="1" applyBorder="1" applyAlignment="1">
      <alignment horizontal="center"/>
    </xf>
    <xf numFmtId="167" fontId="0" fillId="28" borderId="5" xfId="1" applyNumberFormat="1" applyFont="1" applyFill="1" applyBorder="1" applyAlignment="1">
      <alignment horizontal="center"/>
    </xf>
    <xf numFmtId="167" fontId="0" fillId="13" borderId="1" xfId="1" applyNumberFormat="1" applyFont="1" applyFill="1" applyBorder="1" applyAlignment="1">
      <alignment horizontal="center"/>
    </xf>
    <xf numFmtId="167" fontId="0" fillId="13" borderId="5" xfId="1" applyNumberFormat="1" applyFont="1" applyFill="1" applyBorder="1" applyAlignment="1">
      <alignment horizontal="center"/>
    </xf>
    <xf numFmtId="167" fontId="0" fillId="7" borderId="1" xfId="1" applyNumberFormat="1" applyFont="1" applyFill="1" applyBorder="1" applyAlignment="1">
      <alignment horizontal="center"/>
    </xf>
    <xf numFmtId="167" fontId="0" fillId="7" borderId="5" xfId="1" applyNumberFormat="1" applyFont="1" applyFill="1" applyBorder="1" applyAlignment="1">
      <alignment horizontal="center"/>
    </xf>
    <xf numFmtId="167" fontId="0" fillId="29" borderId="1" xfId="1" applyNumberFormat="1" applyFont="1" applyFill="1" applyBorder="1" applyAlignment="1">
      <alignment horizontal="center"/>
    </xf>
    <xf numFmtId="167" fontId="0" fillId="29" borderId="5" xfId="1" applyNumberFormat="1" applyFont="1" applyFill="1" applyBorder="1" applyAlignment="1">
      <alignment horizontal="center"/>
    </xf>
    <xf numFmtId="167" fontId="0" fillId="15" borderId="1" xfId="1" applyNumberFormat="1" applyFont="1" applyFill="1" applyBorder="1" applyAlignment="1">
      <alignment horizontal="center" wrapText="1"/>
    </xf>
    <xf numFmtId="167" fontId="0" fillId="28" borderId="1" xfId="1" applyNumberFormat="1" applyFont="1" applyFill="1" applyBorder="1" applyAlignment="1">
      <alignment horizontal="center" wrapText="1"/>
    </xf>
    <xf numFmtId="167" fontId="18" fillId="13" borderId="1" xfId="1" applyNumberFormat="1" applyFont="1" applyFill="1" applyBorder="1" applyAlignment="1">
      <alignment horizontal="center"/>
    </xf>
    <xf numFmtId="167" fontId="0" fillId="13" borderId="1" xfId="1" applyNumberFormat="1" applyFont="1" applyFill="1" applyBorder="1" applyAlignment="1">
      <alignment horizontal="center" wrapText="1"/>
    </xf>
    <xf numFmtId="167" fontId="0" fillId="7" borderId="1" xfId="1" applyNumberFormat="1" applyFont="1" applyFill="1" applyBorder="1" applyAlignment="1">
      <alignment horizontal="center" wrapText="1"/>
    </xf>
    <xf numFmtId="167" fontId="0" fillId="29" borderId="1" xfId="1" applyNumberFormat="1" applyFont="1" applyFill="1" applyBorder="1" applyAlignment="1">
      <alignment horizontal="center" wrapText="1"/>
    </xf>
    <xf numFmtId="49" fontId="102" fillId="0" borderId="0" xfId="0" applyNumberFormat="1" applyFont="1"/>
    <xf numFmtId="49" fontId="102" fillId="0" borderId="0" xfId="0" applyNumberFormat="1" applyFont="1" applyAlignment="1">
      <alignment horizontal="center"/>
    </xf>
    <xf numFmtId="49" fontId="102" fillId="0" borderId="0" xfId="0" applyNumberFormat="1" applyFont="1" applyAlignment="1">
      <alignment horizontal="center" wrapText="1"/>
    </xf>
    <xf numFmtId="172" fontId="101" fillId="0" borderId="0" xfId="0" applyNumberFormat="1" applyFont="1"/>
    <xf numFmtId="49" fontId="101" fillId="0" borderId="0" xfId="0" applyNumberFormat="1" applyFont="1"/>
    <xf numFmtId="167" fontId="101" fillId="0" borderId="0" xfId="1" applyNumberFormat="1" applyFont="1"/>
    <xf numFmtId="167" fontId="101" fillId="30" borderId="0" xfId="1" applyNumberFormat="1" applyFont="1" applyFill="1"/>
    <xf numFmtId="167" fontId="101" fillId="15" borderId="0" xfId="1" applyNumberFormat="1" applyFont="1" applyFill="1"/>
    <xf numFmtId="0" fontId="114" fillId="0" borderId="0" xfId="0" applyFont="1"/>
    <xf numFmtId="0" fontId="0" fillId="0" borderId="0" xfId="0" applyAlignment="1">
      <alignment wrapText="1"/>
    </xf>
    <xf numFmtId="167" fontId="101" fillId="0" borderId="0" xfId="1" applyNumberFormat="1" applyFont="1" applyBorder="1"/>
    <xf numFmtId="0" fontId="0" fillId="0" borderId="0" xfId="0" applyAlignment="1">
      <alignment horizontal="right"/>
    </xf>
    <xf numFmtId="167" fontId="0" fillId="0" borderId="0" xfId="1" applyNumberFormat="1" applyFont="1" applyAlignment="1">
      <alignment horizontal="right"/>
    </xf>
    <xf numFmtId="167" fontId="101" fillId="18" borderId="0" xfId="1" applyNumberFormat="1" applyFont="1" applyFill="1" applyBorder="1"/>
    <xf numFmtId="167" fontId="101" fillId="0" borderId="0" xfId="1" applyNumberFormat="1" applyFont="1" applyFill="1" applyBorder="1"/>
    <xf numFmtId="0" fontId="0" fillId="31" borderId="0" xfId="0" applyFill="1"/>
    <xf numFmtId="0" fontId="12" fillId="0" borderId="0" xfId="0" applyFont="1"/>
    <xf numFmtId="0" fontId="0" fillId="0" borderId="8" xfId="0" applyBorder="1"/>
    <xf numFmtId="167" fontId="0" fillId="0" borderId="8" xfId="1" applyNumberFormat="1" applyFont="1" applyBorder="1"/>
    <xf numFmtId="167" fontId="72" fillId="3" borderId="2" xfId="1" applyNumberFormat="1" applyFont="1" applyFill="1" applyBorder="1"/>
    <xf numFmtId="0" fontId="80" fillId="0" borderId="0" xfId="0" applyFont="1"/>
    <xf numFmtId="167" fontId="80" fillId="0" borderId="0" xfId="1" applyNumberFormat="1" applyFont="1"/>
    <xf numFmtId="167" fontId="84" fillId="0" borderId="0" xfId="1" applyNumberFormat="1" applyFont="1"/>
    <xf numFmtId="0" fontId="10" fillId="0" borderId="22" xfId="0" applyFont="1" applyBorder="1" applyAlignment="1">
      <alignment horizontal="left"/>
    </xf>
    <xf numFmtId="0" fontId="81" fillId="0" borderId="36" xfId="0" applyFont="1" applyBorder="1"/>
    <xf numFmtId="172" fontId="83" fillId="0" borderId="36" xfId="0" applyNumberFormat="1" applyFont="1" applyBorder="1"/>
    <xf numFmtId="172" fontId="72" fillId="0" borderId="36" xfId="0" applyNumberFormat="1" applyFont="1" applyBorder="1"/>
    <xf numFmtId="167" fontId="5" fillId="0" borderId="0" xfId="1" applyNumberFormat="1" applyFont="1"/>
    <xf numFmtId="0" fontId="5" fillId="0" borderId="6" xfId="0" applyFont="1" applyBorder="1"/>
    <xf numFmtId="167" fontId="5" fillId="0" borderId="6" xfId="1" applyNumberFormat="1" applyFont="1" applyBorder="1"/>
    <xf numFmtId="0" fontId="31" fillId="0" borderId="45" xfId="0" applyFont="1" applyBorder="1"/>
    <xf numFmtId="174" fontId="31" fillId="0" borderId="45" xfId="2" applyNumberFormat="1" applyFont="1" applyBorder="1"/>
    <xf numFmtId="167" fontId="102" fillId="21" borderId="1" xfId="1" applyNumberFormat="1" applyFont="1" applyFill="1" applyBorder="1" applyAlignment="1">
      <alignment horizontal="right"/>
    </xf>
    <xf numFmtId="167" fontId="102" fillId="22" borderId="1" xfId="1" applyNumberFormat="1" applyFont="1" applyFill="1" applyBorder="1"/>
    <xf numFmtId="167" fontId="18" fillId="3" borderId="1" xfId="1" applyNumberFormat="1" applyFont="1" applyFill="1" applyBorder="1" applyAlignment="1">
      <alignment horizontal="right"/>
    </xf>
    <xf numFmtId="167" fontId="101" fillId="27" borderId="1" xfId="1" applyNumberFormat="1" applyFont="1" applyFill="1" applyBorder="1"/>
    <xf numFmtId="0" fontId="102" fillId="3" borderId="1" xfId="0" applyFont="1" applyFill="1" applyBorder="1"/>
    <xf numFmtId="167" fontId="0" fillId="3" borderId="1" xfId="1" applyNumberFormat="1" applyFont="1" applyFill="1" applyBorder="1" applyAlignment="1">
      <alignment horizontal="right"/>
    </xf>
    <xf numFmtId="167" fontId="101" fillId="30" borderId="1" xfId="1" applyNumberFormat="1" applyFont="1" applyFill="1" applyBorder="1"/>
    <xf numFmtId="167" fontId="101" fillId="0" borderId="28" xfId="1" applyNumberFormat="1" applyFont="1" applyFill="1" applyBorder="1"/>
    <xf numFmtId="167" fontId="101" fillId="30" borderId="0" xfId="1" applyNumberFormat="1" applyFont="1" applyFill="1" applyBorder="1"/>
    <xf numFmtId="49" fontId="106" fillId="0" borderId="1" xfId="0" applyNumberFormat="1" applyFont="1" applyBorder="1" applyAlignment="1">
      <alignment horizontal="center"/>
    </xf>
    <xf numFmtId="49" fontId="102" fillId="0" borderId="1" xfId="0" applyNumberFormat="1" applyFont="1" applyBorder="1"/>
    <xf numFmtId="49" fontId="102" fillId="0" borderId="1" xfId="0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8" fillId="0" borderId="1" xfId="1" applyNumberFormat="1" applyFont="1" applyBorder="1"/>
    <xf numFmtId="49" fontId="111" fillId="3" borderId="1" xfId="0" applyNumberFormat="1" applyFont="1" applyFill="1" applyBorder="1"/>
    <xf numFmtId="172" fontId="6" fillId="0" borderId="0" xfId="0" applyNumberFormat="1" applyFont="1"/>
    <xf numFmtId="167" fontId="102" fillId="0" borderId="1" xfId="1" applyNumberFormat="1" applyFont="1" applyBorder="1" applyAlignment="1">
      <alignment horizontal="center"/>
    </xf>
    <xf numFmtId="167" fontId="97" fillId="0" borderId="1" xfId="1" applyNumberFormat="1" applyFont="1" applyBorder="1"/>
    <xf numFmtId="167" fontId="97" fillId="15" borderId="1" xfId="1" applyNumberFormat="1" applyFont="1" applyFill="1" applyBorder="1"/>
    <xf numFmtId="167" fontId="115" fillId="21" borderId="1" xfId="1" applyNumberFormat="1" applyFont="1" applyFill="1" applyBorder="1"/>
    <xf numFmtId="49" fontId="99" fillId="0" borderId="9" xfId="0" applyNumberFormat="1" applyFont="1" applyBorder="1" applyAlignment="1">
      <alignment horizontal="left"/>
    </xf>
    <xf numFmtId="0" fontId="11" fillId="0" borderId="9" xfId="0" applyFont="1" applyBorder="1"/>
    <xf numFmtId="167" fontId="11" fillId="0" borderId="9" xfId="1" applyNumberFormat="1" applyFont="1" applyFill="1" applyBorder="1"/>
    <xf numFmtId="49" fontId="108" fillId="0" borderId="0" xfId="0" applyNumberFormat="1" applyFont="1"/>
    <xf numFmtId="167" fontId="109" fillId="0" borderId="0" xfId="1" applyNumberFormat="1" applyFont="1" applyBorder="1"/>
    <xf numFmtId="167" fontId="109" fillId="0" borderId="0" xfId="1" applyNumberFormat="1" applyFont="1" applyFill="1" applyBorder="1"/>
    <xf numFmtId="172" fontId="109" fillId="0" borderId="0" xfId="0" applyNumberFormat="1" applyFont="1"/>
    <xf numFmtId="49" fontId="109" fillId="0" borderId="0" xfId="0" applyNumberFormat="1" applyFont="1"/>
    <xf numFmtId="49" fontId="108" fillId="0" borderId="6" xfId="0" applyNumberFormat="1" applyFont="1" applyBorder="1"/>
    <xf numFmtId="167" fontId="108" fillId="0" borderId="6" xfId="1" applyNumberFormat="1" applyFont="1" applyBorder="1"/>
    <xf numFmtId="167" fontId="0" fillId="21" borderId="6" xfId="1" applyNumberFormat="1" applyFont="1" applyFill="1" applyBorder="1"/>
    <xf numFmtId="172" fontId="101" fillId="21" borderId="6" xfId="0" applyNumberFormat="1" applyFont="1" applyFill="1" applyBorder="1"/>
    <xf numFmtId="167" fontId="101" fillId="21" borderId="6" xfId="1" applyNumberFormat="1" applyFont="1" applyFill="1" applyBorder="1"/>
    <xf numFmtId="167" fontId="101" fillId="18" borderId="7" xfId="1" applyNumberFormat="1" applyFont="1" applyFill="1" applyBorder="1"/>
    <xf numFmtId="167" fontId="102" fillId="3" borderId="1" xfId="1" applyNumberFormat="1" applyFont="1" applyFill="1" applyBorder="1" applyAlignment="1">
      <alignment horizontal="right"/>
    </xf>
    <xf numFmtId="167" fontId="101" fillId="22" borderId="1" xfId="1" applyNumberFormat="1" applyFont="1" applyFill="1" applyBorder="1"/>
    <xf numFmtId="167" fontId="101" fillId="3" borderId="28" xfId="1" applyNumberFormat="1" applyFont="1" applyFill="1" applyBorder="1"/>
    <xf numFmtId="167" fontId="103" fillId="0" borderId="1" xfId="1" applyNumberFormat="1" applyFont="1" applyBorder="1" applyAlignment="1">
      <alignment horizontal="left"/>
    </xf>
    <xf numFmtId="167" fontId="102" fillId="21" borderId="5" xfId="1" applyNumberFormat="1" applyFont="1" applyFill="1" applyBorder="1"/>
    <xf numFmtId="167" fontId="102" fillId="21" borderId="6" xfId="1" applyNumberFormat="1" applyFont="1" applyFill="1" applyBorder="1" applyAlignment="1">
      <alignment horizontal="right"/>
    </xf>
    <xf numFmtId="49" fontId="102" fillId="21" borderId="5" xfId="0" applyNumberFormat="1" applyFont="1" applyFill="1" applyBorder="1"/>
    <xf numFmtId="1" fontId="102" fillId="21" borderId="6" xfId="0" applyNumberFormat="1" applyFont="1" applyFill="1" applyBorder="1" applyAlignment="1">
      <alignment horizontal="right"/>
    </xf>
    <xf numFmtId="1" fontId="107" fillId="3" borderId="1" xfId="0" applyNumberFormat="1" applyFont="1" applyFill="1" applyBorder="1" applyAlignment="1">
      <alignment horizontal="center"/>
    </xf>
    <xf numFmtId="49" fontId="107" fillId="3" borderId="7" xfId="0" applyNumberFormat="1" applyFont="1" applyFill="1" applyBorder="1" applyAlignment="1">
      <alignment horizontal="center"/>
    </xf>
    <xf numFmtId="167" fontId="107" fillId="3" borderId="7" xfId="1" applyNumberFormat="1" applyFont="1" applyFill="1" applyBorder="1" applyAlignment="1">
      <alignment horizontal="center"/>
    </xf>
    <xf numFmtId="49" fontId="103" fillId="3" borderId="1" xfId="0" applyNumberFormat="1" applyFont="1" applyFill="1" applyBorder="1" applyAlignment="1">
      <alignment horizontal="left"/>
    </xf>
    <xf numFmtId="49" fontId="117" fillId="0" borderId="18" xfId="0" applyNumberFormat="1" applyFont="1" applyBorder="1" applyAlignment="1">
      <alignment horizontal="left"/>
    </xf>
    <xf numFmtId="49" fontId="117" fillId="0" borderId="20" xfId="0" applyNumberFormat="1" applyFont="1" applyBorder="1" applyAlignment="1">
      <alignment horizontal="left"/>
    </xf>
    <xf numFmtId="49" fontId="111" fillId="0" borderId="1" xfId="0" applyNumberFormat="1" applyFont="1" applyBorder="1"/>
    <xf numFmtId="167" fontId="101" fillId="0" borderId="11" xfId="1" applyNumberFormat="1" applyFont="1" applyBorder="1"/>
    <xf numFmtId="167" fontId="101" fillId="18" borderId="11" xfId="1" applyNumberFormat="1" applyFont="1" applyFill="1" applyBorder="1"/>
    <xf numFmtId="167" fontId="101" fillId="6" borderId="11" xfId="1" applyNumberFormat="1" applyFont="1" applyFill="1" applyBorder="1"/>
    <xf numFmtId="0" fontId="114" fillId="0" borderId="12" xfId="0" applyFont="1" applyBorder="1"/>
    <xf numFmtId="49" fontId="101" fillId="0" borderId="13" xfId="0" applyNumberFormat="1" applyFont="1" applyBorder="1"/>
    <xf numFmtId="49" fontId="101" fillId="0" borderId="13" xfId="0" applyNumberFormat="1" applyFont="1" applyBorder="1" applyAlignment="1">
      <alignment horizontal="left" indent="2"/>
    </xf>
    <xf numFmtId="167" fontId="101" fillId="0" borderId="16" xfId="1" applyNumberFormat="1" applyFont="1" applyBorder="1"/>
    <xf numFmtId="167" fontId="101" fillId="30" borderId="16" xfId="1" applyNumberFormat="1" applyFont="1" applyFill="1" applyBorder="1"/>
    <xf numFmtId="49" fontId="101" fillId="0" borderId="15" xfId="0" applyNumberFormat="1" applyFont="1" applyBorder="1" applyAlignment="1">
      <alignment horizontal="left"/>
    </xf>
    <xf numFmtId="0" fontId="14" fillId="0" borderId="26" xfId="0" applyFont="1" applyBorder="1" applyAlignment="1">
      <alignment horizontal="center"/>
    </xf>
    <xf numFmtId="0" fontId="14" fillId="0" borderId="32" xfId="0" applyFont="1" applyBorder="1" applyAlignment="1">
      <alignment horizontal="center" wrapText="1"/>
    </xf>
    <xf numFmtId="167" fontId="0" fillId="0" borderId="32" xfId="1" applyNumberFormat="1" applyFont="1" applyBorder="1"/>
    <xf numFmtId="174" fontId="0" fillId="0" borderId="16" xfId="2" applyNumberFormat="1" applyFont="1" applyBorder="1"/>
    <xf numFmtId="174" fontId="0" fillId="0" borderId="46" xfId="2" applyNumberFormat="1" applyFont="1" applyBorder="1"/>
    <xf numFmtId="174" fontId="0" fillId="0" borderId="17" xfId="2" applyNumberFormat="1" applyFont="1" applyBorder="1"/>
    <xf numFmtId="174" fontId="0" fillId="14" borderId="0" xfId="2" applyNumberFormat="1" applyFont="1" applyFill="1"/>
    <xf numFmtId="174" fontId="0" fillId="24" borderId="15" xfId="2" applyNumberFormat="1" applyFont="1" applyFill="1" applyBorder="1"/>
    <xf numFmtId="174" fontId="0" fillId="24" borderId="17" xfId="2" applyNumberFormat="1" applyFont="1" applyFill="1" applyBorder="1"/>
    <xf numFmtId="174" fontId="0" fillId="14" borderId="16" xfId="2" applyNumberFormat="1" applyFont="1" applyFill="1" applyBorder="1"/>
    <xf numFmtId="174" fontId="0" fillId="26" borderId="15" xfId="2" applyNumberFormat="1" applyFont="1" applyFill="1" applyBorder="1"/>
    <xf numFmtId="174" fontId="0" fillId="26" borderId="17" xfId="2" applyNumberFormat="1" applyFont="1" applyFill="1" applyBorder="1"/>
    <xf numFmtId="174" fontId="0" fillId="0" borderId="0" xfId="2" applyNumberFormat="1" applyFont="1"/>
    <xf numFmtId="167" fontId="0" fillId="17" borderId="1" xfId="1" applyNumberFormat="1" applyFont="1" applyFill="1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166" fontId="58" fillId="17" borderId="0" xfId="0" applyNumberFormat="1" applyFont="1" applyFill="1" applyAlignment="1">
      <alignment horizontal="center" vertical="center" wrapText="1"/>
    </xf>
    <xf numFmtId="167" fontId="66" fillId="18" borderId="0" xfId="1" applyNumberFormat="1" applyFont="1" applyFill="1" applyAlignment="1">
      <alignment horizontal="center" vertical="center"/>
    </xf>
    <xf numFmtId="167" fontId="18" fillId="18" borderId="0" xfId="1" applyNumberFormat="1" applyFont="1" applyFill="1" applyAlignment="1">
      <alignment horizontal="center" vertical="center"/>
    </xf>
    <xf numFmtId="167" fontId="18" fillId="18" borderId="0" xfId="1" applyNumberFormat="1" applyFont="1" applyFill="1" applyAlignment="1">
      <alignment horizontal="right" vertical="center"/>
    </xf>
    <xf numFmtId="167" fontId="18" fillId="18" borderId="0" xfId="1" applyNumberFormat="1" applyFont="1" applyFill="1" applyAlignment="1">
      <alignment horizontal="center" vertical="center" wrapText="1"/>
    </xf>
    <xf numFmtId="167" fontId="66" fillId="17" borderId="0" xfId="1" applyNumberFormat="1" applyFont="1" applyFill="1" applyAlignment="1">
      <alignment horizontal="center" vertical="center"/>
    </xf>
    <xf numFmtId="174" fontId="66" fillId="0" borderId="0" xfId="2" applyNumberFormat="1" applyFont="1" applyAlignment="1">
      <alignment horizontal="center" vertical="center"/>
    </xf>
    <xf numFmtId="167" fontId="101" fillId="17" borderId="1" xfId="1" applyNumberFormat="1" applyFont="1" applyFill="1" applyBorder="1"/>
    <xf numFmtId="49" fontId="102" fillId="0" borderId="10" xfId="0" applyNumberFormat="1" applyFont="1" applyBorder="1"/>
    <xf numFmtId="49" fontId="108" fillId="0" borderId="8" xfId="0" applyNumberFormat="1" applyFont="1" applyBorder="1"/>
    <xf numFmtId="167" fontId="108" fillId="0" borderId="8" xfId="1" applyNumberFormat="1" applyFont="1" applyFill="1" applyBorder="1"/>
    <xf numFmtId="167" fontId="108" fillId="0" borderId="8" xfId="1" applyNumberFormat="1" applyFont="1" applyBorder="1"/>
    <xf numFmtId="167" fontId="101" fillId="0" borderId="11" xfId="1" applyNumberFormat="1" applyFont="1" applyFill="1" applyBorder="1"/>
    <xf numFmtId="0" fontId="0" fillId="0" borderId="14" xfId="0" applyBorder="1" applyAlignment="1">
      <alignment wrapText="1"/>
    </xf>
    <xf numFmtId="49" fontId="101" fillId="0" borderId="15" xfId="0" applyNumberFormat="1" applyFont="1" applyBorder="1" applyAlignment="1">
      <alignment horizontal="left" indent="2"/>
    </xf>
    <xf numFmtId="0" fontId="0" fillId="0" borderId="17" xfId="0" applyBorder="1" applyAlignment="1">
      <alignment wrapText="1"/>
    </xf>
    <xf numFmtId="167" fontId="0" fillId="30" borderId="32" xfId="1" applyNumberFormat="1" applyFont="1" applyFill="1" applyBorder="1"/>
    <xf numFmtId="9" fontId="0" fillId="0" borderId="0" xfId="0" applyNumberFormat="1"/>
    <xf numFmtId="167" fontId="18" fillId="32" borderId="1" xfId="1" applyNumberFormat="1" applyFont="1" applyFill="1" applyBorder="1"/>
    <xf numFmtId="167" fontId="101" fillId="32" borderId="1" xfId="1" applyNumberFormat="1" applyFont="1" applyFill="1" applyBorder="1"/>
    <xf numFmtId="166" fontId="18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horizontal="center" vertical="center"/>
    </xf>
    <xf numFmtId="167" fontId="18" fillId="17" borderId="0" xfId="1" applyNumberFormat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67" fillId="18" borderId="0" xfId="0" applyFont="1" applyFill="1" applyAlignment="1">
      <alignment horizontal="center" vertical="center" wrapText="1"/>
    </xf>
    <xf numFmtId="166" fontId="67" fillId="18" borderId="0" xfId="0" applyNumberFormat="1" applyFont="1" applyFill="1" applyAlignment="1">
      <alignment horizontal="center" vertical="center" wrapText="1"/>
    </xf>
    <xf numFmtId="166" fontId="67" fillId="17" borderId="0" xfId="0" applyNumberFormat="1" applyFont="1" applyFill="1" applyAlignment="1">
      <alignment horizontal="center" vertical="center" wrapText="1"/>
    </xf>
    <xf numFmtId="9" fontId="18" fillId="18" borderId="0" xfId="1" applyNumberFormat="1" applyFont="1" applyFill="1" applyAlignment="1">
      <alignment horizontal="right" vertical="center"/>
    </xf>
    <xf numFmtId="9" fontId="18" fillId="18" borderId="0" xfId="1" applyNumberFormat="1" applyFont="1" applyFill="1" applyAlignment="1">
      <alignment vertical="center"/>
    </xf>
    <xf numFmtId="9" fontId="18" fillId="17" borderId="0" xfId="1" applyNumberFormat="1" applyFont="1" applyFill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5" applyFont="1" applyAlignment="1">
      <alignment vertical="center"/>
    </xf>
    <xf numFmtId="9" fontId="5" fillId="0" borderId="0" xfId="5" applyFont="1" applyAlignment="1">
      <alignment vertical="center"/>
    </xf>
    <xf numFmtId="0" fontId="18" fillId="8" borderId="13" xfId="0" applyFont="1" applyFill="1" applyBorder="1"/>
    <xf numFmtId="0" fontId="18" fillId="8" borderId="0" xfId="0" applyFont="1" applyFill="1" applyAlignment="1">
      <alignment horizontal="center"/>
    </xf>
    <xf numFmtId="1" fontId="18" fillId="8" borderId="0" xfId="0" applyNumberFormat="1" applyFont="1" applyFill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8" fillId="8" borderId="0" xfId="0" applyFont="1" applyFill="1"/>
    <xf numFmtId="2" fontId="18" fillId="8" borderId="0" xfId="0" applyNumberFormat="1" applyFont="1" applyFill="1"/>
    <xf numFmtId="3" fontId="18" fillId="8" borderId="14" xfId="2" applyNumberFormat="1" applyFont="1" applyFill="1" applyBorder="1"/>
    <xf numFmtId="0" fontId="18" fillId="8" borderId="14" xfId="0" applyFont="1" applyFill="1" applyBorder="1"/>
    <xf numFmtId="0" fontId="18" fillId="8" borderId="15" xfId="0" applyFont="1" applyFill="1" applyBorder="1"/>
    <xf numFmtId="0" fontId="18" fillId="8" borderId="16" xfId="0" applyFont="1" applyFill="1" applyBorder="1"/>
    <xf numFmtId="2" fontId="18" fillId="8" borderId="16" xfId="0" applyNumberFormat="1" applyFont="1" applyFill="1" applyBorder="1"/>
    <xf numFmtId="3" fontId="18" fillId="8" borderId="17" xfId="2" applyNumberFormat="1" applyFont="1" applyFill="1" applyBorder="1"/>
    <xf numFmtId="169" fontId="18" fillId="8" borderId="0" xfId="0" applyNumberFormat="1" applyFont="1" applyFill="1"/>
    <xf numFmtId="169" fontId="18" fillId="8" borderId="16" xfId="0" applyNumberFormat="1" applyFont="1" applyFill="1" applyBorder="1"/>
    <xf numFmtId="167" fontId="18" fillId="8" borderId="0" xfId="1" applyNumberFormat="1" applyFont="1" applyFill="1" applyBorder="1"/>
    <xf numFmtId="167" fontId="18" fillId="8" borderId="16" xfId="1" applyNumberFormat="1" applyFont="1" applyFill="1" applyBorder="1"/>
    <xf numFmtId="167" fontId="101" fillId="17" borderId="7" xfId="1" applyNumberFormat="1" applyFont="1" applyFill="1" applyBorder="1"/>
    <xf numFmtId="167" fontId="18" fillId="17" borderId="1" xfId="1" applyNumberFormat="1" applyFont="1" applyFill="1" applyBorder="1"/>
    <xf numFmtId="16" fontId="0" fillId="0" borderId="0" xfId="0" applyNumberFormat="1"/>
    <xf numFmtId="16" fontId="1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" fontId="0" fillId="0" borderId="8" xfId="0" applyNumberFormat="1" applyBorder="1"/>
    <xf numFmtId="16" fontId="0" fillId="0" borderId="30" xfId="0" applyNumberFormat="1" applyBorder="1"/>
    <xf numFmtId="0" fontId="0" fillId="0" borderId="30" xfId="0" applyBorder="1"/>
    <xf numFmtId="0" fontId="0" fillId="0" borderId="36" xfId="0" applyBorder="1"/>
    <xf numFmtId="0" fontId="18" fillId="0" borderId="47" xfId="0" applyFont="1" applyBorder="1"/>
    <xf numFmtId="166" fontId="18" fillId="0" borderId="47" xfId="0" applyNumberFormat="1" applyFont="1" applyBorder="1"/>
    <xf numFmtId="0" fontId="0" fillId="0" borderId="31" xfId="0" applyBorder="1"/>
    <xf numFmtId="166" fontId="0" fillId="0" borderId="48" xfId="0" applyNumberFormat="1" applyBorder="1"/>
    <xf numFmtId="167" fontId="0" fillId="0" borderId="8" xfId="1" applyNumberFormat="1" applyFont="1" applyFill="1" applyBorder="1"/>
    <xf numFmtId="167" fontId="0" fillId="0" borderId="30" xfId="1" applyNumberFormat="1" applyFont="1" applyFill="1" applyBorder="1"/>
    <xf numFmtId="167" fontId="0" fillId="0" borderId="0" xfId="1" applyNumberFormat="1" applyFont="1" applyFill="1" applyBorder="1" applyAlignment="1">
      <alignment horizontal="right" vertical="center"/>
    </xf>
    <xf numFmtId="167" fontId="0" fillId="0" borderId="0" xfId="1" applyNumberFormat="1" applyFont="1" applyFill="1" applyBorder="1" applyAlignment="1">
      <alignment vertical="center"/>
    </xf>
    <xf numFmtId="174" fontId="12" fillId="0" borderId="0" xfId="2" applyNumberFormat="1" applyFont="1" applyFill="1" applyBorder="1"/>
    <xf numFmtId="167" fontId="0" fillId="0" borderId="8" xfId="1" applyNumberFormat="1" applyFont="1" applyFill="1" applyBorder="1" applyAlignment="1">
      <alignment horizontal="right"/>
    </xf>
    <xf numFmtId="0" fontId="31" fillId="0" borderId="8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164" fontId="0" fillId="0" borderId="0" xfId="0" applyNumberFormat="1"/>
    <xf numFmtId="167" fontId="0" fillId="26" borderId="0" xfId="1" applyNumberFormat="1" applyFont="1" applyFill="1" applyBorder="1" applyProtection="1">
      <protection locked="0"/>
    </xf>
    <xf numFmtId="177" fontId="0" fillId="26" borderId="0" xfId="0" applyNumberFormat="1" applyFill="1" applyProtection="1">
      <protection locked="0"/>
    </xf>
    <xf numFmtId="177" fontId="0" fillId="26" borderId="0" xfId="0" applyNumberFormat="1" applyFill="1"/>
    <xf numFmtId="0" fontId="0" fillId="33" borderId="0" xfId="0" applyFill="1"/>
    <xf numFmtId="167" fontId="0" fillId="33" borderId="0" xfId="1" applyNumberFormat="1" applyFont="1" applyFill="1" applyBorder="1"/>
    <xf numFmtId="167" fontId="0" fillId="31" borderId="0" xfId="1" applyNumberFormat="1" applyFont="1" applyFill="1" applyBorder="1"/>
    <xf numFmtId="0" fontId="56" fillId="0" borderId="6" xfId="0" applyFont="1" applyBorder="1" applyAlignment="1">
      <alignment horizontal="center"/>
    </xf>
    <xf numFmtId="0" fontId="116" fillId="0" borderId="6" xfId="0" applyFont="1" applyBorder="1" applyAlignment="1">
      <alignment horizontal="center"/>
    </xf>
    <xf numFmtId="0" fontId="116" fillId="26" borderId="8" xfId="0" applyFont="1" applyFill="1" applyBorder="1" applyAlignment="1">
      <alignment horizontal="center"/>
    </xf>
    <xf numFmtId="0" fontId="119" fillId="26" borderId="0" xfId="0" applyFont="1" applyFill="1"/>
    <xf numFmtId="0" fontId="0" fillId="33" borderId="8" xfId="0" applyFill="1" applyBorder="1"/>
    <xf numFmtId="0" fontId="45" fillId="33" borderId="8" xfId="0" applyFont="1" applyFill="1" applyBorder="1"/>
    <xf numFmtId="0" fontId="11" fillId="33" borderId="8" xfId="0" applyFont="1" applyFill="1" applyBorder="1" applyAlignment="1">
      <alignment horizontal="center"/>
    </xf>
    <xf numFmtId="0" fontId="0" fillId="26" borderId="6" xfId="0" applyFill="1" applyBorder="1"/>
    <xf numFmtId="167" fontId="0" fillId="26" borderId="6" xfId="1" applyNumberFormat="1" applyFont="1" applyFill="1" applyBorder="1"/>
    <xf numFmtId="167" fontId="5" fillId="0" borderId="6" xfId="1" applyNumberFormat="1" applyFont="1" applyFill="1" applyBorder="1"/>
    <xf numFmtId="0" fontId="5" fillId="31" borderId="8" xfId="0" applyFont="1" applyFill="1" applyBorder="1" applyAlignment="1">
      <alignment horizontal="right"/>
    </xf>
    <xf numFmtId="167" fontId="5" fillId="31" borderId="8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9" fontId="4" fillId="3" borderId="1" xfId="0" applyNumberFormat="1" applyFont="1" applyFill="1" applyBorder="1"/>
    <xf numFmtId="0" fontId="58" fillId="0" borderId="47" xfId="0" applyFont="1" applyBorder="1" applyAlignment="1">
      <alignment horizontal="center" wrapText="1"/>
    </xf>
    <xf numFmtId="0" fontId="14" fillId="0" borderId="36" xfId="0" applyFont="1" applyBorder="1" applyAlignment="1">
      <alignment horizontal="left"/>
    </xf>
    <xf numFmtId="167" fontId="102" fillId="0" borderId="1" xfId="1" applyNumberFormat="1" applyFont="1" applyFill="1" applyBorder="1" applyAlignment="1">
      <alignment horizontal="right"/>
    </xf>
    <xf numFmtId="167" fontId="101" fillId="0" borderId="1" xfId="1" applyNumberFormat="1" applyFont="1" applyFill="1" applyBorder="1" applyAlignment="1">
      <alignment horizontal="right"/>
    </xf>
    <xf numFmtId="49" fontId="101" fillId="3" borderId="1" xfId="0" applyNumberFormat="1" applyFont="1" applyFill="1" applyBorder="1" applyAlignment="1">
      <alignment horizontal="left" indent="1"/>
    </xf>
    <xf numFmtId="49" fontId="99" fillId="25" borderId="1" xfId="0" applyNumberFormat="1" applyFont="1" applyFill="1" applyBorder="1"/>
    <xf numFmtId="167" fontId="99" fillId="25" borderId="1" xfId="1" applyNumberFormat="1" applyFont="1" applyFill="1" applyBorder="1"/>
    <xf numFmtId="167" fontId="98" fillId="25" borderId="1" xfId="1" applyNumberFormat="1" applyFont="1" applyFill="1" applyBorder="1"/>
    <xf numFmtId="167" fontId="108" fillId="25" borderId="1" xfId="1" applyNumberFormat="1" applyFont="1" applyFill="1" applyBorder="1"/>
    <xf numFmtId="49" fontId="108" fillId="25" borderId="1" xfId="0" applyNumberFormat="1" applyFont="1" applyFill="1" applyBorder="1"/>
    <xf numFmtId="167" fontId="109" fillId="25" borderId="1" xfId="1" applyNumberFormat="1" applyFont="1" applyFill="1" applyBorder="1"/>
    <xf numFmtId="167" fontId="8" fillId="25" borderId="1" xfId="1" applyNumberFormat="1" applyFont="1" applyFill="1" applyBorder="1"/>
    <xf numFmtId="0" fontId="110" fillId="3" borderId="1" xfId="0" applyFont="1" applyFill="1" applyBorder="1"/>
    <xf numFmtId="167" fontId="0" fillId="30" borderId="1" xfId="1" applyNumberFormat="1" applyFont="1" applyFill="1" applyBorder="1" applyAlignment="1">
      <alignment vertical="center"/>
    </xf>
    <xf numFmtId="49" fontId="116" fillId="25" borderId="1" xfId="0" applyNumberFormat="1" applyFont="1" applyFill="1" applyBorder="1"/>
    <xf numFmtId="172" fontId="18" fillId="25" borderId="1" xfId="0" applyNumberFormat="1" applyFont="1" applyFill="1" applyBorder="1"/>
    <xf numFmtId="0" fontId="18" fillId="25" borderId="1" xfId="0" applyFont="1" applyFill="1" applyBorder="1"/>
    <xf numFmtId="167" fontId="0" fillId="25" borderId="1" xfId="1" applyNumberFormat="1" applyFont="1" applyFill="1" applyBorder="1"/>
    <xf numFmtId="167" fontId="101" fillId="0" borderId="16" xfId="1" applyNumberFormat="1" applyFont="1" applyFill="1" applyBorder="1"/>
    <xf numFmtId="167" fontId="101" fillId="0" borderId="0" xfId="1" applyNumberFormat="1" applyFont="1" applyFill="1"/>
    <xf numFmtId="0" fontId="0" fillId="0" borderId="12" xfId="0" applyBorder="1"/>
    <xf numFmtId="49" fontId="102" fillId="0" borderId="10" xfId="0" applyNumberFormat="1" applyFont="1" applyBorder="1" applyAlignment="1">
      <alignment horizontal="left"/>
    </xf>
    <xf numFmtId="0" fontId="114" fillId="0" borderId="14" xfId="0" applyFont="1" applyBorder="1"/>
    <xf numFmtId="167" fontId="4" fillId="3" borderId="1" xfId="1" applyNumberFormat="1" applyFont="1" applyFill="1" applyBorder="1"/>
    <xf numFmtId="167" fontId="108" fillId="26" borderId="1" xfId="1" applyNumberFormat="1" applyFont="1" applyFill="1" applyBorder="1"/>
    <xf numFmtId="167" fontId="109" fillId="26" borderId="1" xfId="1" applyNumberFormat="1" applyFont="1" applyFill="1" applyBorder="1"/>
    <xf numFmtId="167" fontId="108" fillId="26" borderId="1" xfId="1" applyNumberFormat="1" applyFont="1" applyFill="1" applyBorder="1" applyAlignment="1">
      <alignment horizontal="right"/>
    </xf>
    <xf numFmtId="167" fontId="99" fillId="26" borderId="1" xfId="1" applyNumberFormat="1" applyFont="1" applyFill="1" applyBorder="1"/>
    <xf numFmtId="167" fontId="0" fillId="0" borderId="16" xfId="1" applyNumberFormat="1" applyFont="1" applyBorder="1"/>
    <xf numFmtId="3" fontId="0" fillId="0" borderId="8" xfId="0" applyNumberFormat="1" applyBorder="1"/>
    <xf numFmtId="9" fontId="0" fillId="0" borderId="16" xfId="5" applyFont="1" applyBorder="1"/>
    <xf numFmtId="4" fontId="0" fillId="0" borderId="8" xfId="0" applyNumberFormat="1" applyBorder="1"/>
    <xf numFmtId="49" fontId="102" fillId="0" borderId="42" xfId="0" applyNumberFormat="1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08" fillId="26" borderId="1" xfId="0" applyNumberFormat="1" applyFont="1" applyFill="1" applyBorder="1"/>
    <xf numFmtId="172" fontId="109" fillId="26" borderId="1" xfId="0" applyNumberFormat="1" applyFont="1" applyFill="1" applyBorder="1"/>
    <xf numFmtId="1" fontId="108" fillId="26" borderId="1" xfId="0" applyNumberFormat="1" applyFont="1" applyFill="1" applyBorder="1" applyAlignment="1">
      <alignment horizontal="right"/>
    </xf>
    <xf numFmtId="167" fontId="109" fillId="26" borderId="7" xfId="1" applyNumberFormat="1" applyFont="1" applyFill="1" applyBorder="1"/>
    <xf numFmtId="172" fontId="109" fillId="26" borderId="7" xfId="0" applyNumberFormat="1" applyFont="1" applyFill="1" applyBorder="1"/>
    <xf numFmtId="172" fontId="108" fillId="26" borderId="7" xfId="0" applyNumberFormat="1" applyFont="1" applyFill="1" applyBorder="1"/>
    <xf numFmtId="167" fontId="108" fillId="26" borderId="7" xfId="1" applyNumberFormat="1" applyFont="1" applyFill="1" applyBorder="1"/>
    <xf numFmtId="0" fontId="108" fillId="26" borderId="1" xfId="0" applyFont="1" applyFill="1" applyBorder="1"/>
    <xf numFmtId="49" fontId="99" fillId="26" borderId="1" xfId="0" applyNumberFormat="1" applyFont="1" applyFill="1" applyBorder="1"/>
    <xf numFmtId="167" fontId="99" fillId="26" borderId="7" xfId="1" applyNumberFormat="1" applyFont="1" applyFill="1" applyBorder="1"/>
    <xf numFmtId="0" fontId="5" fillId="0" borderId="8" xfId="0" applyFont="1" applyBorder="1"/>
    <xf numFmtId="167" fontId="5" fillId="0" borderId="8" xfId="1" applyNumberFormat="1" applyFont="1" applyBorder="1"/>
    <xf numFmtId="0" fontId="0" fillId="24" borderId="8" xfId="0" applyFill="1" applyBorder="1"/>
    <xf numFmtId="167" fontId="0" fillId="24" borderId="8" xfId="1" applyNumberFormat="1" applyFont="1" applyFill="1" applyBorder="1"/>
    <xf numFmtId="0" fontId="5" fillId="24" borderId="8" xfId="0" applyFont="1" applyFill="1" applyBorder="1"/>
    <xf numFmtId="167" fontId="5" fillId="24" borderId="8" xfId="1" applyNumberFormat="1" applyFont="1" applyFill="1" applyBorder="1"/>
    <xf numFmtId="0" fontId="5" fillId="26" borderId="8" xfId="0" applyFont="1" applyFill="1" applyBorder="1"/>
    <xf numFmtId="167" fontId="5" fillId="26" borderId="8" xfId="1" applyNumberFormat="1" applyFont="1" applyFill="1" applyBorder="1"/>
    <xf numFmtId="0" fontId="31" fillId="0" borderId="0" xfId="1" applyNumberFormat="1" applyFont="1" applyAlignment="1">
      <alignment horizontal="right"/>
    </xf>
    <xf numFmtId="49" fontId="101" fillId="0" borderId="8" xfId="0" applyNumberFormat="1" applyFont="1" applyBorder="1"/>
    <xf numFmtId="167" fontId="101" fillId="0" borderId="8" xfId="1" applyNumberFormat="1" applyFont="1" applyBorder="1"/>
    <xf numFmtId="167" fontId="101" fillId="0" borderId="8" xfId="1" applyNumberFormat="1" applyFont="1" applyFill="1" applyBorder="1"/>
    <xf numFmtId="167" fontId="101" fillId="30" borderId="8" xfId="1" applyNumberFormat="1" applyFont="1" applyFill="1" applyBorder="1"/>
    <xf numFmtId="49" fontId="109" fillId="0" borderId="6" xfId="0" applyNumberFormat="1" applyFont="1" applyBorder="1"/>
    <xf numFmtId="167" fontId="109" fillId="0" borderId="6" xfId="1" applyNumberFormat="1" applyFont="1" applyBorder="1"/>
    <xf numFmtId="167" fontId="109" fillId="0" borderId="6" xfId="1" applyNumberFormat="1" applyFont="1" applyFill="1" applyBorder="1"/>
    <xf numFmtId="167" fontId="108" fillId="30" borderId="6" xfId="1" applyNumberFormat="1" applyFont="1" applyFill="1" applyBorder="1"/>
    <xf numFmtId="167" fontId="5" fillId="0" borderId="0" xfId="1" applyNumberFormat="1" applyFont="1" applyFill="1" applyBorder="1"/>
    <xf numFmtId="0" fontId="31" fillId="24" borderId="8" xfId="0" applyFont="1" applyFill="1" applyBorder="1"/>
    <xf numFmtId="0" fontId="31" fillId="26" borderId="8" xfId="0" applyFont="1" applyFill="1" applyBorder="1"/>
    <xf numFmtId="0" fontId="5" fillId="26" borderId="6" xfId="0" applyFont="1" applyFill="1" applyBorder="1"/>
    <xf numFmtId="167" fontId="5" fillId="26" borderId="6" xfId="1" applyNumberFormat="1" applyFont="1" applyFill="1" applyBorder="1"/>
    <xf numFmtId="167" fontId="0" fillId="0" borderId="0" xfId="0" applyNumberFormat="1"/>
    <xf numFmtId="0" fontId="12" fillId="0" borderId="8" xfId="0" applyFont="1" applyBorder="1" applyAlignment="1">
      <alignment horizontal="center"/>
    </xf>
    <xf numFmtId="0" fontId="12" fillId="25" borderId="8" xfId="0" applyFont="1" applyFill="1" applyBorder="1" applyAlignment="1">
      <alignment horizontal="center"/>
    </xf>
    <xf numFmtId="49" fontId="104" fillId="25" borderId="1" xfId="0" applyNumberFormat="1" applyFont="1" applyFill="1" applyBorder="1" applyAlignment="1">
      <alignment horizontal="center"/>
    </xf>
    <xf numFmtId="49" fontId="104" fillId="18" borderId="5" xfId="0" applyNumberFormat="1" applyFont="1" applyFill="1" applyBorder="1" applyAlignment="1">
      <alignment horizontal="center"/>
    </xf>
    <xf numFmtId="49" fontId="104" fillId="18" borderId="6" xfId="0" applyNumberFormat="1" applyFont="1" applyFill="1" applyBorder="1" applyAlignment="1">
      <alignment horizontal="center"/>
    </xf>
    <xf numFmtId="49" fontId="104" fillId="18" borderId="7" xfId="0" applyNumberFormat="1" applyFont="1" applyFill="1" applyBorder="1" applyAlignment="1">
      <alignment horizontal="center"/>
    </xf>
    <xf numFmtId="49" fontId="112" fillId="25" borderId="5" xfId="0" applyNumberFormat="1" applyFont="1" applyFill="1" applyBorder="1" applyAlignment="1">
      <alignment horizontal="center"/>
    </xf>
    <xf numFmtId="49" fontId="112" fillId="25" borderId="6" xfId="0" applyNumberFormat="1" applyFont="1" applyFill="1" applyBorder="1" applyAlignment="1">
      <alignment horizontal="center"/>
    </xf>
    <xf numFmtId="49" fontId="112" fillId="25" borderId="7" xfId="0" applyNumberFormat="1" applyFont="1" applyFill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6" fontId="18" fillId="3" borderId="29" xfId="0" applyNumberFormat="1" applyFont="1" applyFill="1" applyBorder="1" applyAlignment="1">
      <alignment horizontal="right" vertical="center"/>
    </xf>
    <xf numFmtId="166" fontId="18" fillId="3" borderId="2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8" fillId="3" borderId="29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18" fillId="3" borderId="29" xfId="0" applyNumberFormat="1" applyFont="1" applyFill="1" applyBorder="1" applyAlignment="1">
      <alignment horizontal="left" vertical="center" indent="1"/>
    </xf>
    <xf numFmtId="166" fontId="18" fillId="3" borderId="28" xfId="0" applyNumberFormat="1" applyFont="1" applyFill="1" applyBorder="1" applyAlignment="1">
      <alignment horizontal="left" vertical="center" indent="1"/>
    </xf>
    <xf numFmtId="0" fontId="25" fillId="0" borderId="0" xfId="0" applyFont="1" applyAlignment="1">
      <alignment horizontal="center"/>
    </xf>
    <xf numFmtId="166" fontId="18" fillId="20" borderId="0" xfId="0" applyNumberFormat="1" applyFont="1" applyFill="1" applyAlignment="1">
      <alignment horizontal="center" vertical="center"/>
    </xf>
    <xf numFmtId="167" fontId="0" fillId="15" borderId="29" xfId="1" applyNumberFormat="1" applyFont="1" applyFill="1" applyBorder="1" applyAlignment="1">
      <alignment horizontal="center" vertical="center" wrapText="1"/>
    </xf>
    <xf numFmtId="167" fontId="0" fillId="15" borderId="28" xfId="1" applyNumberFormat="1" applyFont="1" applyFill="1" applyBorder="1" applyAlignment="1">
      <alignment horizontal="center" vertical="center" wrapText="1"/>
    </xf>
    <xf numFmtId="167" fontId="0" fillId="15" borderId="29" xfId="1" applyNumberFormat="1" applyFont="1" applyFill="1" applyBorder="1" applyAlignment="1">
      <alignment horizontal="center" vertical="center"/>
    </xf>
    <xf numFmtId="167" fontId="0" fillId="15" borderId="28" xfId="1" applyNumberFormat="1" applyFont="1" applyFill="1" applyBorder="1" applyAlignment="1">
      <alignment horizontal="center" vertical="center"/>
    </xf>
    <xf numFmtId="167" fontId="0" fillId="28" borderId="29" xfId="1" applyNumberFormat="1" applyFont="1" applyFill="1" applyBorder="1" applyAlignment="1">
      <alignment horizontal="center" vertical="center"/>
    </xf>
    <xf numFmtId="167" fontId="0" fillId="28" borderId="28" xfId="1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right" vertical="center"/>
    </xf>
    <xf numFmtId="0" fontId="22" fillId="19" borderId="0" xfId="6" applyFont="1" applyFill="1" applyAlignment="1">
      <alignment horizontal="center"/>
    </xf>
    <xf numFmtId="0" fontId="28" fillId="19" borderId="0" xfId="6" applyFill="1" applyAlignment="1">
      <alignment horizontal="center"/>
    </xf>
    <xf numFmtId="49" fontId="100" fillId="28" borderId="8" xfId="0" applyNumberFormat="1" applyFont="1" applyFill="1" applyBorder="1" applyAlignment="1">
      <alignment horizontal="center"/>
    </xf>
    <xf numFmtId="0" fontId="12" fillId="26" borderId="8" xfId="0" applyFont="1" applyFill="1" applyBorder="1" applyAlignment="1">
      <alignment horizontal="center"/>
    </xf>
    <xf numFmtId="49" fontId="100" fillId="26" borderId="5" xfId="0" applyNumberFormat="1" applyFont="1" applyFill="1" applyBorder="1" applyAlignment="1">
      <alignment horizontal="center"/>
    </xf>
    <xf numFmtId="49" fontId="100" fillId="26" borderId="6" xfId="0" applyNumberFormat="1" applyFont="1" applyFill="1" applyBorder="1" applyAlignment="1">
      <alignment horizontal="center"/>
    </xf>
    <xf numFmtId="49" fontId="100" fillId="26" borderId="7" xfId="0" applyNumberFormat="1" applyFont="1" applyFill="1" applyBorder="1" applyAlignment="1">
      <alignment horizontal="center"/>
    </xf>
    <xf numFmtId="49" fontId="100" fillId="26" borderId="1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49" fontId="70" fillId="0" borderId="0" xfId="0" applyNumberFormat="1" applyFont="1" applyAlignment="1">
      <alignment horizontal="center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166" fontId="0" fillId="3" borderId="29" xfId="0" applyNumberFormat="1" applyFill="1" applyBorder="1" applyAlignment="1">
      <alignment horizontal="right" vertical="center"/>
    </xf>
    <xf numFmtId="166" fontId="0" fillId="3" borderId="28" xfId="0" applyNumberForma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166" fontId="0" fillId="0" borderId="29" xfId="0" applyNumberFormat="1" applyBorder="1" applyAlignment="1">
      <alignment horizontal="right" vertical="center"/>
    </xf>
    <xf numFmtId="166" fontId="0" fillId="0" borderId="33" xfId="0" applyNumberFormat="1" applyBorder="1" applyAlignment="1">
      <alignment horizontal="right" vertical="center"/>
    </xf>
    <xf numFmtId="166" fontId="0" fillId="0" borderId="28" xfId="0" applyNumberForma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7" fontId="0" fillId="0" borderId="30" xfId="1" applyNumberFormat="1" applyFont="1" applyFill="1" applyBorder="1" applyAlignment="1">
      <alignment horizontal="right" vertical="center"/>
    </xf>
    <xf numFmtId="167" fontId="0" fillId="0" borderId="0" xfId="1" applyNumberFormat="1" applyFont="1" applyFill="1" applyBorder="1" applyAlignment="1">
      <alignment horizontal="right" vertical="center"/>
    </xf>
    <xf numFmtId="167" fontId="0" fillId="0" borderId="8" xfId="1" applyNumberFormat="1" applyFont="1" applyFill="1" applyBorder="1" applyAlignment="1">
      <alignment horizontal="right" vertical="center"/>
    </xf>
    <xf numFmtId="49" fontId="61" fillId="0" borderId="6" xfId="0" applyNumberFormat="1" applyFont="1" applyBorder="1" applyAlignment="1">
      <alignment horizontal="center" wrapText="1"/>
    </xf>
    <xf numFmtId="49" fontId="61" fillId="0" borderId="6" xfId="0" applyNumberFormat="1" applyFont="1" applyBorder="1" applyAlignment="1">
      <alignment horizontal="center"/>
    </xf>
    <xf numFmtId="49" fontId="62" fillId="0" borderId="30" xfId="0" applyNumberFormat="1" applyFont="1" applyBorder="1" applyAlignment="1">
      <alignment horizontal="center"/>
    </xf>
    <xf numFmtId="49" fontId="62" fillId="0" borderId="0" xfId="0" applyNumberFormat="1" applyFont="1" applyAlignment="1">
      <alignment horizontal="center"/>
    </xf>
    <xf numFmtId="0" fontId="14" fillId="0" borderId="3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14" fillId="24" borderId="25" xfId="0" applyFont="1" applyFill="1" applyBorder="1" applyAlignment="1">
      <alignment horizontal="center"/>
    </xf>
    <xf numFmtId="0" fontId="14" fillId="24" borderId="26" xfId="0" applyFont="1" applyFill="1" applyBorder="1" applyAlignment="1">
      <alignment horizontal="center"/>
    </xf>
    <xf numFmtId="0" fontId="14" fillId="26" borderId="25" xfId="0" applyFont="1" applyFill="1" applyBorder="1" applyAlignment="1">
      <alignment horizontal="center"/>
    </xf>
    <xf numFmtId="0" fontId="14" fillId="26" borderId="26" xfId="0" applyFont="1" applyFill="1" applyBorder="1" applyAlignment="1">
      <alignment horizontal="center"/>
    </xf>
    <xf numFmtId="0" fontId="56" fillId="0" borderId="6" xfId="0" applyFont="1" applyBorder="1" applyAlignment="1">
      <alignment horizontal="center"/>
    </xf>
    <xf numFmtId="0" fontId="66" fillId="8" borderId="25" xfId="0" applyFont="1" applyFill="1" applyBorder="1" applyAlignment="1">
      <alignment horizontal="center"/>
    </xf>
    <xf numFmtId="0" fontId="66" fillId="8" borderId="4" xfId="0" applyFont="1" applyFill="1" applyBorder="1" applyAlignment="1">
      <alignment horizontal="center"/>
    </xf>
    <xf numFmtId="0" fontId="66" fillId="8" borderId="26" xfId="0" applyFont="1" applyFill="1" applyBorder="1" applyAlignment="1">
      <alignment horizontal="center"/>
    </xf>
    <xf numFmtId="0" fontId="57" fillId="0" borderId="8" xfId="0" applyFont="1" applyBorder="1" applyAlignment="1">
      <alignment horizontal="center" wrapText="1"/>
    </xf>
    <xf numFmtId="0" fontId="55" fillId="33" borderId="8" xfId="0" applyFont="1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31" borderId="0" xfId="0" applyFill="1" applyAlignment="1">
      <alignment horizontal="center"/>
    </xf>
    <xf numFmtId="0" fontId="116" fillId="31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13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53" fillId="3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14" fillId="15" borderId="0" xfId="0" applyFont="1" applyFill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24" borderId="0" xfId="0" applyNumberFormat="1" applyFill="1" applyAlignment="1">
      <alignment horizontal="center" vertical="center"/>
    </xf>
    <xf numFmtId="166" fontId="0" fillId="26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26" borderId="0" xfId="0" applyFont="1" applyFill="1" applyAlignment="1">
      <alignment horizontal="center" vertical="center"/>
    </xf>
    <xf numFmtId="0" fontId="12" fillId="24" borderId="8" xfId="0" applyFont="1" applyFill="1" applyBorder="1" applyAlignment="1">
      <alignment horizontal="center" vertical="center"/>
    </xf>
    <xf numFmtId="0" fontId="57" fillId="26" borderId="8" xfId="0" applyFont="1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/>
    </xf>
    <xf numFmtId="0" fontId="44" fillId="3" borderId="6" xfId="0" applyFont="1" applyFill="1" applyBorder="1" applyAlignment="1">
      <alignment horizontal="center"/>
    </xf>
    <xf numFmtId="0" fontId="44" fillId="3" borderId="32" xfId="0" applyFont="1" applyFill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44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4" fontId="35" fillId="0" borderId="13" xfId="0" applyNumberFormat="1" applyFont="1" applyBorder="1" applyAlignment="1">
      <alignment horizontal="center"/>
    </xf>
    <xf numFmtId="4" fontId="35" fillId="0" borderId="0" xfId="0" applyNumberFormat="1" applyFont="1" applyAlignment="1">
      <alignment horizontal="center"/>
    </xf>
    <xf numFmtId="4" fontId="35" fillId="0" borderId="14" xfId="0" applyNumberFormat="1" applyFont="1" applyBorder="1" applyAlignment="1">
      <alignment horizontal="center"/>
    </xf>
    <xf numFmtId="168" fontId="35" fillId="0" borderId="13" xfId="0" applyNumberFormat="1" applyFont="1" applyBorder="1" applyAlignment="1">
      <alignment horizontal="center"/>
    </xf>
    <xf numFmtId="168" fontId="35" fillId="0" borderId="0" xfId="0" applyNumberFormat="1" applyFont="1" applyAlignment="1">
      <alignment horizontal="center"/>
    </xf>
    <xf numFmtId="168" fontId="35" fillId="0" borderId="14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33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4" xfId="0" applyFont="1" applyBorder="1" applyAlignment="1">
      <alignment horizontal="center"/>
    </xf>
    <xf numFmtId="14" fontId="33" fillId="0" borderId="10" xfId="0" applyNumberFormat="1" applyFont="1" applyBorder="1" applyAlignment="1">
      <alignment horizontal="center"/>
    </xf>
    <xf numFmtId="14" fontId="33" fillId="0" borderId="11" xfId="0" applyNumberFormat="1" applyFont="1" applyBorder="1" applyAlignment="1">
      <alignment horizontal="center"/>
    </xf>
    <xf numFmtId="14" fontId="33" fillId="0" borderId="12" xfId="0" applyNumberFormat="1" applyFont="1" applyBorder="1" applyAlignment="1">
      <alignment horizontal="center"/>
    </xf>
    <xf numFmtId="14" fontId="33" fillId="0" borderId="13" xfId="0" applyNumberFormat="1" applyFont="1" applyBorder="1" applyAlignment="1">
      <alignment horizontal="center"/>
    </xf>
    <xf numFmtId="14" fontId="33" fillId="0" borderId="0" xfId="0" applyNumberFormat="1" applyFont="1" applyAlignment="1">
      <alignment horizontal="center"/>
    </xf>
    <xf numFmtId="14" fontId="33" fillId="0" borderId="14" xfId="0" applyNumberFormat="1" applyFont="1" applyBorder="1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Hyperlink 2" xfId="7" xr:uid="{9E5DC482-B2A0-4786-A51F-7EE573A7BD2F}"/>
    <cellStyle name="Normal" xfId="0" builtinId="0"/>
    <cellStyle name="Normal 2" xfId="4" xr:uid="{D2EDF286-7119-4D74-99FA-8DC2B90BB893}"/>
    <cellStyle name="Normal 3" xfId="6" xr:uid="{8959DFED-EBFD-434B-A3EC-24E9DC4E8D79}"/>
    <cellStyle name="Percent" xfId="5" builtinId="5"/>
  </cellStyles>
  <dxfs count="0"/>
  <tableStyles count="0" defaultTableStyle="TableStyleMedium2" defaultPivotStyle="PivotStyleLight16"/>
  <colors>
    <mruColors>
      <color rgb="FFF2C9E8"/>
      <color rgb="FF73FB79"/>
      <color rgb="FFFF8AD8"/>
      <color rgb="FFFBA275"/>
      <color rgb="FFF97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crosoft Office User" id="{748B7900-0A1B-F245-BBAA-2A0C7C66DD3E}" userId="Microsoft Office User" providerId="None"/>
  <person displayName="Racheal Smith" id="{03818D1F-90BA-4654-A596-8626874DDF06}" userId="S::rsmith@ateamconsulting.com::cab88095-4663-4f06-bc17-86d68789ec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3-02-14T06:02:27.48" personId="{03818D1F-90BA-4654-A596-8626874DDF06}" id="{9B53E6C4-681F-4306-8F38-46FBDCDF2276}">
    <text>22,700 not categorized</text>
  </threadedComment>
  <threadedComment ref="J19" dT="2023-02-14T04:30:13.20" personId="{03818D1F-90BA-4654-A596-8626874DDF06}" id="{F0AA5015-1B8C-48BB-A4FC-7F99F9EAE861}">
    <text>CONTRACT EXPIRED - 2021 rate used</text>
  </threadedComment>
  <threadedComment ref="M34" dT="2023-03-11T16:09:23.59" personId="{748B7900-0A1B-F245-BBAA-2A0C7C66DD3E}" id="{7E0C7215-1A1C-F146-BC0F-9D5666E46A50}">
    <text>Landscaping		10,000
Sand fill-in @ office1,200</text>
  </threadedComment>
  <threadedComment ref="B35" dT="2023-03-07T20:31:39.01" personId="{748B7900-0A1B-F245-BBAA-2A0C7C66DD3E}" id="{11CAD823-8E8E-864B-BEAA-EF4380A32E77}">
    <text>Is this a Harbor expense? Membership instead?</text>
  </threadedComment>
  <threadedComment ref="J35" dT="2023-02-14T04:30:58.86" personId="{03818D1F-90BA-4654-A596-8626874DDF06}" id="{C7A042D5-3606-408B-8CDC-6A599B5B71A5}">
    <text>Capital Expense</text>
  </threadedComment>
  <threadedComment ref="M35" dT="2023-02-14T04:30:58.86" personId="{03818D1F-90BA-4654-A596-8626874DDF06}" id="{3A825F12-3195-4972-B2B6-52289EF7C65F}">
    <text>Capital Expense</text>
  </threadedComment>
  <threadedComment ref="M35" dT="2023-03-07T21:11:51.06" personId="{748B7900-0A1B-F245-BBAA-2A0C7C66DD3E}" id="{28263C59-19DC-E242-921A-D166433D6DFA}" parentId="{3A825F12-3195-4972-B2B6-52289EF7C65F}">
    <text>Shouldn’t this be in Membership, with the other Wagon Rack expenses?</text>
  </threadedComment>
  <threadedComment ref="M38" dT="2023-03-07T20:43:38.95" personId="{748B7900-0A1B-F245-BBAA-2A0C7C66DD3E}" id="{89BB1F6E-0E70-E644-869D-A6F5CA5AF077}">
    <text>90-day video recorder, installation &amp; set-up:  $5,455
Outboard			1,200
Ladders x 10			3,000
Cleats, deadbolts		   500
Bumpers				   150
Lines				   250
Laptop				2,000
Camera monitor		   300
Electric adapter x 2	   500
40” monitor			   300
Office chair			   250</text>
  </threadedComment>
  <threadedComment ref="M39" dT="2023-03-08T14:55:04.03" personId="{748B7900-0A1B-F245-BBAA-2A0C7C66DD3E}" id="{09193B45-99F9-AB41-B8D2-8E26B2A9093A}">
    <text>Budgeting for antenna failure (salt air, water), replacement and labor</text>
  </threadedComment>
  <threadedComment ref="B56" dT="2023-03-07T20:32:32.32" personId="{748B7900-0A1B-F245-BBAA-2A0C7C66DD3E}" id="{0B88B08A-F119-C94D-B858-361732E40697}">
    <text>???</text>
  </threadedComment>
  <threadedComment ref="M57" dT="2023-03-07T21:57:00.52" personId="{748B7900-0A1B-F245-BBAA-2A0C7C66DD3E}" id="{21B9ECB3-7DCE-FA40-8C77-0B5657D0DD41}">
    <text>Estimated Verizon FiOS bill</text>
  </threadedComment>
  <threadedComment ref="M58" dT="2023-03-07T21:51:40.23" personId="{748B7900-0A1B-F245-BBAA-2A0C7C66DD3E}" id="{B1A1B493-186E-BE40-AAD2-91FE21F3E24D}">
    <text>Paying people to watch the harbor and the dock</text>
  </threadedComment>
  <threadedComment ref="M59" dT="2023-03-07T21:57:00.52" personId="{748B7900-0A1B-F245-BBAA-2A0C7C66DD3E}" id="{8381F849-0A56-3342-9684-4A9450A97C6E}">
    <text>Stand-alone Marina web site – to be integrated into FIPPOA web site this year.</text>
  </threadedComment>
  <threadedComment ref="M61" dT="2023-03-08T14:49:05.47" personId="{748B7900-0A1B-F245-BBAA-2A0C7C66DD3E}" id="{790E8F23-570D-A14C-BD63-D1ACABB31F84}">
    <text>No budget this year – part of branding exercise. Will resume in 2024.</text>
  </threadedComment>
  <threadedComment ref="M69" dT="2023-03-08T15:06:32.85" personId="{748B7900-0A1B-F245-BBAA-2A0C7C66DD3E}" id="{077FC6D0-36F6-1149-9325-E5CFE21EFF87}">
    <text>Per Dennis, we may upgrade to a professional level: $8,000</text>
  </threadedComment>
  <threadedComment ref="M70" dT="2023-03-07T20:39:43.32" personId="{748B7900-0A1B-F245-BBAA-2A0C7C66DD3E}" id="{F381557C-C02F-4C46-9364-3DB0FD87066D}">
    <text>Removed from operating budget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7" dT="2023-03-13T18:31:00.92" personId="{748B7900-0A1B-F245-BBAA-2A0C7C66DD3E}" id="{1B992C8A-5413-EC44-9F39-670776811265}">
    <text>$15,824 contracted
    8,000 anticipated from new parking</text>
  </threadedComment>
  <threadedComment ref="I22" dT="2023-03-09T14:22:03.07" personId="{748B7900-0A1B-F245-BBAA-2A0C7C66DD3E}" id="{F3406C14-C6A6-6649-A47A-B4F7451F47D3}">
    <text>Extra help, Tommaso, Flower Girls, Deyvi’s home improvement
Coded to 589-03 – Blvd. improvements</text>
  </threadedComment>
  <threadedComment ref="M23" dT="2023-03-08T19:25:16.19" personId="{748B7900-0A1B-F245-BBAA-2A0C7C66DD3E}" id="{EAE57316-C60B-5146-A5F0-0ECDA8485342}">
    <text>Capital expense?
No, annual tree-planting; therefore operating expense per Racheal.</text>
  </threadedComment>
  <threadedComment ref="B24" dT="2023-03-11T16:30:09.37" personId="{748B7900-0A1B-F245-BBAA-2A0C7C66DD3E}" id="{5CD5EDE0-9D79-1C46-A614-70C4FDB3C388}">
    <text>Combine with 596-03</text>
  </threadedComment>
  <threadedComment ref="M24" dT="2023-03-11T16:29:59.30" personId="{748B7900-0A1B-F245-BBAA-2A0C7C66DD3E}" id="{337F814B-E897-734C-AB5A-26882CFEF56A}">
    <text>Combine with 596-03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11" dT="2023-03-06T21:51:47.85" personId="{748B7900-0A1B-F245-BBAA-2A0C7C66DD3E}" id="{8504027F-F77B-344A-93F9-66642D2D3BB7}">
    <text>Per Henry</text>
  </threadedComment>
  <threadedComment ref="M14" dT="2023-03-06T19:41:50.39" personId="{748B7900-0A1B-F245-BBAA-2A0C7C66DD3E}" id="{BEDAB509-2834-3D4C-9DC8-4F8DDB505030}">
    <text>Estimate per AJB</text>
  </threadedComment>
  <threadedComment ref="M15" dT="2023-03-06T19:38:52.16" personId="{748B7900-0A1B-F245-BBAA-2A0C7C66DD3E}" id="{E8365FD5-71AB-5343-A5C8-7AD3C468CFD9}">
    <text>Estimate per AJB</text>
  </threadedComment>
  <threadedComment ref="M45" dT="2023-03-06T19:39:33.25" personId="{748B7900-0A1B-F245-BBAA-2A0C7C66DD3E}" id="{93B94625-3335-BC44-8595-0721434DDF4C}">
    <text>Estimate per AJB</text>
  </threadedComment>
  <threadedComment ref="M49" dT="2023-03-11T16:50:08.61" personId="{748B7900-0A1B-F245-BBAA-2A0C7C66DD3E}" id="{64DE7D04-B399-2A41-A091-F846E97A86DF}">
    <text>Off-budget, part of rebranding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4" dT="2023-03-11T16:49:39.63" personId="{748B7900-0A1B-F245-BBAA-2A0C7C66DD3E}" id="{BEDE0AE2-05A9-0340-A23C-3B592B29AD03}">
    <text>Per Chris Mai: includes budget for rebranded staff apparel</text>
  </threadedComment>
  <threadedComment ref="J5" dT="2023-03-13T19:18:49.04" personId="{748B7900-0A1B-F245-BBAA-2A0C7C66DD3E}" id="{6F857B3C-D808-474A-993F-F540D56A051F}">
    <text>Per Chris Mai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6" dT="2023-03-11T17:39:53.17" personId="{748B7900-0A1B-F245-BBAA-2A0C7C66DD3E}" id="{71DB5682-5915-0542-A5F8-A1F0EE2E5B5C}">
    <text>Includes $25,000 per Chris Mai plus $500 moved from Harbor budget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8" dT="2023-03-15T14:30:36.63" personId="{748B7900-0A1B-F245-BBAA-2A0C7C66DD3E}" id="{71CB9D7B-F917-2547-A082-8BD9CA29BB35}">
    <text>Will we be making these contributions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M6" dT="2023-03-06T19:20:10.66" personId="{748B7900-0A1B-F245-BBAA-2A0C7C66DD3E}" id="{822FEA88-EE9B-264C-8895-F62909C1A79F}">
    <text>Estimate per AJB</text>
  </threadedComment>
  <threadedComment ref="M7" dT="2023-03-13T19:06:32.70" personId="{748B7900-0A1B-F245-BBAA-2A0C7C66DD3E}" id="{96DC870F-7034-7A4B-A8F8-812C54B12DEC}">
    <text>Estimate per AJB</text>
  </threadedComment>
  <threadedComment ref="M28" dT="2023-03-10T14:17:30.65" personId="{748B7900-0A1B-F245-BBAA-2A0C7C66DD3E}" id="{AA5433AB-E26A-4746-856A-6DA7B5E68270}">
    <text>Increase to $10,000 for 2024 budget</text>
  </threadedComment>
  <threadedComment ref="B33" dT="2023-03-11T17:59:19.83" personId="{748B7900-0A1B-F245-BBAA-2A0C7C66DD3E}" id="{C081FFB4-4F5E-4B40-AB1E-D52E7B3B42DC}">
    <text>Please rename this GL code from “Special Events” to “Invasion”</text>
  </threadedComment>
  <threadedComment ref="I33" dT="2023-02-19T17:46:14.67" personId="{03818D1F-90BA-4654-A596-8626874DDF06}" id="{47BCF7B7-56E5-4DF7-9579-9A14F97B0584}">
    <text>Included Aids memorial exp and Trailblazers Park</text>
  </threadedComment>
  <threadedComment ref="M34" dT="2023-03-10T15:15:39.04" personId="{748B7900-0A1B-F245-BBAA-2A0C7C66DD3E}" id="{1440D9AA-C41D-C742-8AE4-9F2872452FED}">
    <text>Includes set-up and break-down of chairs and tables</text>
  </threadedComment>
  <threadedComment ref="M35" dT="2023-03-06T20:51:28.75" personId="{748B7900-0A1B-F245-BBAA-2A0C7C66DD3E}" id="{58E71C98-2F83-0544-A917-EF1CE07713F2}">
    <text>Installation and supplies for WH monitors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13" dT="2023-03-10T14:57:08.59" personId="{748B7900-0A1B-F245-BBAA-2A0C7C66DD3E}" id="{0CA72803-3943-844C-A08F-EF5FA2D7D7CA}">
    <text>Albert</text>
  </threadedComment>
  <threadedComment ref="B33" dT="2023-03-11T17:13:24.12" personId="{748B7900-0A1B-F245-BBAA-2A0C7C66DD3E}" id="{9A26387E-64E5-5C4C-963D-79CE84CF7D2D}">
    <text>Please rename to Facilities Manager</text>
  </threadedComment>
  <threadedComment ref="M42" dT="2023-03-10T15:09:35.83" personId="{748B7900-0A1B-F245-BBAA-2A0C7C66DD3E}" id="{24ECC983-48EE-B045-9976-8A0AA624384E}">
    <text>Includes:
- HVAC repair
- PCC apartment painting
- Fire suppression door repair
- Second floor lobby door repair</text>
  </threadedComment>
  <threadedComment ref="M55" dT="2023-03-06T21:05:17.95" personId="{748B7900-0A1B-F245-BBAA-2A0C7C66DD3E}" id="{10454427-BF19-E84C-AC75-0C260FC88F3B}">
    <text>Repairs</text>
  </threadedComment>
  <threadedComment ref="M58" dT="2023-03-10T15:18:06.37" personId="{748B7900-0A1B-F245-BBAA-2A0C7C66DD3E}" id="{4F130BBC-D15D-404A-A77E-3F3AA73B6565}">
    <text>To be renewed in 2024</text>
  </threadedComment>
  <threadedComment ref="B60" dT="2023-03-10T15:21:53.43" personId="{748B7900-0A1B-F245-BBAA-2A0C7C66DD3E}" id="{A04327F0-3E79-CA45-AC75-24B780636BFF}">
    <text>Get rid of the word “Phone”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5" dT="2023-03-15T15:18:31.58" personId="{748B7900-0A1B-F245-BBAA-2A0C7C66DD3E}" id="{2A7BE473-96C5-7C4A-BF72-E4959A7677B7}">
    <text>$60K for Finance Manager (partial year)
$75K for A-Team (partial year)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billkaten@icloud.com" TargetMode="External"/><Relationship Id="rId3" Type="http://schemas.openxmlformats.org/officeDocument/2006/relationships/hyperlink" Target="mailto:wns66@aol.com" TargetMode="External"/><Relationship Id="rId7" Type="http://schemas.openxmlformats.org/officeDocument/2006/relationships/hyperlink" Target="mailto:TFCelectric@gmail.com" TargetMode="External"/><Relationship Id="rId2" Type="http://schemas.openxmlformats.org/officeDocument/2006/relationships/hyperlink" Target="mailto:susiepook@aol.com" TargetMode="External"/><Relationship Id="rId1" Type="http://schemas.openxmlformats.org/officeDocument/2006/relationships/hyperlink" Target="mailto:waltboss@earthlink.com" TargetMode="External"/><Relationship Id="rId6" Type="http://schemas.openxmlformats.org/officeDocument/2006/relationships/hyperlink" Target="mailto:paulstoehrer@mac.com" TargetMode="External"/><Relationship Id="rId5" Type="http://schemas.openxmlformats.org/officeDocument/2006/relationships/hyperlink" Target="mailto:matt@rockandpaint.com" TargetMode="External"/><Relationship Id="rId10" Type="http://schemas.openxmlformats.org/officeDocument/2006/relationships/hyperlink" Target="mailto:wns66@aol.com" TargetMode="External"/><Relationship Id="rId4" Type="http://schemas.openxmlformats.org/officeDocument/2006/relationships/hyperlink" Target="mailto:squig88@hotmail.com" TargetMode="External"/><Relationship Id="rId9" Type="http://schemas.openxmlformats.org/officeDocument/2006/relationships/hyperlink" Target="mailto:waltboss@earthlink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joshleemck@gmail.com" TargetMode="External"/><Relationship Id="rId18" Type="http://schemas.openxmlformats.org/officeDocument/2006/relationships/hyperlink" Target="mailto:bromley@bromleycaldari.com" TargetMode="External"/><Relationship Id="rId26" Type="http://schemas.openxmlformats.org/officeDocument/2006/relationships/hyperlink" Target="mailto:joshleemck@gmail.com" TargetMode="External"/><Relationship Id="rId39" Type="http://schemas.openxmlformats.org/officeDocument/2006/relationships/hyperlink" Target="mailto:cfurchert@optonline.net" TargetMode="External"/><Relationship Id="rId21" Type="http://schemas.openxmlformats.org/officeDocument/2006/relationships/hyperlink" Target="mailto:emfale@gmail.com" TargetMode="External"/><Relationship Id="rId34" Type="http://schemas.openxmlformats.org/officeDocument/2006/relationships/hyperlink" Target="mailto:emfale@gmail.com" TargetMode="External"/><Relationship Id="rId42" Type="http://schemas.openxmlformats.org/officeDocument/2006/relationships/hyperlink" Target="mailto:tonysbarge@aol.com" TargetMode="External"/><Relationship Id="rId47" Type="http://schemas.openxmlformats.org/officeDocument/2006/relationships/hyperlink" Target="mailto:damian@fippoa.org" TargetMode="External"/><Relationship Id="rId50" Type="http://schemas.openxmlformats.org/officeDocument/2006/relationships/hyperlink" Target="mailto:jcrispino@franciscauggman.com" TargetMode="External"/><Relationship Id="rId55" Type="http://schemas.openxmlformats.org/officeDocument/2006/relationships/hyperlink" Target="mailto:bromley@bromleycaldari.com" TargetMode="External"/><Relationship Id="rId7" Type="http://schemas.openxmlformats.org/officeDocument/2006/relationships/hyperlink" Target="mailto:tonysbarge@aol.com" TargetMode="External"/><Relationship Id="rId2" Type="http://schemas.openxmlformats.org/officeDocument/2006/relationships/hyperlink" Target="mailto:damian@fippoa.org" TargetMode="External"/><Relationship Id="rId16" Type="http://schemas.openxmlformats.org/officeDocument/2006/relationships/hyperlink" Target="mailto:Hal2r@aol.com" TargetMode="External"/><Relationship Id="rId29" Type="http://schemas.openxmlformats.org/officeDocument/2006/relationships/hyperlink" Target="mailto:damian@fippoa.org" TargetMode="External"/><Relationship Id="rId11" Type="http://schemas.openxmlformats.org/officeDocument/2006/relationships/hyperlink" Target="mailto:bkaten@aol.com" TargetMode="External"/><Relationship Id="rId24" Type="http://schemas.openxmlformats.org/officeDocument/2006/relationships/hyperlink" Target="mailto:tonysbarge@aol.com" TargetMode="External"/><Relationship Id="rId32" Type="http://schemas.openxmlformats.org/officeDocument/2006/relationships/hyperlink" Target="mailto:jcrispino@franciscauggman.com" TargetMode="External"/><Relationship Id="rId37" Type="http://schemas.openxmlformats.org/officeDocument/2006/relationships/hyperlink" Target="mailto:bromley@bromleycaldari.com" TargetMode="External"/><Relationship Id="rId40" Type="http://schemas.openxmlformats.org/officeDocument/2006/relationships/hyperlink" Target="mailto:rhellison@gmail.com" TargetMode="External"/><Relationship Id="rId45" Type="http://schemas.openxmlformats.org/officeDocument/2006/relationships/hyperlink" Target="mailto:snorring@gmail.com" TargetMode="External"/><Relationship Id="rId53" Type="http://schemas.openxmlformats.org/officeDocument/2006/relationships/hyperlink" Target="mailto:joshleemck@gmail.com" TargetMode="External"/><Relationship Id="rId58" Type="http://schemas.openxmlformats.org/officeDocument/2006/relationships/hyperlink" Target="mailto:rhellison@gmail.com" TargetMode="External"/><Relationship Id="rId5" Type="http://schemas.openxmlformats.org/officeDocument/2006/relationships/hyperlink" Target="mailto:joshleemck@gmail.com" TargetMode="External"/><Relationship Id="rId19" Type="http://schemas.openxmlformats.org/officeDocument/2006/relationships/hyperlink" Target="mailto:snorring@gmail.com" TargetMode="External"/><Relationship Id="rId4" Type="http://schemas.openxmlformats.org/officeDocument/2006/relationships/hyperlink" Target="mailto:snorring@gmail.com" TargetMode="External"/><Relationship Id="rId9" Type="http://schemas.openxmlformats.org/officeDocument/2006/relationships/hyperlink" Target="mailto:damian@fippoa.org" TargetMode="External"/><Relationship Id="rId14" Type="http://schemas.openxmlformats.org/officeDocument/2006/relationships/hyperlink" Target="mailto:emfale@gmail.com" TargetMode="External"/><Relationship Id="rId22" Type="http://schemas.openxmlformats.org/officeDocument/2006/relationships/hyperlink" Target="mailto:tonysbarge@aol.com" TargetMode="External"/><Relationship Id="rId27" Type="http://schemas.openxmlformats.org/officeDocument/2006/relationships/hyperlink" Target="mailto:snorring@gmail.com" TargetMode="External"/><Relationship Id="rId30" Type="http://schemas.openxmlformats.org/officeDocument/2006/relationships/hyperlink" Target="mailto:cfurchert@optonline.net" TargetMode="External"/><Relationship Id="rId35" Type="http://schemas.openxmlformats.org/officeDocument/2006/relationships/hyperlink" Target="mailto:joshleemck@gmail.com" TargetMode="External"/><Relationship Id="rId43" Type="http://schemas.openxmlformats.org/officeDocument/2006/relationships/hyperlink" Target="mailto:emfale@gmail.com" TargetMode="External"/><Relationship Id="rId48" Type="http://schemas.openxmlformats.org/officeDocument/2006/relationships/hyperlink" Target="mailto:cfurchert@optonline.net" TargetMode="External"/><Relationship Id="rId56" Type="http://schemas.openxmlformats.org/officeDocument/2006/relationships/hyperlink" Target="mailto:damian@fippoa.org" TargetMode="External"/><Relationship Id="rId8" Type="http://schemas.openxmlformats.org/officeDocument/2006/relationships/hyperlink" Target="mailto:Hal2r@aol.com" TargetMode="External"/><Relationship Id="rId51" Type="http://schemas.openxmlformats.org/officeDocument/2006/relationships/hyperlink" Target="mailto:tonysbarge@aol.com" TargetMode="External"/><Relationship Id="rId3" Type="http://schemas.openxmlformats.org/officeDocument/2006/relationships/hyperlink" Target="mailto:bromley@bromleycaldari.com" TargetMode="External"/><Relationship Id="rId12" Type="http://schemas.openxmlformats.org/officeDocument/2006/relationships/hyperlink" Target="mailto:snorring@gmail.com" TargetMode="External"/><Relationship Id="rId17" Type="http://schemas.openxmlformats.org/officeDocument/2006/relationships/hyperlink" Target="mailto:damian@fippoa.org" TargetMode="External"/><Relationship Id="rId25" Type="http://schemas.openxmlformats.org/officeDocument/2006/relationships/hyperlink" Target="mailto:emfale@gmail.com" TargetMode="External"/><Relationship Id="rId33" Type="http://schemas.openxmlformats.org/officeDocument/2006/relationships/hyperlink" Target="mailto:tonysbarge@aol.com" TargetMode="External"/><Relationship Id="rId38" Type="http://schemas.openxmlformats.org/officeDocument/2006/relationships/hyperlink" Target="mailto:damian@fippoa.org" TargetMode="External"/><Relationship Id="rId46" Type="http://schemas.openxmlformats.org/officeDocument/2006/relationships/hyperlink" Target="mailto:bromley@bromleycaldari.com" TargetMode="External"/><Relationship Id="rId59" Type="http://schemas.openxmlformats.org/officeDocument/2006/relationships/hyperlink" Target="mailto:jcrispino@franciscauggman.com" TargetMode="External"/><Relationship Id="rId20" Type="http://schemas.openxmlformats.org/officeDocument/2006/relationships/hyperlink" Target="mailto:joshleemck@gmail.com" TargetMode="External"/><Relationship Id="rId41" Type="http://schemas.openxmlformats.org/officeDocument/2006/relationships/hyperlink" Target="mailto:jcrispino@franciscauggman.com" TargetMode="External"/><Relationship Id="rId54" Type="http://schemas.openxmlformats.org/officeDocument/2006/relationships/hyperlink" Target="mailto:snorring@gmail.com" TargetMode="External"/><Relationship Id="rId1" Type="http://schemas.openxmlformats.org/officeDocument/2006/relationships/hyperlink" Target="mailto:Hal2r@aol.com" TargetMode="External"/><Relationship Id="rId6" Type="http://schemas.openxmlformats.org/officeDocument/2006/relationships/hyperlink" Target="mailto:emfale@gmail.com" TargetMode="External"/><Relationship Id="rId15" Type="http://schemas.openxmlformats.org/officeDocument/2006/relationships/hyperlink" Target="mailto:tonysbarge@aol.com" TargetMode="External"/><Relationship Id="rId23" Type="http://schemas.openxmlformats.org/officeDocument/2006/relationships/hyperlink" Target="mailto:cfurchert@optonline.net" TargetMode="External"/><Relationship Id="rId28" Type="http://schemas.openxmlformats.org/officeDocument/2006/relationships/hyperlink" Target="mailto:bromley@bromleycaldari.com" TargetMode="External"/><Relationship Id="rId36" Type="http://schemas.openxmlformats.org/officeDocument/2006/relationships/hyperlink" Target="mailto:snorring@gmail.com" TargetMode="External"/><Relationship Id="rId49" Type="http://schemas.openxmlformats.org/officeDocument/2006/relationships/hyperlink" Target="mailto:rhellison@gmail.com" TargetMode="External"/><Relationship Id="rId57" Type="http://schemas.openxmlformats.org/officeDocument/2006/relationships/hyperlink" Target="mailto:cfurchert@optonline.net" TargetMode="External"/><Relationship Id="rId10" Type="http://schemas.openxmlformats.org/officeDocument/2006/relationships/hyperlink" Target="mailto:bromley@bromleycaldari.com" TargetMode="External"/><Relationship Id="rId31" Type="http://schemas.openxmlformats.org/officeDocument/2006/relationships/hyperlink" Target="mailto:rhellison@gmail.com" TargetMode="External"/><Relationship Id="rId44" Type="http://schemas.openxmlformats.org/officeDocument/2006/relationships/hyperlink" Target="mailto:joshleemck@gmail.com" TargetMode="External"/><Relationship Id="rId52" Type="http://schemas.openxmlformats.org/officeDocument/2006/relationships/hyperlink" Target="mailto:emfale@gmail.com" TargetMode="External"/><Relationship Id="rId60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damian@fippoa.org" TargetMode="External"/><Relationship Id="rId13" Type="http://schemas.openxmlformats.org/officeDocument/2006/relationships/hyperlink" Target="mailto:sjscibico@aol.com" TargetMode="External"/><Relationship Id="rId18" Type="http://schemas.openxmlformats.org/officeDocument/2006/relationships/hyperlink" Target="mailto:richard.margolius@gmail.com" TargetMode="External"/><Relationship Id="rId3" Type="http://schemas.openxmlformats.org/officeDocument/2006/relationships/hyperlink" Target="mailto:csakny@optonline.net" TargetMode="External"/><Relationship Id="rId21" Type="http://schemas.openxmlformats.org/officeDocument/2006/relationships/hyperlink" Target="mailto:kmc276@aol.com" TargetMode="External"/><Relationship Id="rId7" Type="http://schemas.openxmlformats.org/officeDocument/2006/relationships/hyperlink" Target="mailto:anthonytonani@verizon.net" TargetMode="External"/><Relationship Id="rId12" Type="http://schemas.openxmlformats.org/officeDocument/2006/relationships/hyperlink" Target="mailto:jmartin@allnyt.com" TargetMode="External"/><Relationship Id="rId17" Type="http://schemas.openxmlformats.org/officeDocument/2006/relationships/hyperlink" Target="mailto:fireislander@msn.com" TargetMode="External"/><Relationship Id="rId25" Type="http://schemas.openxmlformats.org/officeDocument/2006/relationships/hyperlink" Target="mailto:ryan@ryanespinosa.com" TargetMode="External"/><Relationship Id="rId2" Type="http://schemas.openxmlformats.org/officeDocument/2006/relationships/hyperlink" Target="mailto:chris@northatlantic.com" TargetMode="External"/><Relationship Id="rId16" Type="http://schemas.openxmlformats.org/officeDocument/2006/relationships/hyperlink" Target="mailto:Quinnselor@yahoo.com" TargetMode="External"/><Relationship Id="rId20" Type="http://schemas.openxmlformats.org/officeDocument/2006/relationships/hyperlink" Target="mailto:nycmag@me.com" TargetMode="External"/><Relationship Id="rId1" Type="http://schemas.openxmlformats.org/officeDocument/2006/relationships/hyperlink" Target="mailto:goinprice@gmail.com" TargetMode="External"/><Relationship Id="rId6" Type="http://schemas.openxmlformats.org/officeDocument/2006/relationships/hyperlink" Target="mailto:matthewjkay@gmail.com" TargetMode="External"/><Relationship Id="rId11" Type="http://schemas.openxmlformats.org/officeDocument/2006/relationships/hyperlink" Target="mailto:Christopher.chimeri@gmail.com" TargetMode="External"/><Relationship Id="rId24" Type="http://schemas.openxmlformats.org/officeDocument/2006/relationships/hyperlink" Target="mailto:matthewjkay@gmail.com" TargetMode="External"/><Relationship Id="rId5" Type="http://schemas.openxmlformats.org/officeDocument/2006/relationships/hyperlink" Target="mailto:kzarrilli@gmail.com" TargetMode="External"/><Relationship Id="rId15" Type="http://schemas.openxmlformats.org/officeDocument/2006/relationships/hyperlink" Target="mailto:wineselector@gmail.com" TargetMode="External"/><Relationship Id="rId23" Type="http://schemas.openxmlformats.org/officeDocument/2006/relationships/hyperlink" Target="mailto:joe@inzerillo.com" TargetMode="External"/><Relationship Id="rId10" Type="http://schemas.openxmlformats.org/officeDocument/2006/relationships/hyperlink" Target="mailto:mhhdoh@gmail.com" TargetMode="External"/><Relationship Id="rId19" Type="http://schemas.openxmlformats.org/officeDocument/2006/relationships/hyperlink" Target="mailto:kevinroon@mac.com" TargetMode="External"/><Relationship Id="rId4" Type="http://schemas.openxmlformats.org/officeDocument/2006/relationships/hyperlink" Target="mailto:dveale9@aol.com" TargetMode="External"/><Relationship Id="rId9" Type="http://schemas.openxmlformats.org/officeDocument/2006/relationships/hyperlink" Target="mailto:hildeny@msn.com" TargetMode="External"/><Relationship Id="rId14" Type="http://schemas.openxmlformats.org/officeDocument/2006/relationships/hyperlink" Target="mailto:mack696@aol.com" TargetMode="External"/><Relationship Id="rId22" Type="http://schemas.openxmlformats.org/officeDocument/2006/relationships/hyperlink" Target="mailto:johnmboul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2:F24"/>
  <sheetViews>
    <sheetView zoomScale="130" zoomScaleNormal="130" workbookViewId="0">
      <selection activeCell="G52" sqref="G52"/>
    </sheetView>
  </sheetViews>
  <sheetFormatPr baseColWidth="10" defaultColWidth="9.1640625" defaultRowHeight="15" x14ac:dyDescent="0.2"/>
  <cols>
    <col min="1" max="1" width="6.83203125" customWidth="1"/>
    <col min="2" max="2" width="25.6640625" bestFit="1" customWidth="1"/>
    <col min="3" max="4" width="12.6640625" customWidth="1"/>
    <col min="5" max="5" width="1.83203125" customWidth="1"/>
    <col min="6" max="6" width="12.6640625" customWidth="1"/>
    <col min="7" max="7" width="19.1640625" bestFit="1" customWidth="1"/>
  </cols>
  <sheetData>
    <row r="2" spans="2:6" ht="21" x14ac:dyDescent="0.25">
      <c r="B2" s="1063" t="s">
        <v>1536</v>
      </c>
      <c r="C2" s="1063"/>
      <c r="D2" s="1063"/>
      <c r="E2" s="1063"/>
      <c r="F2" s="1063"/>
    </row>
    <row r="3" spans="2:6" ht="21" x14ac:dyDescent="0.25">
      <c r="B3" s="993"/>
      <c r="C3" s="1048">
        <v>2022</v>
      </c>
      <c r="D3" s="1048">
        <v>2023</v>
      </c>
      <c r="F3" s="420" t="s">
        <v>1554</v>
      </c>
    </row>
    <row r="4" spans="2:6" ht="16" x14ac:dyDescent="0.2">
      <c r="B4" s="1058" t="s">
        <v>4</v>
      </c>
      <c r="C4" s="1042"/>
      <c r="D4" s="1042"/>
      <c r="F4" s="1042"/>
    </row>
    <row r="5" spans="2:6" x14ac:dyDescent="0.2">
      <c r="B5" s="573" t="s">
        <v>267</v>
      </c>
      <c r="C5" s="584">
        <f>SUM(FIPPOASummary!C5+FIPPOASummary!C10+FIPPOASummary!C15)</f>
        <v>688717</v>
      </c>
      <c r="D5" s="584">
        <f>SUM(FIPPOASummary!D5+FIPPOASummary!D10+FIPPOASummary!D15)</f>
        <v>850813</v>
      </c>
      <c r="F5" s="584">
        <f>D5-C5</f>
        <v>162096</v>
      </c>
    </row>
    <row r="6" spans="2:6" x14ac:dyDescent="0.2">
      <c r="B6" s="573" t="s">
        <v>8</v>
      </c>
      <c r="C6" s="584">
        <f>FIPPOASummary!C6+FIPPOASummary!C11+FIPPOASummary!C16</f>
        <v>640084.48283999995</v>
      </c>
      <c r="D6" s="584">
        <f>FIPPOASummary!D6+FIPPOASummary!D11+FIPPOASummary!D16</f>
        <v>696216.38112000003</v>
      </c>
      <c r="F6" s="584">
        <f t="shared" ref="F6:F8" si="0">D6-C6</f>
        <v>56131.898280000081</v>
      </c>
    </row>
    <row r="7" spans="2:6" x14ac:dyDescent="0.2">
      <c r="B7" s="1042" t="s">
        <v>1538</v>
      </c>
      <c r="C7" s="1043">
        <v>10000</v>
      </c>
      <c r="D7" s="1043">
        <v>0</v>
      </c>
      <c r="F7" s="1043">
        <f t="shared" si="0"/>
        <v>-10000</v>
      </c>
    </row>
    <row r="8" spans="2:6" x14ac:dyDescent="0.2">
      <c r="B8" s="1044" t="s">
        <v>1446</v>
      </c>
      <c r="C8" s="1045">
        <f>C5-C6-C7</f>
        <v>38632.517160000047</v>
      </c>
      <c r="D8" s="1045">
        <f>D5-D6-D7</f>
        <v>154596.61887999997</v>
      </c>
      <c r="F8" s="1045">
        <f t="shared" si="0"/>
        <v>115964.10171999992</v>
      </c>
    </row>
    <row r="9" spans="2:6" x14ac:dyDescent="0.2">
      <c r="B9" s="137"/>
      <c r="C9" s="1057"/>
      <c r="D9" s="1057"/>
      <c r="F9" s="1057"/>
    </row>
    <row r="10" spans="2:6" ht="16" x14ac:dyDescent="0.2">
      <c r="B10" s="1059" t="s">
        <v>6</v>
      </c>
      <c r="C10" s="721"/>
      <c r="D10" s="721"/>
      <c r="F10" s="721"/>
    </row>
    <row r="11" spans="2:6" x14ac:dyDescent="0.2">
      <c r="B11" s="576" t="s">
        <v>267</v>
      </c>
      <c r="C11" s="587">
        <f>FdnSummary!C5+FdnSummary!C13</f>
        <v>387747</v>
      </c>
      <c r="D11" s="587">
        <f>FdnSummary!D5+FdnSummary!D13</f>
        <v>403742.03</v>
      </c>
      <c r="F11" s="587">
        <f t="shared" ref="F11:F23" si="1">D11-C11</f>
        <v>15995.030000000028</v>
      </c>
    </row>
    <row r="12" spans="2:6" x14ac:dyDescent="0.2">
      <c r="B12" s="576" t="s">
        <v>8</v>
      </c>
      <c r="C12" s="587">
        <f>FdnSummary!C6+FdnSummary!C14</f>
        <v>504598.73715973907</v>
      </c>
      <c r="D12" s="587">
        <f>FdnSummary!D6+FdnSummary!D14</f>
        <v>570902.31087771291</v>
      </c>
      <c r="F12" s="587">
        <f t="shared" si="1"/>
        <v>66303.573717973835</v>
      </c>
    </row>
    <row r="13" spans="2:6" x14ac:dyDescent="0.2">
      <c r="B13" s="576" t="s">
        <v>1544</v>
      </c>
      <c r="C13" s="587">
        <f>FdnSummary!C8</f>
        <v>50000</v>
      </c>
      <c r="D13" s="587">
        <f>FdnSummary!D8</f>
        <v>50000</v>
      </c>
      <c r="F13" s="587">
        <f t="shared" si="1"/>
        <v>0</v>
      </c>
    </row>
    <row r="14" spans="2:6" x14ac:dyDescent="0.2">
      <c r="B14" s="720" t="s">
        <v>1485</v>
      </c>
      <c r="C14" s="721">
        <f>FdnSummary!C9</f>
        <v>10000</v>
      </c>
      <c r="D14" s="721">
        <f>FdnSummary!D9</f>
        <v>0</v>
      </c>
      <c r="F14" s="721">
        <f t="shared" si="1"/>
        <v>-10000</v>
      </c>
    </row>
    <row r="15" spans="2:6" x14ac:dyDescent="0.2">
      <c r="B15" s="1060" t="s">
        <v>1539</v>
      </c>
      <c r="C15" s="1061">
        <f>C11-C12-C13-C14</f>
        <v>-176851.73715973907</v>
      </c>
      <c r="D15" s="1061">
        <f>D11-D12-D13-D14</f>
        <v>-217160.28087771288</v>
      </c>
      <c r="F15" s="1061">
        <f t="shared" si="1"/>
        <v>-40308.543717973807</v>
      </c>
    </row>
    <row r="16" spans="2:6" ht="23" customHeight="1" x14ac:dyDescent="0.2">
      <c r="B16" s="576" t="s">
        <v>1540</v>
      </c>
      <c r="C16" s="587">
        <f>FdnSummary!C20</f>
        <v>1280000</v>
      </c>
      <c r="D16" s="587">
        <f>FdnSummary!D20</f>
        <v>1310000</v>
      </c>
      <c r="F16" s="587">
        <f t="shared" si="1"/>
        <v>30000</v>
      </c>
    </row>
    <row r="17" spans="2:6" x14ac:dyDescent="0.2">
      <c r="B17" s="720" t="s">
        <v>1541</v>
      </c>
      <c r="C17" s="721">
        <f>FdnSummary!C21</f>
        <v>980000</v>
      </c>
      <c r="D17" s="721">
        <f>FdnSummary!D21</f>
        <v>1070000</v>
      </c>
      <c r="F17" s="721">
        <f t="shared" si="1"/>
        <v>90000</v>
      </c>
    </row>
    <row r="18" spans="2:6" x14ac:dyDescent="0.2">
      <c r="B18" s="988" t="s">
        <v>1555</v>
      </c>
      <c r="C18" s="989">
        <f>C16-C17</f>
        <v>300000</v>
      </c>
      <c r="D18" s="989">
        <f>D16-D17</f>
        <v>240000</v>
      </c>
      <c r="F18" s="989">
        <f t="shared" si="1"/>
        <v>-60000</v>
      </c>
    </row>
    <row r="19" spans="2:6" x14ac:dyDescent="0.2">
      <c r="B19" s="576" t="s">
        <v>1542</v>
      </c>
      <c r="C19" s="587">
        <f>FdnSummary!C22</f>
        <v>70000</v>
      </c>
      <c r="D19" s="587">
        <f>FdnSummary!D22</f>
        <v>60000</v>
      </c>
      <c r="F19" s="587">
        <f t="shared" si="1"/>
        <v>-10000</v>
      </c>
    </row>
    <row r="20" spans="2:6" x14ac:dyDescent="0.2">
      <c r="B20" s="720" t="s">
        <v>1543</v>
      </c>
      <c r="C20" s="721">
        <f>FdnSummary!C23</f>
        <v>10000</v>
      </c>
      <c r="D20" s="721">
        <f>FdnSummary!D23</f>
        <v>0</v>
      </c>
      <c r="F20" s="721">
        <f t="shared" si="1"/>
        <v>-10000</v>
      </c>
    </row>
    <row r="21" spans="2:6" x14ac:dyDescent="0.2">
      <c r="B21" s="1046" t="s">
        <v>1556</v>
      </c>
      <c r="C21" s="1047">
        <f>C18-C19-C20</f>
        <v>220000</v>
      </c>
      <c r="D21" s="1047">
        <f>D18-D19-D20</f>
        <v>180000</v>
      </c>
      <c r="E21" s="137"/>
      <c r="F21" s="721">
        <f t="shared" si="1"/>
        <v>-40000</v>
      </c>
    </row>
    <row r="22" spans="2:6" x14ac:dyDescent="0.2">
      <c r="B22" s="1046" t="s">
        <v>1546</v>
      </c>
      <c r="C22" s="1047">
        <f>C15+C21</f>
        <v>43148.262840260926</v>
      </c>
      <c r="D22" s="1047">
        <f>D15+D21</f>
        <v>-37160.280877712881</v>
      </c>
      <c r="F22" s="1047">
        <f t="shared" si="1"/>
        <v>-80308.543717973807</v>
      </c>
    </row>
    <row r="23" spans="2:6" ht="17" thickBot="1" x14ac:dyDescent="0.25">
      <c r="B23" s="824" t="s">
        <v>1545</v>
      </c>
      <c r="C23" s="825">
        <f>C22+C8</f>
        <v>81780.780000260973</v>
      </c>
      <c r="D23" s="825">
        <f>D22+D8</f>
        <v>117436.33800228708</v>
      </c>
      <c r="F23" s="825">
        <f t="shared" si="1"/>
        <v>35655.558002026111</v>
      </c>
    </row>
    <row r="24" spans="2:6" ht="16" thickTop="1" x14ac:dyDescent="0.2"/>
  </sheetData>
  <sheetProtection algorithmName="SHA-512" hashValue="R2jl2gg8gjtDsrx9FxJI3IRebld49xT6qq0OTMElKe3KuNAd/bxa30yZrDfnL5MaPiSkgxc+46CqXYtuTHj+Bg==" saltValue="ftHMqWF1w2x0d/k4d+RmSQ==" spinCount="100000" sheet="1" selectLockedCells="1"/>
  <mergeCells count="1">
    <mergeCell ref="B2:F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916B-758E-4C5B-B780-CD946CD46488}">
  <sheetPr>
    <tabColor theme="4"/>
  </sheetPr>
  <dimension ref="A1:AI54"/>
  <sheetViews>
    <sheetView workbookViewId="0">
      <selection activeCell="E5" sqref="E5"/>
    </sheetView>
  </sheetViews>
  <sheetFormatPr baseColWidth="10" defaultColWidth="8.83203125" defaultRowHeight="15" x14ac:dyDescent="0.2"/>
  <sheetData>
    <row r="1" spans="1:35" ht="16" x14ac:dyDescent="0.2">
      <c r="A1" s="460" t="s">
        <v>185</v>
      </c>
      <c r="B1" s="528" t="s">
        <v>138</v>
      </c>
      <c r="C1" s="468" t="s">
        <v>140</v>
      </c>
      <c r="D1" s="529" t="s">
        <v>103</v>
      </c>
      <c r="E1" s="464" t="s">
        <v>141</v>
      </c>
      <c r="F1" s="465" t="s">
        <v>142</v>
      </c>
      <c r="G1" s="463" t="s">
        <v>57</v>
      </c>
      <c r="H1" s="467" t="s">
        <v>276</v>
      </c>
      <c r="I1" s="467" t="s">
        <v>736</v>
      </c>
      <c r="J1" s="468" t="s">
        <v>737</v>
      </c>
      <c r="K1" s="460" t="s">
        <v>738</v>
      </c>
      <c r="L1" s="460" t="s">
        <v>739</v>
      </c>
      <c r="M1" s="460" t="s">
        <v>986</v>
      </c>
      <c r="N1" s="460" t="s">
        <v>740</v>
      </c>
      <c r="O1" s="460" t="s">
        <v>741</v>
      </c>
      <c r="P1" s="460" t="s">
        <v>742</v>
      </c>
      <c r="Q1" s="460" t="s">
        <v>743</v>
      </c>
      <c r="R1" s="460" t="s">
        <v>744</v>
      </c>
      <c r="S1" s="460" t="s">
        <v>745</v>
      </c>
      <c r="T1" s="460" t="s">
        <v>746</v>
      </c>
      <c r="U1" s="460" t="s">
        <v>747</v>
      </c>
      <c r="V1" s="460" t="s">
        <v>224</v>
      </c>
      <c r="W1" s="460" t="s">
        <v>748</v>
      </c>
      <c r="X1" s="460" t="s">
        <v>749</v>
      </c>
      <c r="Y1" s="460" t="s">
        <v>987</v>
      </c>
      <c r="Z1" s="469" t="s">
        <v>751</v>
      </c>
      <c r="AA1" s="460" t="s">
        <v>752</v>
      </c>
      <c r="AB1" s="460" t="s">
        <v>753</v>
      </c>
      <c r="AC1" s="460" t="s">
        <v>754</v>
      </c>
      <c r="AD1" s="460" t="s">
        <v>755</v>
      </c>
      <c r="AE1" s="460" t="s">
        <v>988</v>
      </c>
      <c r="AF1" s="469" t="s">
        <v>989</v>
      </c>
      <c r="AG1" s="469" t="s">
        <v>756</v>
      </c>
      <c r="AH1" s="469" t="s">
        <v>757</v>
      </c>
      <c r="AI1" s="460" t="s">
        <v>758</v>
      </c>
    </row>
    <row r="2" spans="1:35" x14ac:dyDescent="0.2">
      <c r="A2" s="526" t="s">
        <v>150</v>
      </c>
      <c r="B2" s="515" t="s">
        <v>151</v>
      </c>
      <c r="C2" s="516">
        <v>24</v>
      </c>
      <c r="D2" s="474">
        <v>205</v>
      </c>
      <c r="E2" s="514">
        <v>4920</v>
      </c>
      <c r="F2" s="476" t="s">
        <v>1339</v>
      </c>
      <c r="G2" s="531">
        <v>6560</v>
      </c>
      <c r="H2" s="518"/>
      <c r="I2" s="518">
        <v>6560</v>
      </c>
      <c r="J2" s="489"/>
      <c r="K2" s="513" t="s">
        <v>990</v>
      </c>
      <c r="L2" s="513" t="s">
        <v>991</v>
      </c>
      <c r="M2" s="459"/>
      <c r="N2" s="513" t="s">
        <v>992</v>
      </c>
      <c r="O2" s="517" t="s">
        <v>769</v>
      </c>
      <c r="P2" s="513">
        <v>11782</v>
      </c>
      <c r="Q2" s="459"/>
      <c r="R2" s="513" t="s">
        <v>993</v>
      </c>
      <c r="S2" s="513" t="s">
        <v>994</v>
      </c>
      <c r="T2" s="459"/>
      <c r="U2" s="513" t="s">
        <v>869</v>
      </c>
      <c r="V2" s="487" t="s">
        <v>995</v>
      </c>
      <c r="W2" s="513" t="s">
        <v>996</v>
      </c>
      <c r="X2" s="513" t="s">
        <v>997</v>
      </c>
      <c r="Y2" s="517" t="s">
        <v>998</v>
      </c>
      <c r="Z2" s="459"/>
      <c r="AA2" s="517" t="s">
        <v>894</v>
      </c>
      <c r="AB2" s="517" t="s">
        <v>825</v>
      </c>
      <c r="AC2" s="517" t="s">
        <v>999</v>
      </c>
      <c r="AD2" s="513">
        <v>30000</v>
      </c>
      <c r="AE2" s="517" t="s">
        <v>1000</v>
      </c>
      <c r="AF2" s="459"/>
      <c r="AG2" s="459"/>
      <c r="AH2" s="459"/>
      <c r="AI2" s="523"/>
    </row>
    <row r="3" spans="1:35" x14ac:dyDescent="0.2">
      <c r="A3" s="526" t="s">
        <v>156</v>
      </c>
      <c r="B3" s="515" t="s">
        <v>151</v>
      </c>
      <c r="C3" s="516">
        <v>28</v>
      </c>
      <c r="D3" s="474">
        <v>205</v>
      </c>
      <c r="E3" s="514">
        <v>5740</v>
      </c>
      <c r="F3" s="476" t="s">
        <v>1339</v>
      </c>
      <c r="G3" s="531">
        <v>5120</v>
      </c>
      <c r="H3" s="518"/>
      <c r="I3" s="518">
        <v>5120</v>
      </c>
      <c r="J3" s="489"/>
      <c r="K3" s="513" t="s">
        <v>771</v>
      </c>
      <c r="L3" s="513" t="s">
        <v>1012</v>
      </c>
      <c r="M3" s="459"/>
      <c r="N3" s="513" t="s">
        <v>1013</v>
      </c>
      <c r="O3" s="517" t="s">
        <v>769</v>
      </c>
      <c r="P3" s="513">
        <v>11782</v>
      </c>
      <c r="Q3" s="513" t="s">
        <v>1014</v>
      </c>
      <c r="R3" s="459"/>
      <c r="S3" s="513" t="s">
        <v>1015</v>
      </c>
      <c r="T3" s="459"/>
      <c r="U3" s="513" t="s">
        <v>869</v>
      </c>
      <c r="V3" s="487" t="s">
        <v>1016</v>
      </c>
      <c r="W3" s="513" t="s">
        <v>1017</v>
      </c>
      <c r="X3" s="513" t="s">
        <v>1018</v>
      </c>
      <c r="Y3" s="517">
        <v>1246389</v>
      </c>
      <c r="Z3" s="459"/>
      <c r="AA3" s="517" t="s">
        <v>1019</v>
      </c>
      <c r="AB3" s="517" t="s">
        <v>825</v>
      </c>
      <c r="AC3" s="459"/>
      <c r="AD3" s="459"/>
      <c r="AE3" s="517" t="s">
        <v>1020</v>
      </c>
      <c r="AF3" s="459"/>
      <c r="AG3" s="459"/>
      <c r="AH3" s="459"/>
      <c r="AI3" s="521"/>
    </row>
    <row r="4" spans="1:35" x14ac:dyDescent="0.2">
      <c r="A4" s="526" t="s">
        <v>478</v>
      </c>
      <c r="B4" s="515" t="s">
        <v>147</v>
      </c>
      <c r="C4" s="516">
        <v>26</v>
      </c>
      <c r="D4" s="474">
        <v>160</v>
      </c>
      <c r="E4" s="514">
        <v>4160</v>
      </c>
      <c r="F4" s="476" t="s">
        <v>1339</v>
      </c>
      <c r="G4" s="531">
        <v>5120</v>
      </c>
      <c r="H4" s="518"/>
      <c r="I4" s="518">
        <v>5120</v>
      </c>
      <c r="J4" s="489"/>
      <c r="K4" s="513" t="s">
        <v>771</v>
      </c>
      <c r="L4" s="513" t="s">
        <v>1001</v>
      </c>
      <c r="M4" s="459"/>
      <c r="N4" s="513" t="s">
        <v>1002</v>
      </c>
      <c r="O4" s="517" t="s">
        <v>769</v>
      </c>
      <c r="P4" s="513">
        <v>11715</v>
      </c>
      <c r="Q4" s="459"/>
      <c r="R4" s="513" t="s">
        <v>1003</v>
      </c>
      <c r="S4" s="513" t="s">
        <v>1004</v>
      </c>
      <c r="T4" s="513" t="s">
        <v>1005</v>
      </c>
      <c r="U4" s="513" t="s">
        <v>869</v>
      </c>
      <c r="V4" s="487" t="s">
        <v>1006</v>
      </c>
      <c r="W4" s="513" t="s">
        <v>1007</v>
      </c>
      <c r="X4" s="513" t="s">
        <v>1008</v>
      </c>
      <c r="Y4" s="517" t="s">
        <v>1009</v>
      </c>
      <c r="Z4" s="459"/>
      <c r="AA4" s="517" t="s">
        <v>1010</v>
      </c>
      <c r="AB4" s="517" t="s">
        <v>985</v>
      </c>
      <c r="AC4" s="517" t="s">
        <v>999</v>
      </c>
      <c r="AD4" s="513">
        <v>7000</v>
      </c>
      <c r="AE4" s="517" t="s">
        <v>1011</v>
      </c>
      <c r="AF4" s="459"/>
      <c r="AG4" s="459"/>
      <c r="AH4" s="459"/>
      <c r="AI4" s="523"/>
    </row>
    <row r="5" spans="1:35" x14ac:dyDescent="0.2">
      <c r="A5" s="526" t="s">
        <v>146</v>
      </c>
      <c r="B5" s="515" t="s">
        <v>147</v>
      </c>
      <c r="C5" s="516">
        <v>31</v>
      </c>
      <c r="D5" s="474">
        <v>160</v>
      </c>
      <c r="E5" s="514">
        <v>4960</v>
      </c>
      <c r="F5" s="476" t="s">
        <v>1339</v>
      </c>
      <c r="G5" s="531">
        <v>5120</v>
      </c>
      <c r="H5" s="518"/>
      <c r="I5" s="518">
        <v>5120</v>
      </c>
      <c r="J5" s="489"/>
      <c r="K5" s="513" t="s">
        <v>1021</v>
      </c>
      <c r="L5" s="513" t="s">
        <v>1022</v>
      </c>
      <c r="M5" s="459"/>
      <c r="N5" s="513" t="s">
        <v>992</v>
      </c>
      <c r="O5" s="517" t="s">
        <v>769</v>
      </c>
      <c r="P5" s="513">
        <v>11782</v>
      </c>
      <c r="Q5" s="513" t="s">
        <v>1023</v>
      </c>
      <c r="R5" s="459"/>
      <c r="S5" s="513" t="s">
        <v>1024</v>
      </c>
      <c r="T5" s="459"/>
      <c r="U5" s="513" t="s">
        <v>1025</v>
      </c>
      <c r="V5" s="487" t="s">
        <v>1026</v>
      </c>
      <c r="W5" s="522" t="s">
        <v>1027</v>
      </c>
      <c r="X5" s="513" t="s">
        <v>796</v>
      </c>
      <c r="Y5" s="517" t="s">
        <v>1028</v>
      </c>
      <c r="Z5" s="459"/>
      <c r="AA5" s="517" t="s">
        <v>1029</v>
      </c>
      <c r="AB5" s="517" t="s">
        <v>1030</v>
      </c>
      <c r="AC5" s="517" t="s">
        <v>999</v>
      </c>
      <c r="AD5" s="459"/>
      <c r="AE5" s="517" t="s">
        <v>1031</v>
      </c>
      <c r="AF5" s="459"/>
      <c r="AG5" s="459"/>
      <c r="AH5" s="459"/>
      <c r="AI5" s="523"/>
    </row>
    <row r="6" spans="1:35" x14ac:dyDescent="0.2">
      <c r="A6" s="526" t="s">
        <v>146</v>
      </c>
      <c r="B6" s="515" t="s">
        <v>147</v>
      </c>
      <c r="C6" s="516">
        <v>30</v>
      </c>
      <c r="D6" s="474">
        <v>160</v>
      </c>
      <c r="E6" s="514">
        <v>4800</v>
      </c>
      <c r="F6" s="476" t="s">
        <v>1339</v>
      </c>
      <c r="G6" s="531">
        <v>5120</v>
      </c>
      <c r="H6" s="518"/>
      <c r="I6" s="518">
        <v>5120</v>
      </c>
      <c r="J6" s="489"/>
      <c r="K6" s="513" t="s">
        <v>1021</v>
      </c>
      <c r="L6" s="513" t="s">
        <v>1022</v>
      </c>
      <c r="M6" s="459"/>
      <c r="N6" s="513" t="s">
        <v>992</v>
      </c>
      <c r="O6" s="517" t="s">
        <v>769</v>
      </c>
      <c r="P6" s="513">
        <v>11782</v>
      </c>
      <c r="Q6" s="513" t="s">
        <v>1023</v>
      </c>
      <c r="R6" s="459"/>
      <c r="S6" s="513" t="s">
        <v>1024</v>
      </c>
      <c r="T6" s="459"/>
      <c r="U6" s="513" t="s">
        <v>1025</v>
      </c>
      <c r="V6" s="487" t="s">
        <v>1026</v>
      </c>
      <c r="W6" s="513" t="s">
        <v>1032</v>
      </c>
      <c r="X6" s="513" t="s">
        <v>1033</v>
      </c>
      <c r="Y6" s="459"/>
      <c r="Z6" s="459"/>
      <c r="AA6" s="517" t="s">
        <v>1034</v>
      </c>
      <c r="AB6" s="517" t="s">
        <v>1035</v>
      </c>
      <c r="AC6" s="459"/>
      <c r="AD6" s="459"/>
      <c r="AE6" s="459"/>
      <c r="AF6" s="459"/>
      <c r="AG6" s="459"/>
      <c r="AH6" s="459"/>
      <c r="AI6" s="459"/>
    </row>
    <row r="7" spans="1:35" x14ac:dyDescent="0.2">
      <c r="A7" s="526" t="s">
        <v>153</v>
      </c>
      <c r="B7" s="515" t="s">
        <v>147</v>
      </c>
      <c r="C7" s="516">
        <v>32</v>
      </c>
      <c r="D7" s="474">
        <v>160</v>
      </c>
      <c r="E7" s="514">
        <v>5120</v>
      </c>
      <c r="F7" s="476" t="s">
        <v>121</v>
      </c>
      <c r="G7" s="531">
        <v>5120</v>
      </c>
      <c r="H7" s="518"/>
      <c r="I7" s="518">
        <v>5120</v>
      </c>
      <c r="J7" s="489"/>
      <c r="K7" s="513" t="s">
        <v>861</v>
      </c>
      <c r="L7" s="513" t="s">
        <v>1045</v>
      </c>
      <c r="M7" s="459"/>
      <c r="N7" s="513" t="s">
        <v>1046</v>
      </c>
      <c r="O7" s="517" t="s">
        <v>769</v>
      </c>
      <c r="P7" s="513">
        <v>11772</v>
      </c>
      <c r="Q7" s="513" t="s">
        <v>1047</v>
      </c>
      <c r="R7" s="459"/>
      <c r="S7" s="513" t="s">
        <v>1048</v>
      </c>
      <c r="T7" s="459"/>
      <c r="U7" s="513" t="s">
        <v>1049</v>
      </c>
      <c r="V7" s="487" t="s">
        <v>1050</v>
      </c>
      <c r="W7" s="513" t="s">
        <v>1051</v>
      </c>
      <c r="X7" s="513" t="s">
        <v>1052</v>
      </c>
      <c r="Y7" s="517" t="s">
        <v>1000</v>
      </c>
      <c r="Z7" s="459"/>
      <c r="AA7" s="517" t="s">
        <v>1053</v>
      </c>
      <c r="AB7" s="517" t="s">
        <v>1054</v>
      </c>
      <c r="AC7" s="459"/>
      <c r="AD7" s="459"/>
      <c r="AE7" s="517" t="s">
        <v>1055</v>
      </c>
      <c r="AF7" s="459"/>
      <c r="AG7" s="459"/>
      <c r="AH7" s="459"/>
      <c r="AI7" s="459"/>
    </row>
    <row r="8" spans="1:35" x14ac:dyDescent="0.2">
      <c r="A8" s="526" t="s">
        <v>155</v>
      </c>
      <c r="B8" s="515" t="s">
        <v>147</v>
      </c>
      <c r="C8" s="516">
        <v>32</v>
      </c>
      <c r="D8" s="474">
        <v>160</v>
      </c>
      <c r="E8" s="514">
        <v>5120</v>
      </c>
      <c r="F8" s="476" t="s">
        <v>121</v>
      </c>
      <c r="G8" s="531">
        <v>5120</v>
      </c>
      <c r="H8" s="518"/>
      <c r="I8" s="518">
        <v>5120</v>
      </c>
      <c r="J8" s="489"/>
      <c r="K8" s="513" t="s">
        <v>1056</v>
      </c>
      <c r="L8" s="513" t="s">
        <v>1057</v>
      </c>
      <c r="M8" s="513"/>
      <c r="N8" s="513" t="s">
        <v>1058</v>
      </c>
      <c r="O8" s="517" t="s">
        <v>769</v>
      </c>
      <c r="P8" s="513">
        <v>11946</v>
      </c>
      <c r="Q8" s="513" t="s">
        <v>1059</v>
      </c>
      <c r="R8" s="513" t="s">
        <v>1060</v>
      </c>
      <c r="S8" s="513" t="s">
        <v>1059</v>
      </c>
      <c r="T8" s="513" t="s">
        <v>1061</v>
      </c>
      <c r="U8" s="513" t="s">
        <v>1062</v>
      </c>
      <c r="V8" s="487" t="s">
        <v>1063</v>
      </c>
      <c r="W8" s="513" t="s">
        <v>1064</v>
      </c>
      <c r="X8" s="513" t="s">
        <v>1065</v>
      </c>
      <c r="Y8" s="517" t="s">
        <v>1066</v>
      </c>
      <c r="Z8" s="520"/>
      <c r="AA8" s="517" t="s">
        <v>1067</v>
      </c>
      <c r="AB8" s="517" t="s">
        <v>1068</v>
      </c>
      <c r="AC8" s="517" t="s">
        <v>999</v>
      </c>
      <c r="AD8" s="513"/>
      <c r="AE8" s="517" t="s">
        <v>1069</v>
      </c>
      <c r="AF8" s="521"/>
      <c r="AG8" s="521"/>
      <c r="AH8" s="521"/>
      <c r="AI8" s="523"/>
    </row>
    <row r="9" spans="1:35" x14ac:dyDescent="0.2">
      <c r="A9" s="526" t="s">
        <v>152</v>
      </c>
      <c r="B9" s="515" t="s">
        <v>147</v>
      </c>
      <c r="C9" s="516">
        <v>31</v>
      </c>
      <c r="D9" s="474">
        <v>160</v>
      </c>
      <c r="E9" s="514">
        <v>4960</v>
      </c>
      <c r="F9" s="476" t="s">
        <v>1339</v>
      </c>
      <c r="G9" s="531">
        <v>5120</v>
      </c>
      <c r="H9" s="518"/>
      <c r="I9" s="518">
        <v>5120</v>
      </c>
      <c r="J9" s="489"/>
      <c r="K9" s="513" t="s">
        <v>861</v>
      </c>
      <c r="L9" s="513" t="s">
        <v>1036</v>
      </c>
      <c r="M9" s="513"/>
      <c r="N9" s="513" t="s">
        <v>992</v>
      </c>
      <c r="O9" s="517" t="s">
        <v>769</v>
      </c>
      <c r="P9" s="513">
        <v>11782</v>
      </c>
      <c r="Q9" s="513" t="s">
        <v>1037</v>
      </c>
      <c r="R9" s="513" t="s">
        <v>1038</v>
      </c>
      <c r="S9" s="513"/>
      <c r="T9" s="513"/>
      <c r="U9" s="513" t="s">
        <v>869</v>
      </c>
      <c r="V9" s="500" t="s">
        <v>1039</v>
      </c>
      <c r="W9" s="513" t="s">
        <v>1040</v>
      </c>
      <c r="X9" s="513" t="s">
        <v>1041</v>
      </c>
      <c r="Y9" s="517"/>
      <c r="Z9" s="520"/>
      <c r="AA9" s="517" t="s">
        <v>1042</v>
      </c>
      <c r="AB9" s="517" t="s">
        <v>1043</v>
      </c>
      <c r="AC9" s="517"/>
      <c r="AD9" s="513"/>
      <c r="AE9" s="517" t="s">
        <v>1044</v>
      </c>
      <c r="AF9" s="521"/>
      <c r="AG9" s="521"/>
      <c r="AH9" s="521"/>
      <c r="AI9" s="523"/>
    </row>
    <row r="10" spans="1:35" x14ac:dyDescent="0.2">
      <c r="A10" s="526" t="s">
        <v>152</v>
      </c>
      <c r="B10" s="515" t="s">
        <v>147</v>
      </c>
      <c r="C10" s="516">
        <v>23</v>
      </c>
      <c r="D10" s="474">
        <v>160</v>
      </c>
      <c r="E10" s="514">
        <v>3680</v>
      </c>
      <c r="F10" s="476" t="s">
        <v>1339</v>
      </c>
      <c r="G10" s="531">
        <v>5120</v>
      </c>
      <c r="H10" s="518"/>
      <c r="I10" s="518">
        <v>5120</v>
      </c>
      <c r="J10" s="489"/>
      <c r="K10" s="513" t="s">
        <v>861</v>
      </c>
      <c r="L10" s="513" t="s">
        <v>1036</v>
      </c>
      <c r="M10" s="513"/>
      <c r="N10" s="513" t="s">
        <v>992</v>
      </c>
      <c r="O10" s="517" t="s">
        <v>769</v>
      </c>
      <c r="P10" s="513">
        <v>11782</v>
      </c>
      <c r="Q10" s="513" t="s">
        <v>1037</v>
      </c>
      <c r="R10" s="513" t="s">
        <v>1038</v>
      </c>
      <c r="S10" s="513"/>
      <c r="T10" s="513"/>
      <c r="U10" s="513" t="s">
        <v>869</v>
      </c>
      <c r="V10" s="500" t="s">
        <v>1039</v>
      </c>
      <c r="W10" s="513" t="s">
        <v>869</v>
      </c>
      <c r="X10" s="513" t="s">
        <v>867</v>
      </c>
      <c r="Y10" s="517"/>
      <c r="Z10" s="520"/>
      <c r="AA10" s="517">
        <v>9</v>
      </c>
      <c r="AB10" s="517" t="s">
        <v>963</v>
      </c>
      <c r="AC10" s="517" t="s">
        <v>999</v>
      </c>
      <c r="AD10" s="513"/>
      <c r="AE10" s="517"/>
      <c r="AF10" s="521"/>
      <c r="AG10" s="521"/>
      <c r="AH10" s="521"/>
      <c r="AI10" s="517"/>
    </row>
    <row r="11" spans="1:35" x14ac:dyDescent="0.2">
      <c r="A11" s="526" t="s">
        <v>1070</v>
      </c>
      <c r="B11" s="515" t="s">
        <v>147</v>
      </c>
      <c r="C11" s="516">
        <v>18</v>
      </c>
      <c r="D11" s="474">
        <v>160</v>
      </c>
      <c r="E11" s="514">
        <v>2880</v>
      </c>
      <c r="F11" s="476" t="s">
        <v>1362</v>
      </c>
      <c r="G11" s="531">
        <v>1500</v>
      </c>
      <c r="H11" s="518"/>
      <c r="I11" s="518">
        <v>1500</v>
      </c>
      <c r="J11" s="489"/>
      <c r="K11" s="513" t="s">
        <v>1071</v>
      </c>
      <c r="L11" s="513" t="s">
        <v>1072</v>
      </c>
      <c r="M11" s="459"/>
      <c r="N11" s="513" t="s">
        <v>1002</v>
      </c>
      <c r="O11" s="517" t="s">
        <v>769</v>
      </c>
      <c r="P11" s="513">
        <v>11715</v>
      </c>
      <c r="Q11" s="513" t="s">
        <v>1073</v>
      </c>
      <c r="R11" s="459"/>
      <c r="S11" s="513" t="s">
        <v>1074</v>
      </c>
      <c r="T11" s="513" t="s">
        <v>1075</v>
      </c>
      <c r="U11" s="513">
        <v>552</v>
      </c>
      <c r="V11" s="487" t="s">
        <v>1076</v>
      </c>
      <c r="W11" s="513" t="s">
        <v>869</v>
      </c>
      <c r="X11" s="513" t="s">
        <v>1077</v>
      </c>
      <c r="Y11" s="517" t="s">
        <v>1078</v>
      </c>
      <c r="Z11" s="459"/>
      <c r="AA11" s="517" t="s">
        <v>1079</v>
      </c>
      <c r="AB11" s="517" t="s">
        <v>879</v>
      </c>
      <c r="AC11" s="517" t="s">
        <v>999</v>
      </c>
      <c r="AD11" s="513">
        <v>11000</v>
      </c>
      <c r="AE11" s="459"/>
      <c r="AF11" s="459"/>
      <c r="AG11" s="459"/>
      <c r="AH11" s="459"/>
      <c r="AI11" s="459"/>
    </row>
    <row r="12" spans="1:35" x14ac:dyDescent="0.2">
      <c r="A12" s="526" t="s">
        <v>159</v>
      </c>
      <c r="B12" s="515" t="s">
        <v>147</v>
      </c>
      <c r="C12" s="516">
        <v>31</v>
      </c>
      <c r="D12" s="474">
        <v>160</v>
      </c>
      <c r="E12" s="514">
        <v>4960</v>
      </c>
      <c r="F12" s="476" t="s">
        <v>1339</v>
      </c>
      <c r="G12" s="531">
        <v>5120</v>
      </c>
      <c r="H12" s="518"/>
      <c r="I12" s="518">
        <v>5120</v>
      </c>
      <c r="J12" s="489"/>
      <c r="K12" s="513" t="s">
        <v>1080</v>
      </c>
      <c r="L12" s="513" t="s">
        <v>1081</v>
      </c>
      <c r="M12" s="459"/>
      <c r="N12" s="513" t="s">
        <v>992</v>
      </c>
      <c r="O12" s="517" t="s">
        <v>769</v>
      </c>
      <c r="P12" s="513">
        <v>11782</v>
      </c>
      <c r="Q12" s="459"/>
      <c r="R12" s="513" t="s">
        <v>1082</v>
      </c>
      <c r="S12" s="513" t="s">
        <v>1083</v>
      </c>
      <c r="T12" s="459"/>
      <c r="U12" s="513" t="s">
        <v>1084</v>
      </c>
      <c r="V12" s="513" t="s">
        <v>1085</v>
      </c>
      <c r="W12" s="513" t="s">
        <v>869</v>
      </c>
      <c r="X12" s="513" t="s">
        <v>1086</v>
      </c>
      <c r="Y12" s="517" t="s">
        <v>1087</v>
      </c>
      <c r="Z12" s="459"/>
      <c r="AA12" s="517" t="s">
        <v>1088</v>
      </c>
      <c r="AB12" s="517" t="s">
        <v>1089</v>
      </c>
      <c r="AC12" s="517" t="s">
        <v>999</v>
      </c>
      <c r="AD12" s="459"/>
      <c r="AE12" s="517" t="s">
        <v>1090</v>
      </c>
      <c r="AF12" s="459"/>
      <c r="AG12" s="459"/>
      <c r="AH12" s="459"/>
      <c r="AI12" s="459"/>
    </row>
    <row r="13" spans="1:35" x14ac:dyDescent="0.2">
      <c r="A13" s="526" t="s">
        <v>1363</v>
      </c>
      <c r="B13" s="515" t="s">
        <v>147</v>
      </c>
      <c r="C13" s="516">
        <v>25</v>
      </c>
      <c r="D13" s="474">
        <v>160</v>
      </c>
      <c r="E13" s="514">
        <v>4000</v>
      </c>
      <c r="F13" s="476" t="s">
        <v>1339</v>
      </c>
      <c r="G13" s="531">
        <v>6560</v>
      </c>
      <c r="H13" s="459"/>
      <c r="I13" s="518">
        <v>6560</v>
      </c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  <c r="AC13" s="459"/>
      <c r="AD13" s="459"/>
      <c r="AE13" s="459"/>
      <c r="AF13" s="459"/>
      <c r="AG13" s="459"/>
      <c r="AH13" s="459"/>
      <c r="AI13" s="459"/>
    </row>
    <row r="14" spans="1:35" x14ac:dyDescent="0.2">
      <c r="A14" s="530" t="s">
        <v>1364</v>
      </c>
      <c r="B14" s="515"/>
      <c r="C14" s="459"/>
      <c r="D14" s="459"/>
      <c r="E14" s="459"/>
      <c r="F14" s="519"/>
      <c r="G14" s="459"/>
      <c r="H14" s="518"/>
      <c r="I14" s="518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</row>
    <row r="15" spans="1:35" x14ac:dyDescent="0.2">
      <c r="A15" s="459"/>
      <c r="B15" s="515"/>
      <c r="C15" s="459"/>
      <c r="D15" s="459"/>
      <c r="E15" s="459"/>
      <c r="F15" s="532" t="s">
        <v>147</v>
      </c>
      <c r="G15" s="533">
        <v>11680</v>
      </c>
      <c r="H15" s="518"/>
      <c r="I15" s="518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  <c r="AC15" s="459"/>
      <c r="AD15" s="459"/>
      <c r="AE15" s="459"/>
      <c r="AF15" s="459"/>
      <c r="AG15" s="459"/>
      <c r="AH15" s="459"/>
      <c r="AI15" s="459"/>
    </row>
    <row r="16" spans="1:35" x14ac:dyDescent="0.2">
      <c r="A16" s="459"/>
      <c r="B16" s="515"/>
      <c r="C16" s="459"/>
      <c r="D16" s="459"/>
      <c r="E16" s="459"/>
      <c r="F16" s="532" t="s">
        <v>151</v>
      </c>
      <c r="G16" s="533">
        <v>49020</v>
      </c>
      <c r="H16" s="518"/>
      <c r="I16" s="518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59"/>
      <c r="AD16" s="459"/>
      <c r="AE16" s="459"/>
      <c r="AF16" s="459"/>
      <c r="AG16" s="459"/>
      <c r="AH16" s="459"/>
      <c r="AI16" s="459"/>
    </row>
    <row r="17" spans="1:35" ht="16" x14ac:dyDescent="0.2">
      <c r="A17" s="459"/>
      <c r="B17" s="515"/>
      <c r="C17" s="459"/>
      <c r="D17" s="459"/>
      <c r="E17" s="459"/>
      <c r="F17" s="524" t="s">
        <v>1365</v>
      </c>
      <c r="G17" s="534">
        <v>60700</v>
      </c>
      <c r="H17" s="518">
        <v>0</v>
      </c>
      <c r="I17" s="518">
        <v>60700</v>
      </c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</row>
    <row r="18" spans="1:35" x14ac:dyDescent="0.2">
      <c r="A18" s="459"/>
      <c r="B18" s="515"/>
      <c r="C18" s="459"/>
      <c r="D18" s="459"/>
      <c r="E18" s="459"/>
      <c r="F18" s="519"/>
      <c r="G18" s="459"/>
      <c r="H18" s="518"/>
      <c r="I18" s="518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</row>
    <row r="19" spans="1:35" x14ac:dyDescent="0.2">
      <c r="A19" s="459"/>
      <c r="B19" s="459"/>
      <c r="C19" s="459"/>
      <c r="D19" s="459"/>
      <c r="E19" s="459"/>
      <c r="F19" s="519"/>
      <c r="G19" s="459"/>
      <c r="H19" s="459"/>
      <c r="I19" s="518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59"/>
      <c r="V19" s="459"/>
      <c r="W19" s="459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59"/>
      <c r="AI19" s="459"/>
    </row>
    <row r="20" spans="1:35" x14ac:dyDescent="0.2">
      <c r="A20" s="459"/>
      <c r="B20" s="515"/>
      <c r="C20" s="459"/>
      <c r="D20" s="459"/>
      <c r="E20" s="459"/>
      <c r="F20" s="519"/>
      <c r="G20" s="459"/>
      <c r="H20" s="518"/>
      <c r="I20" s="518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59"/>
      <c r="AG20" s="459"/>
      <c r="AH20" s="459"/>
      <c r="AI20" s="459"/>
    </row>
    <row r="21" spans="1:35" x14ac:dyDescent="0.2">
      <c r="A21" s="459"/>
      <c r="B21" s="515"/>
      <c r="C21" s="459"/>
      <c r="D21" s="459"/>
      <c r="E21" s="459"/>
      <c r="F21" s="519"/>
      <c r="G21" s="459"/>
      <c r="H21" s="518"/>
      <c r="I21" s="518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459"/>
      <c r="U21" s="459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59"/>
      <c r="AG21" s="459"/>
      <c r="AH21" s="459"/>
      <c r="AI21" s="525"/>
    </row>
    <row r="22" spans="1:35" x14ac:dyDescent="0.2">
      <c r="A22" s="527"/>
      <c r="B22" s="515"/>
      <c r="C22" s="459"/>
      <c r="D22" s="459"/>
      <c r="E22" s="459"/>
      <c r="F22" s="519"/>
      <c r="G22" s="459"/>
      <c r="H22" s="518"/>
      <c r="I22" s="518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87"/>
      <c r="W22" s="459"/>
      <c r="X22" s="459"/>
      <c r="Y22" s="459"/>
      <c r="Z22" s="459"/>
      <c r="AA22" s="459"/>
      <c r="AB22" s="459"/>
      <c r="AC22" s="459"/>
      <c r="AD22" s="459"/>
      <c r="AE22" s="459"/>
      <c r="AF22" s="521" t="s">
        <v>121</v>
      </c>
      <c r="AG22" s="521" t="s">
        <v>121</v>
      </c>
      <c r="AH22" s="521" t="s">
        <v>121</v>
      </c>
      <c r="AI22" s="459"/>
    </row>
    <row r="23" spans="1:35" x14ac:dyDescent="0.2">
      <c r="A23" s="1105" t="s">
        <v>1366</v>
      </c>
      <c r="B23" s="1105"/>
      <c r="C23" s="1105"/>
      <c r="D23" s="1105"/>
      <c r="E23" s="459"/>
      <c r="F23" s="1106" t="s">
        <v>1367</v>
      </c>
      <c r="G23" s="1106"/>
      <c r="H23" s="1106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</row>
    <row r="24" spans="1:35" x14ac:dyDescent="0.2">
      <c r="A24" s="536" t="s">
        <v>138</v>
      </c>
      <c r="B24" s="536"/>
      <c r="C24" s="536"/>
      <c r="D24" s="536"/>
      <c r="E24" s="459"/>
      <c r="F24" s="537"/>
      <c r="G24" s="537"/>
      <c r="H24" s="537"/>
      <c r="I24" s="459"/>
      <c r="J24" s="459"/>
      <c r="K24" s="459"/>
      <c r="L24" s="459"/>
    </row>
    <row r="25" spans="1:35" x14ac:dyDescent="0.2">
      <c r="A25" s="459" t="s">
        <v>1368</v>
      </c>
      <c r="B25" s="459"/>
      <c r="C25" s="459"/>
      <c r="D25" s="514" t="s">
        <v>1369</v>
      </c>
      <c r="E25" s="459"/>
      <c r="F25" s="535">
        <v>60</v>
      </c>
      <c r="G25" s="535" t="s">
        <v>1370</v>
      </c>
      <c r="H25" s="535"/>
      <c r="I25" s="459"/>
      <c r="J25" s="459"/>
      <c r="K25" s="459"/>
      <c r="L25" s="459"/>
    </row>
    <row r="26" spans="1:35" x14ac:dyDescent="0.2">
      <c r="A26" s="459" t="s">
        <v>147</v>
      </c>
      <c r="B26" s="514">
        <v>160</v>
      </c>
      <c r="C26" s="459"/>
      <c r="D26" s="514">
        <v>5120</v>
      </c>
      <c r="E26" s="459"/>
      <c r="F26" s="535">
        <v>100</v>
      </c>
      <c r="G26" s="535" t="s">
        <v>1371</v>
      </c>
      <c r="H26" s="535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</row>
    <row r="27" spans="1:35" x14ac:dyDescent="0.2">
      <c r="A27" s="459" t="s">
        <v>1372</v>
      </c>
      <c r="B27" s="514">
        <v>205</v>
      </c>
      <c r="C27" s="459"/>
      <c r="D27" s="514">
        <v>6560</v>
      </c>
      <c r="E27" s="459"/>
      <c r="F27" s="535"/>
      <c r="G27" s="535"/>
      <c r="H27" s="535"/>
      <c r="I27" s="459"/>
      <c r="J27" s="535"/>
      <c r="K27" s="535"/>
      <c r="L27" s="535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</row>
    <row r="28" spans="1:35" x14ac:dyDescent="0.2">
      <c r="A28" s="459"/>
      <c r="B28" s="459"/>
      <c r="C28" s="459"/>
      <c r="D28" s="459"/>
      <c r="E28" s="459"/>
      <c r="F28" s="535">
        <v>6</v>
      </c>
      <c r="G28" s="535" t="s">
        <v>1373</v>
      </c>
      <c r="H28" s="535" t="s">
        <v>1374</v>
      </c>
      <c r="I28" s="459"/>
      <c r="J28" s="535"/>
      <c r="K28" s="535"/>
      <c r="L28" s="535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</row>
    <row r="29" spans="1:35" x14ac:dyDescent="0.2">
      <c r="A29" s="459" t="s">
        <v>1368</v>
      </c>
      <c r="B29" s="459"/>
      <c r="C29" s="459"/>
      <c r="D29" s="459"/>
      <c r="E29" s="459"/>
      <c r="F29" s="459"/>
      <c r="G29" s="459"/>
      <c r="H29" s="459"/>
      <c r="I29" s="459"/>
      <c r="J29" s="535"/>
      <c r="K29" s="535"/>
      <c r="L29" s="535"/>
    </row>
    <row r="30" spans="1:35" x14ac:dyDescent="0.2">
      <c r="A30" s="459" t="s">
        <v>168</v>
      </c>
      <c r="B30" s="514">
        <v>110</v>
      </c>
      <c r="C30" s="459"/>
      <c r="D30" s="514">
        <v>3520</v>
      </c>
      <c r="E30" s="459"/>
      <c r="F30" s="459"/>
      <c r="G30" s="459"/>
      <c r="H30" s="459"/>
      <c r="I30" s="459"/>
      <c r="J30" s="535"/>
      <c r="K30" s="535"/>
      <c r="L30" s="535"/>
    </row>
    <row r="31" spans="1:35" x14ac:dyDescent="0.2">
      <c r="A31" s="459" t="s">
        <v>165</v>
      </c>
      <c r="B31" s="514">
        <v>145</v>
      </c>
      <c r="C31" s="459"/>
      <c r="D31" s="514">
        <v>4640</v>
      </c>
      <c r="E31" s="459"/>
      <c r="F31" s="459"/>
      <c r="G31" s="459"/>
      <c r="H31" s="459"/>
      <c r="I31" s="459"/>
      <c r="J31" s="535"/>
      <c r="K31" s="535"/>
      <c r="L31" s="535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</row>
    <row r="32" spans="1:35" x14ac:dyDescent="0.2">
      <c r="A32" s="459"/>
      <c r="B32" s="459"/>
      <c r="C32" s="459"/>
      <c r="D32" s="459"/>
      <c r="E32" s="459"/>
      <c r="F32" s="459"/>
      <c r="G32" s="459"/>
      <c r="H32" s="459"/>
      <c r="I32" s="459"/>
      <c r="J32" s="535"/>
      <c r="K32" s="535"/>
      <c r="L32" s="535"/>
    </row>
    <row r="34" spans="1:12" x14ac:dyDescent="0.2">
      <c r="A34" s="538" t="s">
        <v>1375</v>
      </c>
      <c r="B34" s="538"/>
      <c r="C34" s="538"/>
      <c r="D34" s="538"/>
      <c r="E34" s="459"/>
      <c r="F34" s="459"/>
      <c r="G34" s="459"/>
      <c r="H34" s="459"/>
      <c r="I34" s="459"/>
      <c r="J34" s="459"/>
      <c r="K34" s="459"/>
      <c r="L34" s="459"/>
    </row>
    <row r="35" spans="1:12" x14ac:dyDescent="0.2">
      <c r="A35" s="539"/>
      <c r="B35" s="540" t="s">
        <v>1376</v>
      </c>
      <c r="C35" s="540" t="s">
        <v>1377</v>
      </c>
      <c r="D35" s="540" t="s">
        <v>1369</v>
      </c>
      <c r="E35" s="459"/>
      <c r="F35" s="459"/>
      <c r="G35" s="459"/>
      <c r="H35" s="459"/>
      <c r="I35" s="459"/>
      <c r="J35" s="459"/>
      <c r="K35" s="459"/>
      <c r="L35" s="459"/>
    </row>
    <row r="36" spans="1:12" x14ac:dyDescent="0.2">
      <c r="A36" s="539" t="s">
        <v>164</v>
      </c>
      <c r="B36" s="540"/>
      <c r="C36" s="540"/>
      <c r="D36" s="540"/>
      <c r="E36" s="459"/>
      <c r="F36" s="459"/>
      <c r="G36" s="459"/>
      <c r="H36" s="459"/>
      <c r="I36" s="459"/>
      <c r="J36" s="459"/>
      <c r="K36" s="459"/>
      <c r="L36" s="459"/>
    </row>
    <row r="37" spans="1:12" x14ac:dyDescent="0.2">
      <c r="A37" s="539" t="s">
        <v>1361</v>
      </c>
      <c r="B37" s="540">
        <v>143</v>
      </c>
      <c r="C37" s="540">
        <v>91</v>
      </c>
      <c r="D37" s="540">
        <v>3865</v>
      </c>
      <c r="E37" s="459"/>
      <c r="F37" s="459"/>
      <c r="G37" s="459"/>
      <c r="H37" s="459"/>
      <c r="I37" s="459"/>
      <c r="J37" s="459"/>
      <c r="K37" s="459"/>
      <c r="L37" s="459"/>
    </row>
    <row r="38" spans="1:12" x14ac:dyDescent="0.2">
      <c r="A38" s="539" t="s">
        <v>1378</v>
      </c>
      <c r="B38" s="540">
        <v>188</v>
      </c>
      <c r="C38" s="540">
        <v>137</v>
      </c>
      <c r="D38" s="540">
        <v>5154</v>
      </c>
    </row>
    <row r="39" spans="1:12" x14ac:dyDescent="0.2">
      <c r="A39" s="539"/>
      <c r="B39" s="540"/>
      <c r="C39" s="540"/>
      <c r="D39" s="540"/>
    </row>
    <row r="40" spans="1:12" x14ac:dyDescent="0.2">
      <c r="A40" s="539" t="s">
        <v>1379</v>
      </c>
      <c r="B40" s="540"/>
      <c r="C40" s="540"/>
      <c r="D40" s="540"/>
    </row>
    <row r="41" spans="1:12" x14ac:dyDescent="0.2">
      <c r="A41" s="539" t="s">
        <v>1361</v>
      </c>
      <c r="B41" s="540">
        <v>100</v>
      </c>
      <c r="C41" s="540">
        <v>65</v>
      </c>
      <c r="D41" s="540">
        <v>2735</v>
      </c>
    </row>
    <row r="42" spans="1:12" x14ac:dyDescent="0.2">
      <c r="A42" s="539" t="s">
        <v>1360</v>
      </c>
      <c r="B42" s="540">
        <v>134</v>
      </c>
      <c r="C42" s="540">
        <v>97</v>
      </c>
      <c r="D42" s="540">
        <v>3829</v>
      </c>
    </row>
    <row r="43" spans="1:12" x14ac:dyDescent="0.2">
      <c r="A43" s="539"/>
      <c r="B43" s="540"/>
      <c r="C43" s="540"/>
      <c r="D43" s="540"/>
    </row>
    <row r="44" spans="1:12" x14ac:dyDescent="0.2">
      <c r="A44" s="539"/>
      <c r="B44" s="540"/>
      <c r="C44" s="540"/>
      <c r="D44" s="540"/>
    </row>
    <row r="45" spans="1:12" x14ac:dyDescent="0.2">
      <c r="A45" s="539"/>
      <c r="B45" s="540"/>
      <c r="C45" s="540"/>
      <c r="D45" s="540"/>
    </row>
    <row r="46" spans="1:12" x14ac:dyDescent="0.2">
      <c r="A46" s="538" t="s">
        <v>1380</v>
      </c>
      <c r="B46" s="538"/>
      <c r="C46" s="538"/>
      <c r="D46" s="538"/>
    </row>
    <row r="47" spans="1:12" x14ac:dyDescent="0.2">
      <c r="A47" s="539"/>
      <c r="B47" s="540" t="s">
        <v>1376</v>
      </c>
      <c r="C47" s="540" t="s">
        <v>1377</v>
      </c>
      <c r="D47" s="540" t="s">
        <v>1369</v>
      </c>
    </row>
    <row r="48" spans="1:12" x14ac:dyDescent="0.2">
      <c r="A48" s="539" t="s">
        <v>164</v>
      </c>
      <c r="B48" s="540"/>
      <c r="C48" s="540"/>
      <c r="D48" s="540"/>
    </row>
    <row r="49" spans="1:4" x14ac:dyDescent="0.2">
      <c r="A49" s="539" t="s">
        <v>1361</v>
      </c>
      <c r="B49" s="540">
        <v>136</v>
      </c>
      <c r="C49" s="540">
        <v>87</v>
      </c>
      <c r="D49" s="540">
        <v>3681</v>
      </c>
    </row>
    <row r="50" spans="1:4" x14ac:dyDescent="0.2">
      <c r="A50" s="539" t="s">
        <v>1378</v>
      </c>
      <c r="B50" s="540">
        <v>179</v>
      </c>
      <c r="C50" s="540">
        <v>130</v>
      </c>
      <c r="D50" s="540">
        <v>4909</v>
      </c>
    </row>
    <row r="51" spans="1:4" x14ac:dyDescent="0.2">
      <c r="A51" s="539"/>
      <c r="B51" s="540"/>
      <c r="C51" s="540"/>
      <c r="D51" s="540"/>
    </row>
    <row r="52" spans="1:4" x14ac:dyDescent="0.2">
      <c r="A52" s="539" t="s">
        <v>1379</v>
      </c>
      <c r="B52" s="540"/>
      <c r="C52" s="540"/>
      <c r="D52" s="540"/>
    </row>
    <row r="53" spans="1:4" x14ac:dyDescent="0.2">
      <c r="A53" s="539" t="s">
        <v>1361</v>
      </c>
      <c r="B53" s="540">
        <v>95</v>
      </c>
      <c r="C53" s="540">
        <v>62</v>
      </c>
      <c r="D53" s="540">
        <v>2605</v>
      </c>
    </row>
    <row r="54" spans="1:4" x14ac:dyDescent="0.2">
      <c r="A54" s="539" t="s">
        <v>1360</v>
      </c>
      <c r="B54" s="540">
        <v>128</v>
      </c>
      <c r="C54" s="540">
        <v>92</v>
      </c>
      <c r="D54" s="540">
        <v>3473</v>
      </c>
    </row>
  </sheetData>
  <mergeCells count="2">
    <mergeCell ref="A23:D23"/>
    <mergeCell ref="F23:H23"/>
  </mergeCells>
  <hyperlinks>
    <hyperlink ref="V5" r:id="rId1" xr:uid="{00000000-0004-0000-0000-000000000000}"/>
    <hyperlink ref="V8" r:id="rId2" xr:uid="{00000000-0004-0000-0000-000001000000}"/>
    <hyperlink ref="V9" r:id="rId3" xr:uid="{00000000-0004-0000-0000-000002000000}"/>
    <hyperlink ref="V4" r:id="rId4" xr:uid="{00000000-0004-0000-0000-000003000000}"/>
    <hyperlink ref="V3" r:id="rId5" xr:uid="{00000000-0004-0000-0000-000005000000}"/>
    <hyperlink ref="V11" r:id="rId6" xr:uid="{00000000-0004-0000-0000-000006000000}"/>
    <hyperlink ref="V2" r:id="rId7" xr:uid="{00000000-0004-0000-0000-000007000000}"/>
    <hyperlink ref="V7" r:id="rId8" xr:uid="{00000000-0004-0000-0000-000009000000}"/>
    <hyperlink ref="V6" r:id="rId9" xr:uid="{5B3B84D4-005B-42D7-A037-4485604E43CF}"/>
    <hyperlink ref="V10" r:id="rId10" xr:uid="{DB34C755-142D-4204-860C-51BE23A7383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075D-46D2-41C9-815E-EFA854FA5158}">
  <dimension ref="B1:G28"/>
  <sheetViews>
    <sheetView workbookViewId="0">
      <selection activeCell="E5" sqref="E5"/>
    </sheetView>
  </sheetViews>
  <sheetFormatPr baseColWidth="10" defaultColWidth="8.83203125" defaultRowHeight="15" x14ac:dyDescent="0.2"/>
  <cols>
    <col min="1" max="1" width="1.5" customWidth="1"/>
    <col min="3" max="3" width="57.5" customWidth="1"/>
    <col min="4" max="4" width="16.6640625" customWidth="1"/>
    <col min="5" max="5" width="19.1640625" customWidth="1"/>
    <col min="6" max="6" width="20.1640625" customWidth="1"/>
    <col min="7" max="7" width="77.6640625" style="377" customWidth="1"/>
  </cols>
  <sheetData>
    <row r="1" spans="2:7" ht="16" thickBot="1" x14ac:dyDescent="0.25"/>
    <row r="2" spans="2:7" ht="21" x14ac:dyDescent="0.25">
      <c r="B2" s="817" t="s">
        <v>1106</v>
      </c>
      <c r="C2" s="569"/>
      <c r="D2" s="569"/>
      <c r="E2" s="569"/>
      <c r="F2" s="569"/>
    </row>
    <row r="3" spans="2:7" ht="18" x14ac:dyDescent="0.2">
      <c r="B3" s="378"/>
      <c r="C3" s="359"/>
      <c r="D3" s="360" t="s">
        <v>698</v>
      </c>
      <c r="E3" s="360" t="s">
        <v>592</v>
      </c>
      <c r="F3" s="360" t="s">
        <v>689</v>
      </c>
    </row>
    <row r="4" spans="2:7" ht="18" x14ac:dyDescent="0.2">
      <c r="B4" s="379" t="s">
        <v>555</v>
      </c>
      <c r="C4" s="358"/>
      <c r="D4" s="361"/>
      <c r="E4" s="361"/>
      <c r="F4" s="361"/>
    </row>
    <row r="5" spans="2:7" ht="18" x14ac:dyDescent="0.2">
      <c r="B5" s="379"/>
      <c r="C5" s="358" t="s">
        <v>556</v>
      </c>
      <c r="D5" s="425">
        <v>118900</v>
      </c>
      <c r="E5" s="425">
        <v>102500</v>
      </c>
      <c r="F5" s="425">
        <v>102500</v>
      </c>
    </row>
    <row r="6" spans="2:7" ht="18" x14ac:dyDescent="0.2">
      <c r="B6" s="379" t="s">
        <v>557</v>
      </c>
      <c r="C6" s="358"/>
      <c r="D6" s="425">
        <f>ROUND(SUM(D4:D5),5)</f>
        <v>118900</v>
      </c>
      <c r="E6" s="425">
        <f>ROUND(SUM(E4:E5),5)</f>
        <v>102500</v>
      </c>
      <c r="F6" s="425">
        <f>SUM(F4:F5)</f>
        <v>102500</v>
      </c>
    </row>
    <row r="7" spans="2:7" x14ac:dyDescent="0.2">
      <c r="B7" s="11"/>
      <c r="C7" s="6"/>
      <c r="D7" s="443"/>
      <c r="E7" s="443"/>
      <c r="F7" s="443"/>
    </row>
    <row r="8" spans="2:7" ht="18" x14ac:dyDescent="0.2">
      <c r="B8" s="379" t="s">
        <v>572</v>
      </c>
      <c r="C8" s="358"/>
      <c r="D8" s="425"/>
      <c r="E8" s="425"/>
      <c r="F8" s="425"/>
    </row>
    <row r="9" spans="2:7" ht="18" x14ac:dyDescent="0.2">
      <c r="B9" s="379"/>
      <c r="C9" s="358" t="s">
        <v>573</v>
      </c>
      <c r="D9" s="425">
        <v>3158</v>
      </c>
      <c r="E9" s="425">
        <v>2400</v>
      </c>
      <c r="F9" s="425">
        <v>4500</v>
      </c>
      <c r="G9" s="377" t="s">
        <v>1107</v>
      </c>
    </row>
    <row r="10" spans="2:7" ht="18" x14ac:dyDescent="0.2">
      <c r="B10" s="379" t="s">
        <v>574</v>
      </c>
      <c r="C10" s="358"/>
      <c r="D10" s="425">
        <f>ROUND(SUM(D8:D9),5)</f>
        <v>3158</v>
      </c>
      <c r="E10" s="425">
        <f>ROUND(SUM(E8:E9),5)</f>
        <v>2400</v>
      </c>
      <c r="F10" s="425">
        <f>ROUND(SUM(F8:F9),5)</f>
        <v>4500</v>
      </c>
    </row>
    <row r="11" spans="2:7" x14ac:dyDescent="0.2">
      <c r="B11" s="11"/>
      <c r="C11" s="6"/>
      <c r="D11" s="443"/>
      <c r="E11" s="443"/>
      <c r="F11" s="443"/>
    </row>
    <row r="12" spans="2:7" ht="18" x14ac:dyDescent="0.2">
      <c r="B12" s="379" t="s">
        <v>566</v>
      </c>
      <c r="C12" s="358"/>
      <c r="D12" s="425"/>
      <c r="E12" s="425"/>
      <c r="F12" s="425"/>
    </row>
    <row r="13" spans="2:7" ht="18" x14ac:dyDescent="0.2">
      <c r="B13" s="379"/>
      <c r="C13" s="358" t="s">
        <v>567</v>
      </c>
      <c r="D13" s="425">
        <v>5313</v>
      </c>
      <c r="E13" s="425">
        <v>5500</v>
      </c>
      <c r="F13" s="425">
        <v>6000</v>
      </c>
    </row>
    <row r="14" spans="2:7" ht="18" x14ac:dyDescent="0.2">
      <c r="B14" s="379" t="s">
        <v>568</v>
      </c>
      <c r="C14" s="358"/>
      <c r="D14" s="425">
        <f>ROUND(SUM(D12:D13),5)</f>
        <v>5313</v>
      </c>
      <c r="E14" s="425">
        <f>ROUND(SUM(E12:E13),5)</f>
        <v>5500</v>
      </c>
      <c r="F14" s="425">
        <f>ROUND(SUM(F12:F13),5)</f>
        <v>6000</v>
      </c>
    </row>
    <row r="15" spans="2:7" x14ac:dyDescent="0.2">
      <c r="B15" s="11"/>
      <c r="C15" s="6"/>
      <c r="D15" s="443"/>
      <c r="E15" s="443"/>
      <c r="F15" s="443"/>
    </row>
    <row r="16" spans="2:7" ht="18" x14ac:dyDescent="0.2">
      <c r="B16" s="379" t="s">
        <v>20</v>
      </c>
      <c r="C16" s="358"/>
      <c r="D16" s="425"/>
      <c r="E16" s="425"/>
      <c r="F16" s="425"/>
      <c r="G16" s="818"/>
    </row>
    <row r="17" spans="2:7" ht="18" x14ac:dyDescent="0.2">
      <c r="B17" s="379"/>
      <c r="C17" s="358" t="s">
        <v>578</v>
      </c>
      <c r="D17" s="425">
        <v>72</v>
      </c>
      <c r="E17" s="425">
        <v>2680</v>
      </c>
      <c r="F17" s="425">
        <v>500</v>
      </c>
      <c r="G17" s="818" t="s">
        <v>1108</v>
      </c>
    </row>
    <row r="18" spans="2:7" ht="18" x14ac:dyDescent="0.2">
      <c r="B18" s="379"/>
      <c r="C18" s="358" t="s">
        <v>1109</v>
      </c>
      <c r="D18" s="567"/>
      <c r="E18" s="425"/>
      <c r="F18" s="425">
        <v>0</v>
      </c>
      <c r="G18" s="819" t="s">
        <v>1110</v>
      </c>
    </row>
    <row r="19" spans="2:7" ht="18" x14ac:dyDescent="0.2">
      <c r="B19" s="379"/>
      <c r="C19" s="358" t="s">
        <v>1111</v>
      </c>
      <c r="D19" s="567"/>
      <c r="E19" s="425">
        <v>200</v>
      </c>
      <c r="F19" s="425">
        <v>200</v>
      </c>
      <c r="G19" s="820"/>
    </row>
    <row r="20" spans="2:7" ht="18" x14ac:dyDescent="0.2">
      <c r="C20" s="358" t="s">
        <v>589</v>
      </c>
      <c r="D20" s="567"/>
      <c r="E20" s="425">
        <v>750</v>
      </c>
      <c r="F20" s="425">
        <v>1000</v>
      </c>
      <c r="G20" s="820"/>
    </row>
    <row r="21" spans="2:7" ht="18" x14ac:dyDescent="0.2">
      <c r="B21" s="11"/>
      <c r="C21" s="358" t="s">
        <v>590</v>
      </c>
      <c r="D21" s="567"/>
      <c r="E21" s="425">
        <v>3000</v>
      </c>
      <c r="F21" s="425">
        <v>3000</v>
      </c>
      <c r="G21" s="820"/>
    </row>
    <row r="22" spans="2:7" ht="18" x14ac:dyDescent="0.2">
      <c r="B22" s="11"/>
      <c r="C22" s="358" t="s">
        <v>579</v>
      </c>
      <c r="D22" s="425">
        <v>424</v>
      </c>
      <c r="E22" s="425">
        <v>424</v>
      </c>
      <c r="F22" s="425">
        <v>424</v>
      </c>
      <c r="G22" s="818" t="s">
        <v>728</v>
      </c>
    </row>
    <row r="23" spans="2:7" ht="18" x14ac:dyDescent="0.2">
      <c r="B23" s="11"/>
      <c r="C23" s="358" t="s">
        <v>580</v>
      </c>
      <c r="D23" s="425">
        <v>0</v>
      </c>
      <c r="E23" s="425">
        <v>0</v>
      </c>
      <c r="F23" s="425">
        <v>0</v>
      </c>
    </row>
    <row r="24" spans="2:7" ht="19" thickBot="1" x14ac:dyDescent="0.25">
      <c r="B24" s="379" t="s">
        <v>581</v>
      </c>
      <c r="C24" s="380"/>
      <c r="D24" s="813">
        <f>ROUND(SUM(D16:D23),5)</f>
        <v>496</v>
      </c>
      <c r="E24" s="813">
        <f>ROUND(SUM(E16:E23),5)</f>
        <v>7054</v>
      </c>
      <c r="F24" s="813">
        <f>ROUND(SUM(F16:F23),5)</f>
        <v>5124</v>
      </c>
    </row>
    <row r="25" spans="2:7" ht="18" x14ac:dyDescent="0.2">
      <c r="B25" s="814" t="s">
        <v>10</v>
      </c>
      <c r="C25" s="814"/>
      <c r="D25" s="815"/>
      <c r="E25" s="815"/>
      <c r="F25" s="815">
        <f>F10+F14+F24</f>
        <v>15624</v>
      </c>
      <c r="G25"/>
    </row>
    <row r="26" spans="2:7" ht="18" x14ac:dyDescent="0.2">
      <c r="B26" s="814"/>
      <c r="C26" s="381" t="s">
        <v>1112</v>
      </c>
      <c r="D26" s="816"/>
      <c r="E26" s="816"/>
      <c r="F26" s="816">
        <f>F6-F25</f>
        <v>86876</v>
      </c>
      <c r="G26"/>
    </row>
    <row r="27" spans="2:7" x14ac:dyDescent="0.2">
      <c r="G27"/>
    </row>
    <row r="28" spans="2:7" x14ac:dyDescent="0.2">
      <c r="G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E40E-819A-43EF-85AC-1A82CCCDE434}">
  <sheetPr>
    <tabColor theme="8" tint="0.59999389629810485"/>
  </sheetPr>
  <dimension ref="A1:J32"/>
  <sheetViews>
    <sheetView zoomScale="140" zoomScaleNormal="140" workbookViewId="0">
      <pane xSplit="2" ySplit="2" topLeftCell="J3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5" customWidth="1"/>
    <col min="2" max="2" width="43.1640625" customWidth="1"/>
    <col min="3" max="4" width="14.1640625" hidden="1" customWidth="1"/>
    <col min="5" max="5" width="2.1640625" hidden="1" customWidth="1"/>
    <col min="6" max="7" width="14.1640625" hidden="1" customWidth="1"/>
    <col min="8" max="8" width="2.1640625" hidden="1" customWidth="1"/>
    <col min="9" max="9" width="2.6640625" hidden="1" customWidth="1"/>
    <col min="10" max="10" width="15.1640625" customWidth="1"/>
    <col min="11" max="11" width="11.83203125" customWidth="1"/>
  </cols>
  <sheetData>
    <row r="1" spans="1:10" ht="21" x14ac:dyDescent="0.25">
      <c r="B1" s="1107" t="s">
        <v>1436</v>
      </c>
      <c r="C1" s="1107"/>
      <c r="D1" s="1107"/>
      <c r="E1" s="1107"/>
      <c r="F1" s="1107"/>
      <c r="G1" s="1107"/>
      <c r="H1" s="1107"/>
      <c r="I1" s="1107"/>
      <c r="J1" s="1107"/>
    </row>
    <row r="2" spans="1:10" s="137" customFormat="1" ht="129" thickBot="1" x14ac:dyDescent="0.25">
      <c r="A2" s="795"/>
      <c r="B2" s="795"/>
      <c r="C2" s="1027" t="s">
        <v>718</v>
      </c>
      <c r="D2" s="1027" t="s">
        <v>719</v>
      </c>
      <c r="E2" s="796"/>
      <c r="F2" s="1027" t="s">
        <v>1210</v>
      </c>
      <c r="G2" s="1027" t="s">
        <v>1211</v>
      </c>
      <c r="H2" s="796"/>
      <c r="I2" s="1027" t="s">
        <v>1435</v>
      </c>
      <c r="J2" s="1027" t="s">
        <v>1416</v>
      </c>
    </row>
    <row r="3" spans="1:10" ht="17" thickTop="1" x14ac:dyDescent="0.2">
      <c r="A3" s="794"/>
      <c r="B3" s="849" t="s">
        <v>4</v>
      </c>
      <c r="C3" s="852"/>
      <c r="D3" s="853"/>
      <c r="E3" s="853"/>
      <c r="F3" s="853"/>
      <c r="G3" s="853"/>
      <c r="H3" s="853"/>
      <c r="I3" s="853"/>
      <c r="J3" s="853"/>
    </row>
    <row r="4" spans="1:10" x14ac:dyDescent="0.2">
      <c r="A4" s="794"/>
      <c r="B4" s="798" t="s">
        <v>1410</v>
      </c>
      <c r="C4" s="799"/>
      <c r="D4" s="799"/>
      <c r="E4" s="799"/>
      <c r="F4" s="801"/>
      <c r="G4" s="799">
        <v>5000</v>
      </c>
      <c r="H4" s="799"/>
      <c r="I4" s="799"/>
      <c r="J4" s="800">
        <v>20000</v>
      </c>
    </row>
    <row r="5" spans="1:10" x14ac:dyDescent="0.2">
      <c r="A5" s="794"/>
      <c r="B5" s="798" t="s">
        <v>1537</v>
      </c>
      <c r="C5" s="799"/>
      <c r="D5" s="799"/>
      <c r="E5" s="799"/>
      <c r="F5" s="801"/>
      <c r="G5" s="799"/>
      <c r="H5" s="799"/>
      <c r="I5" s="799"/>
      <c r="J5" s="800">
        <v>30000</v>
      </c>
    </row>
    <row r="6" spans="1:10" ht="16" x14ac:dyDescent="0.2">
      <c r="A6" s="794"/>
      <c r="B6" s="1053" t="s">
        <v>1548</v>
      </c>
      <c r="C6" s="1054"/>
      <c r="D6" s="1054"/>
      <c r="E6" s="1054"/>
      <c r="F6" s="1055"/>
      <c r="G6" s="1054"/>
      <c r="H6" s="1054"/>
      <c r="I6" s="1054"/>
      <c r="J6" s="1056">
        <f>SUM(J4:J5)</f>
        <v>50000</v>
      </c>
    </row>
    <row r="7" spans="1:10" x14ac:dyDescent="0.2">
      <c r="A7" s="794"/>
      <c r="B7" s="798"/>
      <c r="C7" s="799"/>
      <c r="D7" s="799"/>
      <c r="E7" s="799"/>
      <c r="F7" s="1014"/>
      <c r="G7" s="799"/>
      <c r="H7" s="799"/>
      <c r="I7" s="799"/>
      <c r="J7" s="1014"/>
    </row>
    <row r="8" spans="1:10" ht="16" x14ac:dyDescent="0.2">
      <c r="A8" s="798"/>
      <c r="B8" s="849" t="s">
        <v>1477</v>
      </c>
      <c r="C8" s="850"/>
      <c r="D8" s="850"/>
      <c r="E8" s="850"/>
      <c r="F8" s="851"/>
      <c r="G8" s="850"/>
      <c r="H8" s="850"/>
      <c r="I8" s="850"/>
      <c r="J8" s="851"/>
    </row>
    <row r="9" spans="1:10" x14ac:dyDescent="0.2">
      <c r="A9" s="798"/>
      <c r="B9" s="798" t="s">
        <v>1478</v>
      </c>
      <c r="C9" s="799"/>
      <c r="D9" s="799"/>
      <c r="E9" s="799"/>
      <c r="F9" s="799"/>
      <c r="G9" s="799"/>
      <c r="H9" s="799"/>
      <c r="I9" s="799"/>
      <c r="J9" s="800">
        <v>2500</v>
      </c>
    </row>
    <row r="10" spans="1:10" x14ac:dyDescent="0.2">
      <c r="A10" s="798"/>
      <c r="B10" s="798" t="s">
        <v>1479</v>
      </c>
      <c r="C10" s="797"/>
      <c r="D10" s="798"/>
      <c r="E10" s="798"/>
      <c r="F10" s="798"/>
      <c r="G10" s="798"/>
      <c r="H10" s="798"/>
      <c r="I10" s="798"/>
      <c r="J10" s="800">
        <v>2500</v>
      </c>
    </row>
    <row r="11" spans="1:10" x14ac:dyDescent="0.2">
      <c r="A11" s="798"/>
      <c r="B11" s="798" t="s">
        <v>1480</v>
      </c>
      <c r="C11" s="797"/>
      <c r="D11" s="798"/>
      <c r="E11" s="798"/>
      <c r="F11" s="798"/>
      <c r="G11" s="798"/>
      <c r="H11" s="798"/>
      <c r="I11" s="798"/>
      <c r="J11" s="800">
        <v>10000</v>
      </c>
    </row>
    <row r="12" spans="1:10" ht="16" x14ac:dyDescent="0.2">
      <c r="A12" s="798"/>
      <c r="B12" s="854" t="s">
        <v>1481</v>
      </c>
      <c r="C12" s="855"/>
      <c r="D12" s="855"/>
      <c r="E12" s="855"/>
      <c r="F12" s="855"/>
      <c r="G12" s="855"/>
      <c r="H12" s="855"/>
      <c r="I12" s="855"/>
      <c r="J12" s="855">
        <f>SUM(J9:J11)</f>
        <v>15000</v>
      </c>
    </row>
    <row r="13" spans="1:10" x14ac:dyDescent="0.2">
      <c r="A13" s="798"/>
      <c r="B13" s="798"/>
      <c r="C13" s="797"/>
      <c r="D13" s="798"/>
      <c r="E13" s="798"/>
      <c r="F13" s="798"/>
      <c r="G13" s="798"/>
      <c r="H13" s="798"/>
      <c r="I13" s="798"/>
      <c r="J13" s="798"/>
    </row>
    <row r="14" spans="1:10" ht="20" thickBot="1" x14ac:dyDescent="0.3">
      <c r="B14" s="846" t="s">
        <v>1382</v>
      </c>
      <c r="C14" s="848"/>
      <c r="D14" s="848"/>
      <c r="E14" s="847"/>
      <c r="F14" s="848"/>
      <c r="G14" s="848"/>
      <c r="H14" s="847"/>
      <c r="I14" s="848"/>
      <c r="J14" s="848">
        <f>J6+J12</f>
        <v>65000</v>
      </c>
    </row>
    <row r="15" spans="1:10" ht="16" thickTop="1" x14ac:dyDescent="0.2"/>
    <row r="19" spans="2:10" x14ac:dyDescent="0.2">
      <c r="B19" s="719"/>
    </row>
    <row r="20" spans="2:10" x14ac:dyDescent="0.2">
      <c r="B20" s="719"/>
    </row>
    <row r="21" spans="2:10" x14ac:dyDescent="0.2">
      <c r="B21" s="719"/>
    </row>
    <row r="22" spans="2:10" x14ac:dyDescent="0.2">
      <c r="B22" s="719"/>
    </row>
    <row r="23" spans="2:10" x14ac:dyDescent="0.2">
      <c r="B23" s="719"/>
      <c r="C23" s="613"/>
      <c r="D23" s="613"/>
    </row>
    <row r="24" spans="2:10" x14ac:dyDescent="0.2">
      <c r="B24" s="719"/>
      <c r="C24" s="613"/>
      <c r="D24" s="613"/>
      <c r="J24" s="719"/>
    </row>
    <row r="25" spans="2:10" x14ac:dyDescent="0.2">
      <c r="B25" s="719"/>
    </row>
    <row r="26" spans="2:10" x14ac:dyDescent="0.2">
      <c r="B26" s="719"/>
    </row>
    <row r="27" spans="2:10" x14ac:dyDescent="0.2">
      <c r="B27" s="719"/>
      <c r="J27" s="805"/>
    </row>
    <row r="28" spans="2:10" x14ac:dyDescent="0.2">
      <c r="B28" s="719"/>
      <c r="J28" s="719"/>
    </row>
    <row r="29" spans="2:10" x14ac:dyDescent="0.2">
      <c r="B29" s="719"/>
    </row>
    <row r="30" spans="2:10" x14ac:dyDescent="0.2">
      <c r="B30" s="719"/>
    </row>
    <row r="31" spans="2:10" x14ac:dyDescent="0.2">
      <c r="B31" s="719"/>
    </row>
    <row r="32" spans="2:10" s="98" customFormat="1" x14ac:dyDescent="0.2">
      <c r="B32" s="806"/>
    </row>
  </sheetData>
  <sheetProtection algorithmName="SHA-512" hashValue="su0UjaOaQGUzcS3LqgrSJDHAf2fBYy49wYQhOTaRrVWOhcBt5OIbg69D29hnxFzfJx1jARR2g2TH80uSCpV6gw==" saltValue="YSECRxClBdYGJ3djBhevQQ==" spinCount="100000" sheet="1" objects="1" scenarios="1"/>
  <mergeCells count="1">
    <mergeCell ref="B1:J1"/>
  </mergeCells>
  <phoneticPr fontId="69" type="noConversion"/>
  <pageMargins left="0.7" right="0.7" top="0.75" bottom="0.75" header="0.3" footer="0.3"/>
  <pageSetup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2024-BAD6-A04F-AB94-CEE2CB8AA97D}">
  <sheetPr>
    <tabColor theme="8" tint="0.59999389629810485"/>
  </sheetPr>
  <dimension ref="A1:K66"/>
  <sheetViews>
    <sheetView zoomScale="140" zoomScaleNormal="1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baseColWidth="10" defaultColWidth="8.83203125" defaultRowHeight="15" x14ac:dyDescent="0.2"/>
  <cols>
    <col min="1" max="1" width="5" customWidth="1"/>
    <col min="2" max="2" width="26.6640625" bestFit="1" customWidth="1"/>
    <col min="3" max="4" width="14.1640625" customWidth="1"/>
    <col min="5" max="5" width="2.1640625" customWidth="1"/>
    <col min="6" max="7" width="14.1640625" customWidth="1"/>
    <col min="8" max="8" width="2.1640625" customWidth="1"/>
    <col min="9" max="10" width="14.1640625" customWidth="1"/>
    <col min="11" max="11" width="30" customWidth="1"/>
  </cols>
  <sheetData>
    <row r="1" spans="1:11" ht="21" x14ac:dyDescent="0.25">
      <c r="B1" s="1107" t="s">
        <v>1436</v>
      </c>
      <c r="C1" s="1107"/>
      <c r="D1" s="1107"/>
      <c r="E1" s="1107"/>
      <c r="F1" s="1107"/>
      <c r="G1" s="1107"/>
      <c r="H1" s="1107"/>
      <c r="I1" s="1107"/>
      <c r="J1" s="1107"/>
      <c r="K1" s="1107"/>
    </row>
    <row r="2" spans="1:11" s="137" customFormat="1" ht="33" thickBot="1" x14ac:dyDescent="0.25">
      <c r="A2" s="795"/>
      <c r="B2" s="795"/>
      <c r="C2" s="1027" t="s">
        <v>718</v>
      </c>
      <c r="D2" s="1027" t="s">
        <v>719</v>
      </c>
      <c r="E2" s="796"/>
      <c r="F2" s="1027" t="s">
        <v>1210</v>
      </c>
      <c r="G2" s="1027" t="s">
        <v>1211</v>
      </c>
      <c r="H2" s="796"/>
      <c r="I2" s="1027" t="s">
        <v>1435</v>
      </c>
      <c r="J2" s="1027" t="s">
        <v>1416</v>
      </c>
    </row>
    <row r="3" spans="1:11" ht="18" thickTop="1" thickBot="1" x14ac:dyDescent="0.25">
      <c r="A3" s="794"/>
      <c r="B3" s="849" t="s">
        <v>4</v>
      </c>
      <c r="C3" s="852"/>
      <c r="D3" s="853"/>
      <c r="E3" s="853"/>
      <c r="F3" s="853"/>
      <c r="G3" s="853"/>
      <c r="H3" s="853"/>
      <c r="I3" s="853"/>
      <c r="J3" s="853"/>
    </row>
    <row r="4" spans="1:11" x14ac:dyDescent="0.2">
      <c r="A4" s="794"/>
      <c r="B4" s="911" t="s">
        <v>1531</v>
      </c>
      <c r="C4" s="875"/>
      <c r="D4" s="875"/>
      <c r="E4" s="875"/>
      <c r="F4" s="875"/>
      <c r="G4" s="875"/>
      <c r="H4" s="875"/>
      <c r="I4" s="875"/>
      <c r="J4" s="877"/>
      <c r="K4" s="1015"/>
    </row>
    <row r="5" spans="1:11" x14ac:dyDescent="0.2">
      <c r="A5" s="794"/>
      <c r="B5" s="1049" t="s">
        <v>1549</v>
      </c>
      <c r="C5" s="1050"/>
      <c r="D5" s="1050"/>
      <c r="E5" s="1050"/>
      <c r="F5" s="1051"/>
      <c r="G5" s="1050"/>
      <c r="H5" s="1050"/>
      <c r="I5" s="1050"/>
      <c r="J5" s="1052">
        <v>3500</v>
      </c>
    </row>
    <row r="6" spans="1:11" ht="16" thickBot="1" x14ac:dyDescent="0.25">
      <c r="A6" s="794"/>
      <c r="B6" s="883" t="s">
        <v>1532</v>
      </c>
      <c r="C6" s="881"/>
      <c r="D6" s="881"/>
      <c r="E6" s="881"/>
      <c r="F6" s="881"/>
      <c r="G6" s="881"/>
      <c r="H6" s="881"/>
      <c r="I6" s="881"/>
      <c r="J6" s="882">
        <v>25500</v>
      </c>
      <c r="K6" s="22"/>
    </row>
    <row r="7" spans="1:11" x14ac:dyDescent="0.2">
      <c r="A7" s="794"/>
      <c r="B7" s="911" t="s">
        <v>1437</v>
      </c>
      <c r="C7" s="875">
        <v>0</v>
      </c>
      <c r="D7" s="875">
        <v>60000</v>
      </c>
      <c r="E7" s="875"/>
      <c r="F7" s="876">
        <f>688+750</f>
        <v>1438</v>
      </c>
      <c r="G7" s="875">
        <v>60000</v>
      </c>
      <c r="H7" s="875"/>
      <c r="I7" s="875"/>
      <c r="J7" s="877"/>
      <c r="K7" s="878" t="s">
        <v>1460</v>
      </c>
    </row>
    <row r="8" spans="1:11" x14ac:dyDescent="0.2">
      <c r="A8" s="794"/>
      <c r="B8" s="879" t="s">
        <v>1497</v>
      </c>
      <c r="C8" s="804"/>
      <c r="D8" s="804"/>
      <c r="E8" s="804"/>
      <c r="F8" s="807"/>
      <c r="G8" s="804"/>
      <c r="H8" s="804"/>
      <c r="I8" s="804"/>
      <c r="J8" s="834">
        <v>20000</v>
      </c>
      <c r="K8" s="3"/>
    </row>
    <row r="9" spans="1:11" x14ac:dyDescent="0.2">
      <c r="A9" s="794"/>
      <c r="B9" s="879" t="s">
        <v>1438</v>
      </c>
      <c r="C9" s="804"/>
      <c r="D9" s="804"/>
      <c r="E9" s="804"/>
      <c r="F9" s="808"/>
      <c r="G9" s="804"/>
      <c r="H9" s="804"/>
      <c r="I9" s="804"/>
      <c r="J9" s="808"/>
      <c r="K9" s="3"/>
    </row>
    <row r="10" spans="1:11" x14ac:dyDescent="0.2">
      <c r="A10" s="794"/>
      <c r="B10" s="879" t="s">
        <v>1439</v>
      </c>
      <c r="C10" s="804"/>
      <c r="D10" s="804"/>
      <c r="E10" s="804"/>
      <c r="F10" s="808"/>
      <c r="G10" s="804"/>
      <c r="H10" s="804"/>
      <c r="I10" s="804"/>
      <c r="J10" s="834">
        <v>12000</v>
      </c>
      <c r="K10" s="3"/>
    </row>
    <row r="11" spans="1:11" x14ac:dyDescent="0.2">
      <c r="A11" s="794"/>
      <c r="B11" s="879" t="s">
        <v>1440</v>
      </c>
      <c r="C11" s="804"/>
      <c r="D11" s="804"/>
      <c r="E11" s="804"/>
      <c r="F11" s="808"/>
      <c r="G11" s="804"/>
      <c r="H11" s="804"/>
      <c r="I11" s="804"/>
      <c r="J11" s="834">
        <v>5000</v>
      </c>
      <c r="K11" s="3" t="s">
        <v>1441</v>
      </c>
    </row>
    <row r="12" spans="1:11" x14ac:dyDescent="0.2">
      <c r="A12" s="794"/>
      <c r="B12" s="879" t="s">
        <v>1442</v>
      </c>
      <c r="C12" s="804"/>
      <c r="D12" s="804"/>
      <c r="E12" s="804"/>
      <c r="F12" s="808"/>
      <c r="G12" s="804"/>
      <c r="H12" s="804"/>
      <c r="I12" s="804"/>
      <c r="J12" s="808"/>
      <c r="K12" s="3"/>
    </row>
    <row r="13" spans="1:11" x14ac:dyDescent="0.2">
      <c r="A13" s="794"/>
      <c r="B13" s="880" t="s">
        <v>1386</v>
      </c>
      <c r="C13" s="804"/>
      <c r="D13" s="804"/>
      <c r="E13" s="804"/>
      <c r="F13" s="808"/>
      <c r="G13" s="804"/>
      <c r="H13" s="804"/>
      <c r="I13" s="804"/>
      <c r="J13" s="834">
        <v>20000</v>
      </c>
      <c r="K13" s="3"/>
    </row>
    <row r="14" spans="1:11" x14ac:dyDescent="0.2">
      <c r="A14" s="794"/>
      <c r="B14" s="880" t="s">
        <v>1443</v>
      </c>
      <c r="C14" s="804"/>
      <c r="D14" s="804"/>
      <c r="E14" s="804"/>
      <c r="F14" s="808"/>
      <c r="G14" s="804"/>
      <c r="H14" s="804"/>
      <c r="I14" s="804"/>
      <c r="J14" s="834">
        <v>5000</v>
      </c>
      <c r="K14" s="3"/>
    </row>
    <row r="15" spans="1:11" x14ac:dyDescent="0.2">
      <c r="A15" s="794"/>
      <c r="B15" s="880" t="s">
        <v>1444</v>
      </c>
      <c r="C15" s="804"/>
      <c r="D15" s="804"/>
      <c r="E15" s="804"/>
      <c r="F15" s="808"/>
      <c r="G15" s="804"/>
      <c r="H15" s="804"/>
      <c r="I15" s="804"/>
      <c r="J15" s="834">
        <v>5000</v>
      </c>
      <c r="K15" s="3"/>
    </row>
    <row r="16" spans="1:11" x14ac:dyDescent="0.2">
      <c r="A16" s="794"/>
      <c r="B16" s="880" t="s">
        <v>1492</v>
      </c>
      <c r="C16" s="804"/>
      <c r="D16" s="804"/>
      <c r="E16" s="804"/>
      <c r="F16" s="807"/>
      <c r="G16" s="804"/>
      <c r="H16" s="804"/>
      <c r="I16" s="804"/>
      <c r="J16" s="834"/>
      <c r="K16" s="3" t="s">
        <v>1496</v>
      </c>
    </row>
    <row r="17" spans="1:11" x14ac:dyDescent="0.2">
      <c r="A17" s="794"/>
      <c r="B17" s="880" t="s">
        <v>1445</v>
      </c>
      <c r="C17" s="804"/>
      <c r="D17" s="804"/>
      <c r="E17" s="804"/>
      <c r="F17" s="808"/>
      <c r="G17" s="804"/>
      <c r="H17" s="804"/>
      <c r="I17" s="804"/>
      <c r="J17" s="834">
        <v>5000</v>
      </c>
      <c r="K17" s="3"/>
    </row>
    <row r="18" spans="1:11" ht="16" thickBot="1" x14ac:dyDescent="0.25">
      <c r="A18" s="794"/>
      <c r="B18" s="883" t="s">
        <v>1471</v>
      </c>
      <c r="C18" s="881"/>
      <c r="D18" s="881"/>
      <c r="E18" s="881"/>
      <c r="F18" s="1013"/>
      <c r="G18" s="881"/>
      <c r="H18" s="881"/>
      <c r="I18" s="881"/>
      <c r="J18" s="882">
        <v>25000</v>
      </c>
      <c r="K18" s="22"/>
    </row>
    <row r="19" spans="1:11" x14ac:dyDescent="0.2">
      <c r="A19" s="794"/>
      <c r="B19" s="911" t="s">
        <v>1315</v>
      </c>
      <c r="C19" s="875">
        <v>0</v>
      </c>
      <c r="D19" s="875">
        <v>100000</v>
      </c>
      <c r="E19" s="875"/>
      <c r="F19" s="876">
        <f>713+11451</f>
        <v>12164</v>
      </c>
      <c r="G19" s="875"/>
      <c r="H19" s="875"/>
      <c r="I19" s="875"/>
      <c r="J19" s="915"/>
      <c r="K19" s="878" t="s">
        <v>1482</v>
      </c>
    </row>
    <row r="20" spans="1:11" x14ac:dyDescent="0.2">
      <c r="A20" s="794"/>
      <c r="B20" s="880" t="s">
        <v>1423</v>
      </c>
      <c r="C20" s="799"/>
      <c r="D20" s="799"/>
      <c r="E20" s="799"/>
      <c r="F20" s="1014"/>
      <c r="G20" s="799"/>
      <c r="H20" s="799"/>
      <c r="I20" s="799"/>
      <c r="J20" s="800">
        <v>90000</v>
      </c>
      <c r="K20" s="916"/>
    </row>
    <row r="21" spans="1:11" x14ac:dyDescent="0.2">
      <c r="A21" s="794"/>
      <c r="B21" s="880" t="s">
        <v>1472</v>
      </c>
      <c r="C21" s="804"/>
      <c r="D21" s="804"/>
      <c r="E21" s="804"/>
      <c r="F21" s="808"/>
      <c r="G21" s="804"/>
      <c r="H21" s="804"/>
      <c r="I21" s="804"/>
      <c r="J21" s="834">
        <v>30000</v>
      </c>
      <c r="K21" s="916"/>
    </row>
    <row r="22" spans="1:11" x14ac:dyDescent="0.2">
      <c r="A22" s="794"/>
      <c r="B22" s="880" t="s">
        <v>1473</v>
      </c>
      <c r="C22" s="804"/>
      <c r="D22" s="804"/>
      <c r="E22" s="804"/>
      <c r="F22" s="808"/>
      <c r="G22" s="804"/>
      <c r="H22" s="804"/>
      <c r="I22" s="804"/>
      <c r="J22" s="834">
        <v>50000</v>
      </c>
      <c r="K22" s="916"/>
    </row>
    <row r="23" spans="1:11" x14ac:dyDescent="0.2">
      <c r="A23" s="794"/>
      <c r="B23" s="880" t="s">
        <v>1474</v>
      </c>
      <c r="C23" s="804"/>
      <c r="D23" s="804"/>
      <c r="E23" s="804"/>
      <c r="F23" s="808"/>
      <c r="G23" s="804"/>
      <c r="H23" s="804"/>
      <c r="I23" s="804"/>
      <c r="J23" s="834">
        <v>12000</v>
      </c>
      <c r="K23" s="916"/>
    </row>
    <row r="24" spans="1:11" x14ac:dyDescent="0.2">
      <c r="A24" s="794"/>
      <c r="B24" s="880" t="s">
        <v>1475</v>
      </c>
      <c r="C24" s="808"/>
      <c r="D24" s="808"/>
      <c r="E24" s="808"/>
      <c r="F24" s="808"/>
      <c r="G24" s="808"/>
      <c r="H24" s="808"/>
      <c r="I24" s="808"/>
      <c r="J24" s="834">
        <v>-8000</v>
      </c>
      <c r="K24" s="3" t="s">
        <v>1500</v>
      </c>
    </row>
    <row r="25" spans="1:11" ht="16" thickBot="1" x14ac:dyDescent="0.25">
      <c r="A25" s="794"/>
      <c r="B25" s="917" t="s">
        <v>1476</v>
      </c>
      <c r="C25" s="881"/>
      <c r="D25" s="881"/>
      <c r="E25" s="881"/>
      <c r="F25" s="1013"/>
      <c r="G25" s="881"/>
      <c r="H25" s="881"/>
      <c r="I25" s="881"/>
      <c r="J25" s="882">
        <v>50000</v>
      </c>
      <c r="K25" s="918"/>
    </row>
    <row r="26" spans="1:11" ht="16" x14ac:dyDescent="0.2">
      <c r="A26" s="794"/>
      <c r="B26" s="912" t="s">
        <v>1458</v>
      </c>
      <c r="C26" s="913">
        <f>SUM(C4:C25)</f>
        <v>0</v>
      </c>
      <c r="D26" s="913">
        <f>SUM(D4:D25)</f>
        <v>160000</v>
      </c>
      <c r="E26" s="914"/>
      <c r="F26" s="913">
        <f>SUM(F4:F25)</f>
        <v>13602</v>
      </c>
      <c r="G26" s="913">
        <f>SUM(G4:G25)</f>
        <v>60000</v>
      </c>
      <c r="H26" s="914"/>
      <c r="I26" s="914"/>
      <c r="J26" s="913">
        <f>SUM(J4:J25)</f>
        <v>350000</v>
      </c>
      <c r="K26" s="803"/>
    </row>
    <row r="27" spans="1:11" x14ac:dyDescent="0.2">
      <c r="A27" s="794"/>
      <c r="B27" s="798"/>
      <c r="C27" s="804"/>
      <c r="D27" s="804"/>
      <c r="E27" s="804"/>
      <c r="F27" s="808"/>
      <c r="G27" s="804"/>
      <c r="H27" s="804"/>
      <c r="I27" s="804"/>
      <c r="J27" s="808"/>
      <c r="K27" s="803"/>
    </row>
    <row r="28" spans="1:11" ht="16" x14ac:dyDescent="0.2">
      <c r="A28" s="794"/>
      <c r="B28" s="849" t="s">
        <v>1533</v>
      </c>
      <c r="C28" s="850"/>
      <c r="D28" s="850"/>
      <c r="E28" s="850"/>
      <c r="F28" s="851"/>
      <c r="G28" s="850"/>
      <c r="H28" s="850"/>
      <c r="I28" s="850"/>
      <c r="J28" s="851"/>
    </row>
    <row r="29" spans="1:11" ht="16" thickBot="1" x14ac:dyDescent="0.25">
      <c r="A29" s="794"/>
      <c r="B29" s="798" t="s">
        <v>1381</v>
      </c>
      <c r="C29" s="799"/>
      <c r="D29" s="799"/>
      <c r="E29" s="799"/>
      <c r="F29" s="799">
        <v>4449</v>
      </c>
      <c r="G29" s="799">
        <v>5000</v>
      </c>
      <c r="H29" s="799"/>
      <c r="I29" s="799"/>
      <c r="J29" s="800">
        <v>0</v>
      </c>
      <c r="K29" s="802" t="s">
        <v>1434</v>
      </c>
    </row>
    <row r="30" spans="1:11" x14ac:dyDescent="0.2">
      <c r="A30" s="794"/>
      <c r="B30" s="911" t="s">
        <v>1452</v>
      </c>
      <c r="C30" s="875"/>
      <c r="D30" s="875"/>
      <c r="E30" s="875"/>
      <c r="F30" s="875"/>
      <c r="G30" s="875"/>
      <c r="H30" s="875"/>
      <c r="I30" s="875"/>
      <c r="J30" s="915"/>
      <c r="K30" s="1015"/>
    </row>
    <row r="31" spans="1:11" x14ac:dyDescent="0.2">
      <c r="A31" s="794"/>
      <c r="B31" s="880" t="s">
        <v>1453</v>
      </c>
      <c r="C31" s="804"/>
      <c r="D31" s="804"/>
      <c r="E31" s="804"/>
      <c r="F31" s="804"/>
      <c r="G31" s="804"/>
      <c r="H31" s="804"/>
      <c r="I31" s="804"/>
      <c r="J31" s="834">
        <v>1200</v>
      </c>
      <c r="K31" s="3"/>
    </row>
    <row r="32" spans="1:11" x14ac:dyDescent="0.2">
      <c r="A32" s="794"/>
      <c r="B32" s="880" t="s">
        <v>1454</v>
      </c>
      <c r="C32" s="804"/>
      <c r="D32" s="804"/>
      <c r="E32" s="804"/>
      <c r="F32" s="804"/>
      <c r="G32" s="804"/>
      <c r="H32" s="804"/>
      <c r="I32" s="804"/>
      <c r="J32" s="834"/>
      <c r="K32" s="3"/>
    </row>
    <row r="33" spans="1:11" x14ac:dyDescent="0.2">
      <c r="A33" s="794"/>
      <c r="B33" s="880" t="s">
        <v>1455</v>
      </c>
      <c r="C33" s="804"/>
      <c r="D33" s="804"/>
      <c r="E33" s="804"/>
      <c r="F33" s="804"/>
      <c r="G33" s="804"/>
      <c r="H33" s="804"/>
      <c r="I33" s="804"/>
      <c r="J33" s="834"/>
      <c r="K33" s="3"/>
    </row>
    <row r="34" spans="1:11" x14ac:dyDescent="0.2">
      <c r="A34" s="794"/>
      <c r="B34" s="880" t="s">
        <v>1456</v>
      </c>
      <c r="C34" s="804"/>
      <c r="D34" s="804"/>
      <c r="E34" s="804"/>
      <c r="F34" s="804"/>
      <c r="G34" s="804"/>
      <c r="H34" s="804"/>
      <c r="I34" s="804"/>
      <c r="J34" s="834">
        <v>2000</v>
      </c>
      <c r="K34" s="3"/>
    </row>
    <row r="35" spans="1:11" ht="16" thickBot="1" x14ac:dyDescent="0.25">
      <c r="A35" s="794"/>
      <c r="B35" s="917" t="s">
        <v>1457</v>
      </c>
      <c r="C35" s="881"/>
      <c r="D35" s="881"/>
      <c r="E35" s="881"/>
      <c r="F35" s="881"/>
      <c r="G35" s="881"/>
      <c r="H35" s="881"/>
      <c r="I35" s="881"/>
      <c r="J35" s="882"/>
      <c r="K35" s="22"/>
    </row>
    <row r="36" spans="1:11" x14ac:dyDescent="0.2">
      <c r="A36" s="794"/>
      <c r="B36" s="1016" t="s">
        <v>1461</v>
      </c>
      <c r="C36" s="875"/>
      <c r="D36" s="875"/>
      <c r="E36" s="875"/>
      <c r="F36" s="875"/>
      <c r="G36" s="875"/>
      <c r="H36" s="875"/>
      <c r="I36" s="875"/>
      <c r="J36" s="915"/>
      <c r="K36" s="1015"/>
    </row>
    <row r="37" spans="1:11" x14ac:dyDescent="0.2">
      <c r="A37" s="794"/>
      <c r="B37" s="880" t="s">
        <v>1463</v>
      </c>
      <c r="C37" s="804"/>
      <c r="D37" s="804"/>
      <c r="E37" s="804"/>
      <c r="F37" s="804"/>
      <c r="G37" s="804"/>
      <c r="H37" s="804"/>
      <c r="I37" s="804"/>
      <c r="J37" s="834"/>
      <c r="K37" s="1017" t="s">
        <v>1464</v>
      </c>
    </row>
    <row r="38" spans="1:11" x14ac:dyDescent="0.2">
      <c r="A38" s="794"/>
      <c r="B38" s="880" t="s">
        <v>1462</v>
      </c>
      <c r="C38" s="804"/>
      <c r="D38" s="804"/>
      <c r="E38" s="804"/>
      <c r="F38" s="804"/>
      <c r="G38" s="804"/>
      <c r="H38" s="804"/>
      <c r="I38" s="804"/>
      <c r="J38" s="834">
        <v>5000</v>
      </c>
      <c r="K38" s="3"/>
    </row>
    <row r="39" spans="1:11" x14ac:dyDescent="0.2">
      <c r="A39" s="794"/>
      <c r="B39" s="880" t="s">
        <v>1465</v>
      </c>
      <c r="C39" s="804"/>
      <c r="D39" s="804"/>
      <c r="E39" s="804"/>
      <c r="F39" s="804"/>
      <c r="G39" s="804"/>
      <c r="H39" s="804"/>
      <c r="I39" s="804"/>
      <c r="J39" s="834">
        <v>100000</v>
      </c>
      <c r="K39" s="3"/>
    </row>
    <row r="40" spans="1:11" x14ac:dyDescent="0.2">
      <c r="A40" s="794"/>
      <c r="B40" s="880" t="s">
        <v>1466</v>
      </c>
      <c r="C40" s="804"/>
      <c r="D40" s="804"/>
      <c r="E40" s="804"/>
      <c r="F40" s="804"/>
      <c r="G40" s="804"/>
      <c r="H40" s="804"/>
      <c r="I40" s="804"/>
      <c r="J40" s="834">
        <v>3000</v>
      </c>
      <c r="K40" s="3"/>
    </row>
    <row r="41" spans="1:11" x14ac:dyDescent="0.2">
      <c r="A41" s="794"/>
      <c r="B41" s="880" t="s">
        <v>1547</v>
      </c>
      <c r="C41" s="804"/>
      <c r="D41" s="804"/>
      <c r="E41" s="804"/>
      <c r="F41" s="804"/>
      <c r="G41" s="804"/>
      <c r="H41" s="804"/>
      <c r="I41" s="804"/>
      <c r="J41" s="834">
        <v>25000</v>
      </c>
      <c r="K41" s="3"/>
    </row>
    <row r="42" spans="1:11" x14ac:dyDescent="0.2">
      <c r="A42" s="794"/>
      <c r="B42" s="880" t="s">
        <v>1467</v>
      </c>
      <c r="C42" s="804"/>
      <c r="D42" s="804"/>
      <c r="E42" s="804"/>
      <c r="F42" s="804"/>
      <c r="G42" s="804"/>
      <c r="H42" s="804"/>
      <c r="I42" s="804"/>
      <c r="J42" s="834">
        <v>20000</v>
      </c>
      <c r="K42" s="3"/>
    </row>
    <row r="43" spans="1:11" x14ac:dyDescent="0.2">
      <c r="A43" s="794"/>
      <c r="B43" s="880" t="s">
        <v>1468</v>
      </c>
      <c r="C43" s="804"/>
      <c r="D43" s="804"/>
      <c r="E43" s="804"/>
      <c r="F43" s="804"/>
      <c r="G43" s="804"/>
      <c r="H43" s="804"/>
      <c r="I43" s="804"/>
      <c r="J43" s="834">
        <v>500</v>
      </c>
      <c r="K43" s="3" t="s">
        <v>1488</v>
      </c>
    </row>
    <row r="44" spans="1:11" ht="16" thickBot="1" x14ac:dyDescent="0.25">
      <c r="A44" s="794"/>
      <c r="B44" s="917" t="s">
        <v>1469</v>
      </c>
      <c r="C44" s="881"/>
      <c r="D44" s="881"/>
      <c r="E44" s="881"/>
      <c r="F44" s="881"/>
      <c r="G44" s="881"/>
      <c r="H44" s="881"/>
      <c r="I44" s="881"/>
      <c r="J44" s="882">
        <v>1200</v>
      </c>
      <c r="K44" s="22" t="s">
        <v>1488</v>
      </c>
    </row>
    <row r="45" spans="1:11" ht="16" x14ac:dyDescent="0.2">
      <c r="A45" s="794"/>
      <c r="B45" s="912" t="s">
        <v>1459</v>
      </c>
      <c r="C45" s="914">
        <f t="shared" ref="C45:D45" si="0">SUM(C29:C44)</f>
        <v>0</v>
      </c>
      <c r="D45" s="914">
        <f t="shared" si="0"/>
        <v>0</v>
      </c>
      <c r="E45" s="914"/>
      <c r="F45" s="914">
        <f t="shared" ref="F45:G45" si="1">SUM(F29:F44)</f>
        <v>4449</v>
      </c>
      <c r="G45" s="914">
        <f t="shared" si="1"/>
        <v>5000</v>
      </c>
      <c r="H45" s="914"/>
      <c r="I45" s="914">
        <f>SUM(I29:I44)</f>
        <v>0</v>
      </c>
      <c r="J45" s="914">
        <f>SUM(J29:J44)</f>
        <v>157900</v>
      </c>
    </row>
    <row r="46" spans="1:11" x14ac:dyDescent="0.2">
      <c r="A46" s="798"/>
      <c r="B46" s="798"/>
      <c r="C46" s="797"/>
      <c r="D46" s="798"/>
      <c r="E46" s="798"/>
      <c r="F46" s="798"/>
      <c r="G46" s="798"/>
      <c r="H46" s="798"/>
      <c r="I46" s="798"/>
      <c r="J46" s="798"/>
    </row>
    <row r="47" spans="1:11" x14ac:dyDescent="0.2">
      <c r="A47" s="798"/>
      <c r="B47" s="798"/>
      <c r="C47" s="797"/>
      <c r="D47" s="798"/>
      <c r="E47" s="798"/>
      <c r="F47" s="798"/>
      <c r="G47" s="798"/>
      <c r="H47" s="798"/>
      <c r="I47" s="798"/>
      <c r="J47" s="798"/>
    </row>
    <row r="48" spans="1:11" ht="20" thickBot="1" x14ac:dyDescent="0.3">
      <c r="B48" s="846" t="s">
        <v>1382</v>
      </c>
      <c r="C48" s="848">
        <f>C45+C26</f>
        <v>0</v>
      </c>
      <c r="D48" s="848">
        <f>D45+D26</f>
        <v>160000</v>
      </c>
      <c r="E48" s="847"/>
      <c r="F48" s="848">
        <f>F45+F26</f>
        <v>18051</v>
      </c>
      <c r="G48" s="848">
        <f>G45+G26</f>
        <v>65000</v>
      </c>
      <c r="H48" s="847"/>
      <c r="I48" s="848">
        <f>I45+I26</f>
        <v>0</v>
      </c>
      <c r="J48" s="848">
        <f>J45+J26</f>
        <v>507900</v>
      </c>
    </row>
    <row r="49" spans="2:10" ht="16" thickTop="1" x14ac:dyDescent="0.2"/>
    <row r="53" spans="2:10" x14ac:dyDescent="0.2">
      <c r="B53" s="719"/>
    </row>
    <row r="54" spans="2:10" x14ac:dyDescent="0.2">
      <c r="B54" s="719"/>
    </row>
    <row r="55" spans="2:10" x14ac:dyDescent="0.2">
      <c r="B55" s="719"/>
    </row>
    <row r="56" spans="2:10" x14ac:dyDescent="0.2">
      <c r="B56" s="719"/>
    </row>
    <row r="57" spans="2:10" x14ac:dyDescent="0.2">
      <c r="B57" s="719"/>
      <c r="C57" s="613"/>
      <c r="D57" s="613"/>
    </row>
    <row r="58" spans="2:10" x14ac:dyDescent="0.2">
      <c r="B58" s="719"/>
      <c r="C58" s="613"/>
      <c r="D58" s="613"/>
      <c r="J58" s="719"/>
    </row>
    <row r="59" spans="2:10" x14ac:dyDescent="0.2">
      <c r="B59" s="719"/>
    </row>
    <row r="60" spans="2:10" x14ac:dyDescent="0.2">
      <c r="B60" s="719"/>
    </row>
    <row r="61" spans="2:10" x14ac:dyDescent="0.2">
      <c r="B61" s="719"/>
      <c r="J61" s="805"/>
    </row>
    <row r="62" spans="2:10" x14ac:dyDescent="0.2">
      <c r="B62" s="719"/>
      <c r="J62" s="719"/>
    </row>
    <row r="63" spans="2:10" x14ac:dyDescent="0.2">
      <c r="B63" s="719"/>
    </row>
    <row r="64" spans="2:10" x14ac:dyDescent="0.2">
      <c r="B64" s="719"/>
    </row>
    <row r="65" spans="2:2" x14ac:dyDescent="0.2">
      <c r="B65" s="719"/>
    </row>
    <row r="66" spans="2:2" s="98" customFormat="1" x14ac:dyDescent="0.2">
      <c r="B66" s="806"/>
    </row>
  </sheetData>
  <mergeCells count="1">
    <mergeCell ref="B1:K1"/>
  </mergeCells>
  <pageMargins left="0.7" right="0.7" top="0.75" bottom="0.75" header="0.3" footer="0.3"/>
  <pageSetup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2:F26"/>
  <sheetViews>
    <sheetView zoomScale="130" zoomScaleNormal="130" workbookViewId="0">
      <selection activeCell="G52" sqref="G52"/>
    </sheetView>
  </sheetViews>
  <sheetFormatPr baseColWidth="10" defaultColWidth="9.1640625" defaultRowHeight="16.25" customHeight="1" x14ac:dyDescent="0.2"/>
  <cols>
    <col min="1" max="1" width="4.5" customWidth="1"/>
    <col min="2" max="2" width="30.33203125" customWidth="1"/>
    <col min="3" max="4" width="12.6640625" customWidth="1"/>
    <col min="5" max="5" width="1.83203125" customWidth="1"/>
    <col min="6" max="6" width="12.6640625" customWidth="1"/>
  </cols>
  <sheetData>
    <row r="2" spans="2:6" ht="21" x14ac:dyDescent="0.25">
      <c r="B2" s="1108" t="s">
        <v>1551</v>
      </c>
      <c r="C2" s="1108"/>
      <c r="D2" s="1108"/>
      <c r="E2" s="1108"/>
      <c r="F2" s="1108"/>
    </row>
    <row r="3" spans="2:6" ht="16" x14ac:dyDescent="0.2">
      <c r="B3" s="1029"/>
      <c r="C3" s="1028">
        <v>2022</v>
      </c>
      <c r="D3" s="1028">
        <v>2023</v>
      </c>
      <c r="F3" s="420" t="s">
        <v>1554</v>
      </c>
    </row>
    <row r="4" spans="2:6" ht="15" x14ac:dyDescent="0.2">
      <c r="B4" s="137" t="s">
        <v>22</v>
      </c>
      <c r="C4" s="137"/>
    </row>
    <row r="5" spans="2:6" ht="15" x14ac:dyDescent="0.2">
      <c r="B5" t="s">
        <v>267</v>
      </c>
      <c r="C5" s="719">
        <f>Admin!J9</f>
        <v>240100</v>
      </c>
      <c r="D5" s="719">
        <f>Admin!M9</f>
        <v>264000</v>
      </c>
      <c r="F5" s="719">
        <f t="shared" ref="F5:F25" si="0">D5-C5</f>
        <v>23900</v>
      </c>
    </row>
    <row r="6" spans="2:6" ht="15" x14ac:dyDescent="0.2">
      <c r="B6" s="811" t="s">
        <v>8</v>
      </c>
      <c r="C6" s="812">
        <f>Admin!J59</f>
        <v>219108.8422797391</v>
      </c>
      <c r="D6" s="812">
        <f>Admin!M59</f>
        <v>280226.92650771298</v>
      </c>
      <c r="F6" s="812">
        <f t="shared" si="0"/>
        <v>61118.084227973886</v>
      </c>
    </row>
    <row r="7" spans="2:6" ht="15" x14ac:dyDescent="0.2">
      <c r="B7" s="137" t="s">
        <v>1486</v>
      </c>
      <c r="C7" s="821">
        <f>C5-C6</f>
        <v>20991.157720260904</v>
      </c>
      <c r="D7" s="821">
        <f>D5-D6</f>
        <v>-16226.926507712982</v>
      </c>
      <c r="F7" s="821">
        <f t="shared" si="0"/>
        <v>-37218.084227973886</v>
      </c>
    </row>
    <row r="8" spans="2:6" ht="15" x14ac:dyDescent="0.2">
      <c r="B8" t="s">
        <v>1487</v>
      </c>
      <c r="C8" s="719">
        <v>50000</v>
      </c>
      <c r="D8" s="719">
        <v>50000</v>
      </c>
      <c r="F8" s="719">
        <f t="shared" si="0"/>
        <v>0</v>
      </c>
    </row>
    <row r="9" spans="2:6" ht="15" x14ac:dyDescent="0.2">
      <c r="B9" s="811" t="s">
        <v>1485</v>
      </c>
      <c r="C9" s="812">
        <v>10000</v>
      </c>
      <c r="D9" s="812"/>
      <c r="F9" s="812">
        <f t="shared" si="0"/>
        <v>-10000</v>
      </c>
    </row>
    <row r="10" spans="2:6" ht="15" x14ac:dyDescent="0.2">
      <c r="B10" s="137" t="s">
        <v>487</v>
      </c>
      <c r="C10" s="821">
        <f>C7-C8-C9</f>
        <v>-39008.842279739096</v>
      </c>
      <c r="D10" s="821">
        <f>D7-D8-D9</f>
        <v>-66226.926507712982</v>
      </c>
      <c r="F10" s="821">
        <f t="shared" si="0"/>
        <v>-27218.084227973886</v>
      </c>
    </row>
    <row r="11" spans="2:6" ht="15" x14ac:dyDescent="0.2">
      <c r="C11" s="719"/>
      <c r="D11" s="719"/>
      <c r="F11" s="719"/>
    </row>
    <row r="12" spans="2:6" ht="15" x14ac:dyDescent="0.2">
      <c r="B12" s="137" t="s">
        <v>21</v>
      </c>
      <c r="C12" s="719"/>
      <c r="D12" s="719"/>
      <c r="F12" s="719"/>
    </row>
    <row r="13" spans="2:6" ht="15" x14ac:dyDescent="0.2">
      <c r="B13" t="s">
        <v>267</v>
      </c>
      <c r="C13" s="719">
        <f>WH!J22</f>
        <v>147647</v>
      </c>
      <c r="D13" s="719">
        <f>WH!M22</f>
        <v>139742.03</v>
      </c>
      <c r="F13" s="719">
        <f t="shared" si="0"/>
        <v>-7904.9700000000012</v>
      </c>
    </row>
    <row r="14" spans="2:6" ht="15" x14ac:dyDescent="0.2">
      <c r="B14" s="811" t="s">
        <v>8</v>
      </c>
      <c r="C14" s="812">
        <f>WH!J82</f>
        <v>285489.89487999998</v>
      </c>
      <c r="D14" s="812">
        <f>WH!M82</f>
        <v>290675.38436999999</v>
      </c>
      <c r="F14" s="812">
        <f t="shared" si="0"/>
        <v>5185.4894900000072</v>
      </c>
    </row>
    <row r="15" spans="2:6" ht="15" x14ac:dyDescent="0.2">
      <c r="B15" s="137" t="s">
        <v>5</v>
      </c>
      <c r="C15" s="821">
        <f>C13-C14</f>
        <v>-137842.89487999998</v>
      </c>
      <c r="D15" s="821">
        <f>D13-D14</f>
        <v>-150933.35436999999</v>
      </c>
      <c r="F15" s="821">
        <f t="shared" si="0"/>
        <v>-13090.459490000008</v>
      </c>
    </row>
    <row r="16" spans="2:6" ht="15" x14ac:dyDescent="0.2">
      <c r="C16" s="719"/>
      <c r="D16" s="719"/>
      <c r="F16" s="719"/>
    </row>
    <row r="17" spans="2:6" ht="15" x14ac:dyDescent="0.2">
      <c r="B17" s="1040" t="s">
        <v>1448</v>
      </c>
      <c r="C17" s="1041">
        <f>C15+C10</f>
        <v>-176851.73715973907</v>
      </c>
      <c r="D17" s="1041">
        <f>D15+D10</f>
        <v>-217160.28087771297</v>
      </c>
      <c r="F17" s="1041">
        <f t="shared" si="0"/>
        <v>-40308.543717973895</v>
      </c>
    </row>
    <row r="18" spans="2:6" ht="15" x14ac:dyDescent="0.2">
      <c r="C18" s="719"/>
      <c r="D18" s="719"/>
      <c r="F18" s="719"/>
    </row>
    <row r="19" spans="2:6" ht="15" x14ac:dyDescent="0.2">
      <c r="B19" s="137" t="s">
        <v>54</v>
      </c>
      <c r="C19" s="719"/>
      <c r="D19" s="719"/>
      <c r="F19" s="719"/>
    </row>
    <row r="20" spans="2:6" ht="15" x14ac:dyDescent="0.2">
      <c r="B20" t="s">
        <v>267</v>
      </c>
      <c r="C20" s="719">
        <v>1280000</v>
      </c>
      <c r="D20" s="719">
        <v>1310000</v>
      </c>
      <c r="F20" s="719">
        <f t="shared" si="0"/>
        <v>30000</v>
      </c>
    </row>
    <row r="21" spans="2:6" ht="15" x14ac:dyDescent="0.2">
      <c r="B21" t="s">
        <v>8</v>
      </c>
      <c r="C21" s="719">
        <v>980000</v>
      </c>
      <c r="D21" s="719">
        <v>1070000</v>
      </c>
      <c r="F21" s="719">
        <f t="shared" si="0"/>
        <v>90000</v>
      </c>
    </row>
    <row r="22" spans="2:6" ht="15" x14ac:dyDescent="0.2">
      <c r="B22" t="s">
        <v>262</v>
      </c>
      <c r="C22" s="719">
        <v>70000</v>
      </c>
      <c r="D22" s="719">
        <v>60000</v>
      </c>
      <c r="F22" s="719">
        <f t="shared" si="0"/>
        <v>-10000</v>
      </c>
    </row>
    <row r="23" spans="2:6" ht="15" x14ac:dyDescent="0.2">
      <c r="B23" s="811" t="s">
        <v>1396</v>
      </c>
      <c r="C23" s="812">
        <v>10000</v>
      </c>
      <c r="D23" s="812">
        <v>0</v>
      </c>
      <c r="F23" s="812">
        <f t="shared" si="0"/>
        <v>-10000</v>
      </c>
    </row>
    <row r="24" spans="2:6" ht="15" x14ac:dyDescent="0.2">
      <c r="B24" s="822" t="s">
        <v>1395</v>
      </c>
      <c r="C24" s="823">
        <f>C20-C21-C22-C23</f>
        <v>220000</v>
      </c>
      <c r="D24" s="823">
        <f>D20-D21-D22-D23</f>
        <v>180000</v>
      </c>
      <c r="F24" s="823">
        <f t="shared" si="0"/>
        <v>-40000</v>
      </c>
    </row>
    <row r="25" spans="2:6" ht="17" thickBot="1" x14ac:dyDescent="0.25">
      <c r="B25" s="824" t="s">
        <v>1449</v>
      </c>
      <c r="C25" s="825">
        <f>C10+C15+C24</f>
        <v>43148.262840260926</v>
      </c>
      <c r="D25" s="825">
        <f>D10+D15+D24</f>
        <v>-37160.280877712969</v>
      </c>
      <c r="F25" s="825">
        <f t="shared" si="0"/>
        <v>-80308.543717973895</v>
      </c>
    </row>
    <row r="26" spans="2:6" ht="16.25" customHeight="1" thickTop="1" x14ac:dyDescent="0.2"/>
  </sheetData>
  <sheetProtection algorithmName="SHA-512" hashValue="qwToRoakwH9S/39uPZ2gNmGlqBefWPr0xjChF3pwthWM7d6Y9BB+fwucM0q9E6duZoUv3HPzHahmIrM4742mGg==" saltValue="k1Ubsgkt8TlBkXKhxDn3MQ==" spinCount="100000" sheet="1" objects="1" scenarios="1"/>
  <mergeCells count="1">
    <mergeCell ref="B2:F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B2:M60"/>
  <sheetViews>
    <sheetView zoomScale="130" zoomScaleNormal="130" workbookViewId="0">
      <pane xSplit="2" ySplit="3" topLeftCell="C14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2.83203125" customWidth="1"/>
    <col min="2" max="2" width="33.6640625" bestFit="1" customWidth="1"/>
    <col min="3" max="4" width="14.1640625" customWidth="1"/>
    <col min="5" max="5" width="1.83203125" customWidth="1"/>
    <col min="6" max="7" width="14.1640625" customWidth="1"/>
    <col min="8" max="8" width="1.83203125" customWidth="1"/>
    <col min="9" max="10" width="14.1640625" customWidth="1"/>
    <col min="11" max="11" width="1.83203125" customWidth="1"/>
    <col min="12" max="13" width="14.1640625" customWidth="1"/>
    <col min="14" max="14" width="3.1640625" customWidth="1"/>
  </cols>
  <sheetData>
    <row r="2" spans="2:13" ht="21" x14ac:dyDescent="0.25">
      <c r="B2" s="1109" t="s">
        <v>731</v>
      </c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1"/>
    </row>
    <row r="3" spans="2:13" ht="16" x14ac:dyDescent="0.2">
      <c r="B3" s="744"/>
      <c r="C3" s="869" t="s">
        <v>690</v>
      </c>
      <c r="D3" s="869" t="s">
        <v>592</v>
      </c>
      <c r="E3" s="869"/>
      <c r="F3" s="869" t="s">
        <v>1188</v>
      </c>
      <c r="G3" s="869" t="s">
        <v>689</v>
      </c>
      <c r="H3" s="869"/>
      <c r="I3" s="869" t="s">
        <v>1413</v>
      </c>
      <c r="J3" s="869" t="s">
        <v>1197</v>
      </c>
      <c r="K3" s="869"/>
      <c r="L3" s="869" t="s">
        <v>1415</v>
      </c>
      <c r="M3" s="870" t="s">
        <v>1414</v>
      </c>
    </row>
    <row r="4" spans="2:13" ht="16" x14ac:dyDescent="0.2">
      <c r="B4" s="1030" t="s">
        <v>331</v>
      </c>
      <c r="C4" s="1034"/>
      <c r="D4" s="1034"/>
      <c r="E4" s="1034"/>
      <c r="F4" s="1034"/>
      <c r="G4" s="1034"/>
      <c r="H4" s="1034"/>
      <c r="I4" s="1034"/>
      <c r="J4" s="1033"/>
      <c r="K4" s="1034"/>
      <c r="L4" s="1034"/>
      <c r="M4" s="1033"/>
    </row>
    <row r="5" spans="2:13" x14ac:dyDescent="0.2">
      <c r="B5" s="723" t="s">
        <v>625</v>
      </c>
      <c r="C5" s="754">
        <v>160000</v>
      </c>
      <c r="D5" s="754">
        <v>160000</v>
      </c>
      <c r="E5" s="754"/>
      <c r="F5" s="755">
        <v>200000</v>
      </c>
      <c r="G5" s="755">
        <v>200000</v>
      </c>
      <c r="H5" s="754"/>
      <c r="I5" s="752"/>
      <c r="J5" s="755">
        <v>240000</v>
      </c>
      <c r="K5" s="754"/>
      <c r="L5" s="754"/>
      <c r="M5" s="762">
        <v>240000</v>
      </c>
    </row>
    <row r="6" spans="2:13" x14ac:dyDescent="0.2">
      <c r="B6" s="723" t="s">
        <v>627</v>
      </c>
      <c r="C6" s="754">
        <v>4291</v>
      </c>
      <c r="D6" s="754">
        <v>8000</v>
      </c>
      <c r="E6" s="754"/>
      <c r="F6" s="755">
        <v>73</v>
      </c>
      <c r="G6" s="755">
        <v>100</v>
      </c>
      <c r="H6" s="754"/>
      <c r="I6" s="752"/>
      <c r="J6" s="755">
        <v>100</v>
      </c>
      <c r="K6" s="754"/>
      <c r="L6" s="754"/>
      <c r="M6" s="762">
        <v>24000</v>
      </c>
    </row>
    <row r="7" spans="2:13" x14ac:dyDescent="0.2">
      <c r="B7" s="723" t="s">
        <v>1432</v>
      </c>
      <c r="C7" s="754"/>
      <c r="D7" s="754"/>
      <c r="E7" s="754"/>
      <c r="F7" s="755"/>
      <c r="G7" s="755"/>
      <c r="H7" s="754"/>
      <c r="I7" s="752"/>
      <c r="J7" s="755"/>
      <c r="K7" s="754"/>
      <c r="L7" s="754"/>
      <c r="M7" s="762">
        <v>10000</v>
      </c>
    </row>
    <row r="8" spans="2:13" x14ac:dyDescent="0.2">
      <c r="B8" s="723" t="s">
        <v>1550</v>
      </c>
      <c r="C8" s="754"/>
      <c r="D8" s="754"/>
      <c r="E8" s="754"/>
      <c r="F8" s="755"/>
      <c r="G8" s="755"/>
      <c r="H8" s="754"/>
      <c r="I8" s="752"/>
      <c r="J8" s="755"/>
      <c r="K8" s="754"/>
      <c r="L8" s="754"/>
      <c r="M8" s="761"/>
    </row>
    <row r="9" spans="2:13" ht="16" x14ac:dyDescent="0.2">
      <c r="B9" s="1030" t="s">
        <v>563</v>
      </c>
      <c r="C9" s="1035">
        <f>SUM(C5:C6)</f>
        <v>164291</v>
      </c>
      <c r="D9" s="1035">
        <f>SUM(D5:D6)</f>
        <v>168000</v>
      </c>
      <c r="E9" s="1035"/>
      <c r="F9" s="1036">
        <f>SUM(F5:F6)</f>
        <v>200073</v>
      </c>
      <c r="G9" s="1036">
        <f t="shared" ref="G9:M9" si="0">SUM(G2:G6)</f>
        <v>200100</v>
      </c>
      <c r="H9" s="1036">
        <f t="shared" si="0"/>
        <v>0</v>
      </c>
      <c r="I9" s="1036">
        <f t="shared" si="0"/>
        <v>0</v>
      </c>
      <c r="J9" s="1036">
        <f t="shared" si="0"/>
        <v>240100</v>
      </c>
      <c r="K9" s="1036">
        <f t="shared" si="0"/>
        <v>0</v>
      </c>
      <c r="L9" s="1036">
        <f t="shared" si="0"/>
        <v>0</v>
      </c>
      <c r="M9" s="1036">
        <f t="shared" si="0"/>
        <v>264000</v>
      </c>
    </row>
    <row r="10" spans="2:13" x14ac:dyDescent="0.2">
      <c r="B10" s="730"/>
      <c r="C10" s="754"/>
      <c r="D10" s="754"/>
      <c r="E10" s="754"/>
      <c r="F10" s="755"/>
      <c r="G10" s="755"/>
      <c r="H10" s="754"/>
      <c r="I10" s="754"/>
      <c r="J10" s="755"/>
      <c r="K10" s="754"/>
      <c r="L10" s="754"/>
      <c r="M10" s="755"/>
    </row>
    <row r="11" spans="2:13" ht="16" x14ac:dyDescent="0.2">
      <c r="B11" s="1030" t="s">
        <v>8</v>
      </c>
      <c r="C11" s="1034"/>
      <c r="D11" s="1034"/>
      <c r="E11" s="1034"/>
      <c r="F11" s="1033"/>
      <c r="G11" s="1033"/>
      <c r="H11" s="1034"/>
      <c r="I11" s="1034"/>
      <c r="J11" s="1033"/>
      <c r="K11" s="1034"/>
      <c r="L11" s="1034"/>
      <c r="M11" s="1033"/>
    </row>
    <row r="12" spans="2:13" ht="5.5" customHeight="1" x14ac:dyDescent="0.2">
      <c r="B12" s="830"/>
      <c r="C12" s="756"/>
      <c r="D12" s="756"/>
      <c r="E12" s="756"/>
      <c r="F12" s="757"/>
      <c r="G12" s="757"/>
      <c r="H12" s="756"/>
      <c r="I12" s="756"/>
      <c r="J12" s="755"/>
      <c r="K12" s="756"/>
      <c r="L12" s="756"/>
      <c r="M12" s="755"/>
    </row>
    <row r="13" spans="2:13" x14ac:dyDescent="0.2">
      <c r="B13" s="728" t="s">
        <v>9</v>
      </c>
      <c r="C13" s="758"/>
      <c r="D13" s="758"/>
      <c r="E13" s="758"/>
      <c r="F13" s="759"/>
      <c r="G13" s="759"/>
      <c r="H13" s="758"/>
      <c r="I13" s="758"/>
      <c r="J13" s="759"/>
      <c r="K13" s="758"/>
      <c r="L13" s="758"/>
      <c r="M13" s="759"/>
    </row>
    <row r="14" spans="2:13" x14ac:dyDescent="0.2">
      <c r="B14" s="723" t="s">
        <v>635</v>
      </c>
      <c r="C14" s="755">
        <v>22139</v>
      </c>
      <c r="D14" s="755">
        <v>27877</v>
      </c>
      <c r="E14" s="755"/>
      <c r="F14" s="755">
        <v>26275</v>
      </c>
      <c r="G14" s="755">
        <f>Insurance!CZ22</f>
        <v>24439</v>
      </c>
      <c r="H14" s="755"/>
      <c r="I14" s="859">
        <f>9460+16050+2580</f>
        <v>28090</v>
      </c>
      <c r="J14" s="755">
        <f>Insurance!DC22</f>
        <v>25509.842279739103</v>
      </c>
      <c r="K14" s="755"/>
      <c r="L14" s="755"/>
      <c r="M14" s="953">
        <f>Insurance!DF22</f>
        <v>28060.82650771302</v>
      </c>
    </row>
    <row r="15" spans="2:13" x14ac:dyDescent="0.2">
      <c r="B15" s="728" t="s">
        <v>570</v>
      </c>
      <c r="C15" s="760">
        <f>C14</f>
        <v>22139</v>
      </c>
      <c r="D15" s="760">
        <f>D14</f>
        <v>27877</v>
      </c>
      <c r="E15" s="760"/>
      <c r="F15" s="760">
        <f>F14</f>
        <v>26275</v>
      </c>
      <c r="G15" s="760">
        <f>G14</f>
        <v>24439</v>
      </c>
      <c r="H15" s="760">
        <f t="shared" ref="H15:M15" si="1">H14</f>
        <v>0</v>
      </c>
      <c r="I15" s="760">
        <f t="shared" si="1"/>
        <v>28090</v>
      </c>
      <c r="J15" s="760">
        <f t="shared" si="1"/>
        <v>25509.842279739103</v>
      </c>
      <c r="K15" s="760">
        <f t="shared" si="1"/>
        <v>0</v>
      </c>
      <c r="L15" s="760">
        <f t="shared" si="1"/>
        <v>0</v>
      </c>
      <c r="M15" s="760">
        <f t="shared" si="1"/>
        <v>28060.82650771302</v>
      </c>
    </row>
    <row r="16" spans="2:13" x14ac:dyDescent="0.2">
      <c r="B16" s="866" t="s">
        <v>1113</v>
      </c>
      <c r="C16" s="856"/>
      <c r="D16" s="856"/>
      <c r="E16" s="856"/>
      <c r="F16" s="856"/>
      <c r="G16" s="856"/>
      <c r="H16" s="856"/>
      <c r="I16" s="856"/>
      <c r="J16" s="856"/>
      <c r="K16" s="856"/>
      <c r="L16" s="856"/>
      <c r="M16" s="759"/>
    </row>
    <row r="17" spans="2:13" x14ac:dyDescent="0.2">
      <c r="B17" s="723" t="s">
        <v>1138</v>
      </c>
      <c r="C17" s="755">
        <v>8585</v>
      </c>
      <c r="D17" s="755">
        <v>31050</v>
      </c>
      <c r="E17" s="755"/>
      <c r="F17" s="755">
        <v>3692</v>
      </c>
      <c r="G17" s="755">
        <f>Payroll!G27</f>
        <v>9924</v>
      </c>
      <c r="H17" s="755"/>
      <c r="I17" s="755">
        <v>7447</v>
      </c>
      <c r="J17" s="755">
        <f>Payroll!C6+2275</f>
        <v>12199</v>
      </c>
      <c r="K17" s="755"/>
      <c r="L17" s="755"/>
      <c r="M17" s="953">
        <f>Payroll!C6</f>
        <v>9924</v>
      </c>
    </row>
    <row r="18" spans="2:13" x14ac:dyDescent="0.2">
      <c r="B18" s="994" t="s">
        <v>1314</v>
      </c>
      <c r="C18" s="755"/>
      <c r="D18" s="755"/>
      <c r="E18" s="755"/>
      <c r="F18" s="755"/>
      <c r="G18" s="755">
        <f>Payroll!G28</f>
        <v>0</v>
      </c>
      <c r="H18" s="755"/>
      <c r="I18" s="755"/>
      <c r="J18" s="755"/>
      <c r="K18" s="755"/>
      <c r="L18" s="755"/>
      <c r="M18" s="953">
        <f>Payroll!C7</f>
        <v>0</v>
      </c>
    </row>
    <row r="19" spans="2:13" x14ac:dyDescent="0.2">
      <c r="B19" s="723" t="s">
        <v>1185</v>
      </c>
      <c r="C19" s="755"/>
      <c r="D19" s="755"/>
      <c r="E19" s="755"/>
      <c r="F19" s="755">
        <v>16801</v>
      </c>
      <c r="G19" s="755">
        <f>Payroll!G26</f>
        <v>47250</v>
      </c>
      <c r="H19" s="755"/>
      <c r="I19" s="755">
        <v>43537</v>
      </c>
      <c r="J19" s="755">
        <f>Payroll!C5</f>
        <v>47250</v>
      </c>
      <c r="K19" s="755"/>
      <c r="L19" s="755"/>
      <c r="M19" s="953">
        <f>Payroll!C5</f>
        <v>47250</v>
      </c>
    </row>
    <row r="20" spans="2:13" x14ac:dyDescent="0.2">
      <c r="B20" s="723" t="s">
        <v>1337</v>
      </c>
      <c r="C20" s="755"/>
      <c r="D20" s="755"/>
      <c r="E20" s="755"/>
      <c r="F20" s="755"/>
      <c r="G20" s="755"/>
      <c r="H20" s="755"/>
      <c r="I20" s="755">
        <v>6868</v>
      </c>
      <c r="J20" s="755">
        <v>0</v>
      </c>
      <c r="K20" s="755"/>
      <c r="L20" s="755"/>
      <c r="M20" s="761"/>
    </row>
    <row r="21" spans="2:13" x14ac:dyDescent="0.2">
      <c r="B21" s="723" t="s">
        <v>1135</v>
      </c>
      <c r="C21" s="755">
        <v>42577</v>
      </c>
      <c r="D21" s="755">
        <v>40501</v>
      </c>
      <c r="E21" s="755"/>
      <c r="F21" s="755">
        <v>14300</v>
      </c>
      <c r="G21" s="755">
        <f>Payroll!C4</f>
        <v>22050</v>
      </c>
      <c r="H21" s="755"/>
      <c r="I21" s="755">
        <v>20894</v>
      </c>
      <c r="J21" s="755">
        <f>Payroll!C4</f>
        <v>22050</v>
      </c>
      <c r="K21" s="755"/>
      <c r="L21" s="755"/>
      <c r="M21" s="953">
        <f>Payroll!C4</f>
        <v>22050</v>
      </c>
    </row>
    <row r="22" spans="2:13" x14ac:dyDescent="0.2">
      <c r="B22" s="723" t="s">
        <v>692</v>
      </c>
      <c r="C22" s="755">
        <v>596</v>
      </c>
      <c r="D22" s="755">
        <v>1000</v>
      </c>
      <c r="E22" s="755"/>
      <c r="F22" s="755">
        <v>273</v>
      </c>
      <c r="G22" s="755">
        <v>750</v>
      </c>
      <c r="H22" s="755"/>
      <c r="I22" s="753"/>
      <c r="J22" s="755">
        <v>450</v>
      </c>
      <c r="K22" s="755"/>
      <c r="L22" s="755"/>
      <c r="M22" s="761">
        <v>500</v>
      </c>
    </row>
    <row r="23" spans="2:13" x14ac:dyDescent="0.2">
      <c r="B23" s="723" t="s">
        <v>638</v>
      </c>
      <c r="C23" s="755">
        <v>5314</v>
      </c>
      <c r="D23" s="755">
        <v>5724</v>
      </c>
      <c r="E23" s="755"/>
      <c r="F23" s="755">
        <v>2824</v>
      </c>
      <c r="G23" s="755">
        <f>(G19+G21+G17+33)*0.0765</f>
        <v>6063.1605</v>
      </c>
      <c r="H23" s="755"/>
      <c r="I23" s="755">
        <v>2227</v>
      </c>
      <c r="J23" s="755">
        <v>3250</v>
      </c>
      <c r="K23" s="755"/>
      <c r="L23" s="755"/>
      <c r="M23" s="761">
        <v>2500</v>
      </c>
    </row>
    <row r="24" spans="2:13" x14ac:dyDescent="0.2">
      <c r="B24" s="728" t="s">
        <v>1552</v>
      </c>
      <c r="C24" s="760">
        <f>SUM(C17:C23)</f>
        <v>57072</v>
      </c>
      <c r="D24" s="760">
        <f>SUM(D17:D23)</f>
        <v>78275</v>
      </c>
      <c r="E24" s="760"/>
      <c r="F24" s="760">
        <f>SUM(F17:F23)</f>
        <v>37890</v>
      </c>
      <c r="G24" s="760">
        <f>SUM(G17:G23)</f>
        <v>86037.160499999998</v>
      </c>
      <c r="H24" s="760">
        <f t="shared" ref="H24:M24" si="2">SUM(H17:H23)</f>
        <v>0</v>
      </c>
      <c r="I24" s="760">
        <f t="shared" si="2"/>
        <v>80973</v>
      </c>
      <c r="J24" s="760">
        <f t="shared" si="2"/>
        <v>85199</v>
      </c>
      <c r="K24" s="760">
        <f t="shared" si="2"/>
        <v>0</v>
      </c>
      <c r="L24" s="760">
        <f t="shared" si="2"/>
        <v>0</v>
      </c>
      <c r="M24" s="760">
        <f t="shared" si="2"/>
        <v>82224</v>
      </c>
    </row>
    <row r="25" spans="2:13" x14ac:dyDescent="0.2">
      <c r="B25" s="866" t="s">
        <v>632</v>
      </c>
      <c r="C25" s="856"/>
      <c r="D25" s="856"/>
      <c r="E25" s="856"/>
      <c r="F25" s="856"/>
      <c r="G25" s="856"/>
      <c r="H25" s="856"/>
      <c r="I25" s="856"/>
      <c r="J25" s="856"/>
      <c r="K25" s="856"/>
      <c r="L25" s="856"/>
      <c r="M25" s="759"/>
    </row>
    <row r="26" spans="2:13" x14ac:dyDescent="0.2">
      <c r="B26" s="723" t="s">
        <v>628</v>
      </c>
      <c r="C26" s="755">
        <v>5000</v>
      </c>
      <c r="D26" s="755">
        <v>5000</v>
      </c>
      <c r="E26" s="755"/>
      <c r="F26" s="755">
        <v>5000</v>
      </c>
      <c r="G26" s="755">
        <v>5000</v>
      </c>
      <c r="H26" s="755"/>
      <c r="I26" s="753"/>
      <c r="J26" s="755">
        <v>5000</v>
      </c>
      <c r="K26" s="755"/>
      <c r="L26" s="755"/>
      <c r="M26" s="761">
        <v>5000</v>
      </c>
    </row>
    <row r="27" spans="2:13" x14ac:dyDescent="0.2">
      <c r="B27" s="723" t="s">
        <v>629</v>
      </c>
      <c r="C27" s="755">
        <v>0</v>
      </c>
      <c r="D27" s="755">
        <v>5000</v>
      </c>
      <c r="E27" s="755"/>
      <c r="F27" s="755"/>
      <c r="G27" s="755">
        <v>0</v>
      </c>
      <c r="H27" s="755"/>
      <c r="I27" s="755"/>
      <c r="J27" s="755"/>
      <c r="K27" s="755"/>
      <c r="L27" s="755"/>
      <c r="M27" s="761">
        <v>5000</v>
      </c>
    </row>
    <row r="28" spans="2:13" x14ac:dyDescent="0.2">
      <c r="B28" s="994" t="s">
        <v>1408</v>
      </c>
      <c r="C28" s="755"/>
      <c r="D28" s="755"/>
      <c r="E28" s="755"/>
      <c r="F28" s="755"/>
      <c r="G28" s="755"/>
      <c r="H28" s="755"/>
      <c r="I28" s="753"/>
      <c r="J28" s="755">
        <v>0</v>
      </c>
      <c r="K28" s="755"/>
      <c r="L28" s="755"/>
      <c r="M28" s="761">
        <v>2000</v>
      </c>
    </row>
    <row r="29" spans="2:13" x14ac:dyDescent="0.2">
      <c r="B29" s="994" t="s">
        <v>1517</v>
      </c>
      <c r="C29" s="755"/>
      <c r="D29" s="755"/>
      <c r="E29" s="755"/>
      <c r="F29" s="755"/>
      <c r="G29" s="755"/>
      <c r="H29" s="755"/>
      <c r="I29" s="753"/>
      <c r="J29" s="755"/>
      <c r="K29" s="755"/>
      <c r="L29" s="755"/>
      <c r="M29" s="761">
        <v>1000</v>
      </c>
    </row>
    <row r="30" spans="2:13" x14ac:dyDescent="0.2">
      <c r="B30" s="723" t="s">
        <v>630</v>
      </c>
      <c r="C30" s="755">
        <v>0</v>
      </c>
      <c r="D30" s="755">
        <v>0</v>
      </c>
      <c r="E30" s="755"/>
      <c r="F30" s="755">
        <v>0</v>
      </c>
      <c r="G30" s="761">
        <v>500</v>
      </c>
      <c r="H30" s="755"/>
      <c r="I30" s="755">
        <f>2400+2000+51</f>
        <v>4451</v>
      </c>
      <c r="J30" s="755">
        <v>1000</v>
      </c>
      <c r="K30" s="755"/>
      <c r="L30" s="755"/>
      <c r="M30" s="761">
        <v>5000</v>
      </c>
    </row>
    <row r="31" spans="2:13" x14ac:dyDescent="0.2">
      <c r="B31" s="994" t="s">
        <v>1450</v>
      </c>
      <c r="C31" s="755"/>
      <c r="D31" s="755"/>
      <c r="E31" s="755"/>
      <c r="F31" s="755"/>
      <c r="G31" s="755"/>
      <c r="H31" s="755"/>
      <c r="I31" s="755"/>
      <c r="J31" s="755"/>
      <c r="K31" s="755"/>
      <c r="L31" s="755"/>
      <c r="M31" s="762">
        <v>14845</v>
      </c>
    </row>
    <row r="32" spans="2:13" x14ac:dyDescent="0.2">
      <c r="B32" s="994" t="s">
        <v>1451</v>
      </c>
      <c r="C32" s="755"/>
      <c r="D32" s="755"/>
      <c r="E32" s="755"/>
      <c r="F32" s="755"/>
      <c r="G32" s="755"/>
      <c r="H32" s="755"/>
      <c r="I32" s="755"/>
      <c r="J32" s="755"/>
      <c r="K32" s="755"/>
      <c r="L32" s="755"/>
      <c r="M32" s="762">
        <v>12500</v>
      </c>
    </row>
    <row r="33" spans="2:13" x14ac:dyDescent="0.2">
      <c r="B33" s="994" t="s">
        <v>1518</v>
      </c>
      <c r="C33" s="755">
        <v>3990</v>
      </c>
      <c r="D33" s="755">
        <v>8500</v>
      </c>
      <c r="E33" s="755"/>
      <c r="F33" s="755">
        <v>14927</v>
      </c>
      <c r="G33" s="755">
        <v>8500</v>
      </c>
      <c r="H33" s="755"/>
      <c r="I33" s="859">
        <f>163+22750+163+12650+35250+164688</f>
        <v>235664</v>
      </c>
      <c r="J33" s="755">
        <v>15000</v>
      </c>
      <c r="K33" s="755"/>
      <c r="L33" s="755"/>
      <c r="M33" s="761">
        <v>15000</v>
      </c>
    </row>
    <row r="34" spans="2:13" x14ac:dyDescent="0.2">
      <c r="B34" s="994" t="s">
        <v>1519</v>
      </c>
      <c r="C34" s="755"/>
      <c r="D34" s="755"/>
      <c r="E34" s="755"/>
      <c r="F34" s="755"/>
      <c r="G34" s="755"/>
      <c r="H34" s="755"/>
      <c r="I34" s="761"/>
      <c r="J34" s="755"/>
      <c r="K34" s="755"/>
      <c r="L34" s="755"/>
      <c r="M34" s="761">
        <v>15000</v>
      </c>
    </row>
    <row r="35" spans="2:13" x14ac:dyDescent="0.2">
      <c r="B35" s="723" t="s">
        <v>631</v>
      </c>
      <c r="C35" s="755">
        <v>2622</v>
      </c>
      <c r="D35" s="755">
        <v>2500</v>
      </c>
      <c r="E35" s="755"/>
      <c r="F35" s="755">
        <v>592</v>
      </c>
      <c r="G35" s="755">
        <v>500</v>
      </c>
      <c r="H35" s="755"/>
      <c r="I35" s="859">
        <f>57+3483</f>
        <v>3540</v>
      </c>
      <c r="J35" s="755">
        <v>500</v>
      </c>
      <c r="K35" s="755"/>
      <c r="L35" s="755"/>
      <c r="M35" s="762">
        <v>2300</v>
      </c>
    </row>
    <row r="36" spans="2:13" x14ac:dyDescent="0.2">
      <c r="B36" s="723" t="s">
        <v>1429</v>
      </c>
      <c r="C36" s="755">
        <v>0</v>
      </c>
      <c r="D36" s="755">
        <v>5000</v>
      </c>
      <c r="E36" s="755"/>
      <c r="F36" s="755">
        <v>4350</v>
      </c>
      <c r="G36" s="755">
        <v>7700</v>
      </c>
      <c r="H36" s="755"/>
      <c r="I36" s="859">
        <v>11700</v>
      </c>
      <c r="J36" s="755">
        <v>4350</v>
      </c>
      <c r="K36" s="755"/>
      <c r="L36" s="755"/>
      <c r="M36" s="762">
        <v>8500</v>
      </c>
    </row>
    <row r="37" spans="2:13" x14ac:dyDescent="0.2">
      <c r="B37" s="994" t="s">
        <v>1534</v>
      </c>
      <c r="C37" s="755"/>
      <c r="D37" s="755"/>
      <c r="E37" s="755"/>
      <c r="F37" s="755"/>
      <c r="G37" s="755"/>
      <c r="H37" s="755"/>
      <c r="I37" s="859"/>
      <c r="J37" s="755"/>
      <c r="K37" s="755"/>
      <c r="L37" s="755"/>
      <c r="M37" s="762">
        <v>3000</v>
      </c>
    </row>
    <row r="38" spans="2:13" x14ac:dyDescent="0.2">
      <c r="B38" s="723" t="s">
        <v>633</v>
      </c>
      <c r="C38" s="755">
        <v>780</v>
      </c>
      <c r="D38" s="755">
        <v>4000</v>
      </c>
      <c r="E38" s="755"/>
      <c r="F38" s="755">
        <v>626</v>
      </c>
      <c r="G38" s="755">
        <v>1200</v>
      </c>
      <c r="H38" s="755"/>
      <c r="I38" s="755">
        <v>520</v>
      </c>
      <c r="J38" s="755">
        <v>1000</v>
      </c>
      <c r="K38" s="755"/>
      <c r="L38" s="755"/>
      <c r="M38" s="761">
        <v>5000</v>
      </c>
    </row>
    <row r="39" spans="2:13" x14ac:dyDescent="0.2">
      <c r="B39" s="723" t="s">
        <v>1191</v>
      </c>
      <c r="C39" s="755"/>
      <c r="D39" s="755"/>
      <c r="E39" s="755"/>
      <c r="F39" s="755">
        <v>25261</v>
      </c>
      <c r="G39" s="755">
        <v>10000</v>
      </c>
      <c r="H39" s="755"/>
      <c r="I39" s="755">
        <v>10469</v>
      </c>
      <c r="J39" s="755">
        <v>25000</v>
      </c>
      <c r="K39" s="755"/>
      <c r="L39" s="755"/>
      <c r="M39" s="761">
        <v>25000</v>
      </c>
    </row>
    <row r="40" spans="2:13" x14ac:dyDescent="0.2">
      <c r="B40" s="723" t="s">
        <v>1520</v>
      </c>
      <c r="C40" s="755">
        <v>608</v>
      </c>
      <c r="D40" s="755">
        <v>1000</v>
      </c>
      <c r="E40" s="755"/>
      <c r="F40" s="755">
        <v>821</v>
      </c>
      <c r="G40" s="755">
        <v>750</v>
      </c>
      <c r="H40" s="755"/>
      <c r="I40" s="755">
        <v>265</v>
      </c>
      <c r="J40" s="755">
        <v>900</v>
      </c>
      <c r="K40" s="755"/>
      <c r="L40" s="755"/>
      <c r="M40" s="761">
        <v>900</v>
      </c>
    </row>
    <row r="41" spans="2:13" x14ac:dyDescent="0.2">
      <c r="B41" s="723" t="s">
        <v>634</v>
      </c>
      <c r="C41" s="755">
        <v>2322</v>
      </c>
      <c r="D41" s="755">
        <v>5000</v>
      </c>
      <c r="E41" s="755"/>
      <c r="F41" s="755">
        <v>1935</v>
      </c>
      <c r="G41" s="755">
        <v>3000</v>
      </c>
      <c r="H41" s="755"/>
      <c r="I41" s="755">
        <v>54976</v>
      </c>
      <c r="J41" s="755">
        <v>2000</v>
      </c>
      <c r="K41" s="755"/>
      <c r="L41" s="755"/>
      <c r="M41" s="761">
        <v>1000</v>
      </c>
    </row>
    <row r="42" spans="2:13" x14ac:dyDescent="0.2">
      <c r="B42" s="723" t="s">
        <v>636</v>
      </c>
      <c r="C42" s="755">
        <v>5856</v>
      </c>
      <c r="D42" s="755">
        <v>8500</v>
      </c>
      <c r="E42" s="755"/>
      <c r="F42" s="755">
        <v>5950</v>
      </c>
      <c r="G42" s="755">
        <v>7000</v>
      </c>
      <c r="H42" s="755"/>
      <c r="I42" s="755">
        <v>9117</v>
      </c>
      <c r="J42" s="755">
        <v>6100</v>
      </c>
      <c r="K42" s="755"/>
      <c r="L42" s="755"/>
      <c r="M42" s="761">
        <v>10000</v>
      </c>
    </row>
    <row r="43" spans="2:13" x14ac:dyDescent="0.2">
      <c r="B43" s="723" t="s">
        <v>1134</v>
      </c>
      <c r="C43" s="755">
        <v>14963</v>
      </c>
      <c r="D43" s="755">
        <v>10000</v>
      </c>
      <c r="E43" s="755"/>
      <c r="F43" s="755">
        <v>18238</v>
      </c>
      <c r="G43" s="755">
        <v>15000</v>
      </c>
      <c r="H43" s="755"/>
      <c r="I43" s="859">
        <f>2699+7867</f>
        <v>10566</v>
      </c>
      <c r="J43" s="761">
        <v>20000</v>
      </c>
      <c r="K43" s="755"/>
      <c r="L43" s="755"/>
      <c r="M43" s="762">
        <v>8000</v>
      </c>
    </row>
    <row r="44" spans="2:13" x14ac:dyDescent="0.2">
      <c r="B44" s="723" t="s">
        <v>637</v>
      </c>
      <c r="C44" s="755">
        <v>12247</v>
      </c>
      <c r="D44" s="755">
        <v>10000</v>
      </c>
      <c r="E44" s="755"/>
      <c r="F44" s="755">
        <v>9559</v>
      </c>
      <c r="G44" s="755">
        <v>13500</v>
      </c>
      <c r="H44" s="755"/>
      <c r="I44" s="859">
        <f>2914+20668</f>
        <v>23582</v>
      </c>
      <c r="J44" s="755">
        <v>11400</v>
      </c>
      <c r="K44" s="755"/>
      <c r="L44" s="755"/>
      <c r="M44" s="762">
        <v>12000</v>
      </c>
    </row>
    <row r="45" spans="2:13" x14ac:dyDescent="0.2">
      <c r="B45" s="728" t="s">
        <v>702</v>
      </c>
      <c r="C45" s="760">
        <f>SUM(C26:C44)</f>
        <v>48388</v>
      </c>
      <c r="D45" s="760">
        <f>SUM(D26:D44)</f>
        <v>64500</v>
      </c>
      <c r="E45" s="760"/>
      <c r="F45" s="760">
        <f t="shared" ref="F45:L45" si="3">SUM(F26:F44)</f>
        <v>87259</v>
      </c>
      <c r="G45" s="760">
        <f t="shared" si="3"/>
        <v>72650</v>
      </c>
      <c r="H45" s="760">
        <f t="shared" si="3"/>
        <v>0</v>
      </c>
      <c r="I45" s="760">
        <f t="shared" si="3"/>
        <v>364850</v>
      </c>
      <c r="J45" s="760">
        <f t="shared" si="3"/>
        <v>92250</v>
      </c>
      <c r="K45" s="760">
        <f t="shared" si="3"/>
        <v>0</v>
      </c>
      <c r="L45" s="760">
        <f t="shared" si="3"/>
        <v>0</v>
      </c>
      <c r="M45" s="760">
        <f>SUM(M26:M44)</f>
        <v>151045</v>
      </c>
    </row>
    <row r="46" spans="2:13" x14ac:dyDescent="0.2">
      <c r="B46" s="866" t="s">
        <v>1093</v>
      </c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759"/>
    </row>
    <row r="47" spans="2:13" x14ac:dyDescent="0.2">
      <c r="B47" s="840" t="s">
        <v>1100</v>
      </c>
      <c r="C47" s="755">
        <v>0</v>
      </c>
      <c r="D47" s="755">
        <v>5000</v>
      </c>
      <c r="E47" s="755"/>
      <c r="F47" s="755"/>
      <c r="G47" s="755" t="e">
        <f>SharedAdmin!C4*SharedAdmin!Q4</f>
        <v>#VALUE!</v>
      </c>
      <c r="H47" s="755"/>
      <c r="I47" s="755"/>
      <c r="J47" s="755"/>
      <c r="K47" s="755"/>
      <c r="L47" s="755"/>
      <c r="M47" s="755"/>
    </row>
    <row r="48" spans="2:13" x14ac:dyDescent="0.2">
      <c r="B48" s="723" t="s">
        <v>1184</v>
      </c>
      <c r="C48" s="755">
        <v>13336</v>
      </c>
      <c r="D48" s="755">
        <v>10058</v>
      </c>
      <c r="E48" s="755"/>
      <c r="F48" s="755">
        <v>7022</v>
      </c>
      <c r="G48" s="755">
        <v>5214</v>
      </c>
      <c r="H48" s="755"/>
      <c r="I48" s="755">
        <v>8092</v>
      </c>
      <c r="J48" s="755">
        <v>7000</v>
      </c>
      <c r="K48" s="755"/>
      <c r="L48" s="755"/>
      <c r="M48" s="953">
        <f>SharedAdmin!R5</f>
        <v>9000</v>
      </c>
    </row>
    <row r="49" spans="2:13" x14ac:dyDescent="0.2">
      <c r="B49" s="840" t="s">
        <v>1095</v>
      </c>
      <c r="C49" s="755">
        <v>2753</v>
      </c>
      <c r="D49" s="755">
        <v>3250</v>
      </c>
      <c r="E49" s="755"/>
      <c r="F49" s="755"/>
      <c r="G49" s="755">
        <v>0</v>
      </c>
      <c r="H49" s="755"/>
      <c r="I49" s="753"/>
      <c r="J49" s="755">
        <v>0</v>
      </c>
      <c r="K49" s="755"/>
      <c r="L49" s="755"/>
      <c r="M49" s="953">
        <f>SharedAdmin!R6</f>
        <v>0</v>
      </c>
    </row>
    <row r="50" spans="2:13" x14ac:dyDescent="0.2">
      <c r="B50" s="871" t="s">
        <v>1183</v>
      </c>
      <c r="C50" s="755"/>
      <c r="D50" s="755"/>
      <c r="E50" s="755"/>
      <c r="F50" s="755">
        <v>478</v>
      </c>
      <c r="G50" s="755">
        <v>450</v>
      </c>
      <c r="H50" s="755"/>
      <c r="I50" s="755">
        <v>-266</v>
      </c>
      <c r="J50" s="755">
        <v>1200</v>
      </c>
      <c r="K50" s="755"/>
      <c r="L50" s="755"/>
      <c r="M50" s="953">
        <f>SharedAdmin!R7</f>
        <v>1236</v>
      </c>
    </row>
    <row r="51" spans="2:13" x14ac:dyDescent="0.2">
      <c r="B51" s="871" t="s">
        <v>1182</v>
      </c>
      <c r="C51" s="755"/>
      <c r="D51" s="755"/>
      <c r="E51" s="755"/>
      <c r="F51" s="755">
        <v>1140</v>
      </c>
      <c r="G51" s="755">
        <v>850</v>
      </c>
      <c r="H51" s="755"/>
      <c r="I51" s="755">
        <v>456</v>
      </c>
      <c r="J51" s="755">
        <v>1200</v>
      </c>
      <c r="K51" s="755"/>
      <c r="L51" s="755"/>
      <c r="M51" s="953">
        <f>SharedAdmin!R8</f>
        <v>1708.6000000000001</v>
      </c>
    </row>
    <row r="52" spans="2:13" x14ac:dyDescent="0.2">
      <c r="B52" s="871" t="s">
        <v>1177</v>
      </c>
      <c r="C52" s="755"/>
      <c r="D52" s="755"/>
      <c r="E52" s="755"/>
      <c r="F52" s="755">
        <v>735</v>
      </c>
      <c r="G52" s="755">
        <v>250</v>
      </c>
      <c r="H52" s="755"/>
      <c r="I52" s="755">
        <v>-192</v>
      </c>
      <c r="J52" s="755">
        <v>750</v>
      </c>
      <c r="K52" s="755"/>
      <c r="L52" s="755"/>
      <c r="M52" s="953">
        <f>SharedAdmin!R9</f>
        <v>772.5</v>
      </c>
    </row>
    <row r="53" spans="2:13" x14ac:dyDescent="0.2">
      <c r="B53" s="871" t="s">
        <v>1178</v>
      </c>
      <c r="C53" s="755"/>
      <c r="D53" s="755"/>
      <c r="E53" s="755"/>
      <c r="F53" s="755">
        <v>2298</v>
      </c>
      <c r="G53" s="755">
        <v>500</v>
      </c>
      <c r="H53" s="755"/>
      <c r="I53" s="755">
        <v>-1095.33</v>
      </c>
      <c r="J53" s="755">
        <v>2250</v>
      </c>
      <c r="K53" s="755"/>
      <c r="L53" s="755"/>
      <c r="M53" s="953">
        <f>SharedAdmin!R10</f>
        <v>2317.5</v>
      </c>
    </row>
    <row r="54" spans="2:13" x14ac:dyDescent="0.2">
      <c r="B54" s="871" t="s">
        <v>1179</v>
      </c>
      <c r="C54" s="755"/>
      <c r="D54" s="755"/>
      <c r="E54" s="755"/>
      <c r="F54" s="755">
        <v>1584</v>
      </c>
      <c r="G54" s="755">
        <v>700</v>
      </c>
      <c r="H54" s="755"/>
      <c r="I54" s="755">
        <f>-181+70</f>
        <v>-111</v>
      </c>
      <c r="J54" s="755">
        <v>1600</v>
      </c>
      <c r="K54" s="755"/>
      <c r="L54" s="755"/>
      <c r="M54" s="953">
        <f>SharedAdmin!R11</f>
        <v>1648</v>
      </c>
    </row>
    <row r="55" spans="2:13" x14ac:dyDescent="0.2">
      <c r="B55" s="871" t="s">
        <v>1180</v>
      </c>
      <c r="C55" s="755"/>
      <c r="D55" s="755"/>
      <c r="E55" s="755"/>
      <c r="F55" s="755">
        <v>297</v>
      </c>
      <c r="G55" s="755">
        <v>200</v>
      </c>
      <c r="H55" s="755"/>
      <c r="I55" s="755">
        <v>374</v>
      </c>
      <c r="J55" s="755">
        <v>300</v>
      </c>
      <c r="K55" s="755"/>
      <c r="L55" s="755"/>
      <c r="M55" s="953">
        <f>SharedAdmin!R12</f>
        <v>309</v>
      </c>
    </row>
    <row r="56" spans="2:13" x14ac:dyDescent="0.2">
      <c r="B56" s="871" t="s">
        <v>1181</v>
      </c>
      <c r="C56" s="755"/>
      <c r="D56" s="755"/>
      <c r="E56" s="755"/>
      <c r="F56" s="755">
        <v>1830</v>
      </c>
      <c r="G56" s="755">
        <v>500</v>
      </c>
      <c r="H56" s="755"/>
      <c r="I56" s="859">
        <f>4681-8-3538+31+4764</f>
        <v>5930</v>
      </c>
      <c r="J56" s="755">
        <v>1850</v>
      </c>
      <c r="K56" s="755"/>
      <c r="L56" s="755"/>
      <c r="M56" s="953">
        <f>SharedAdmin!R13</f>
        <v>1905.5</v>
      </c>
    </row>
    <row r="57" spans="2:13" x14ac:dyDescent="0.2">
      <c r="B57" s="728" t="s">
        <v>1094</v>
      </c>
      <c r="C57" s="760">
        <f>SUM(C47:C56)</f>
        <v>16089</v>
      </c>
      <c r="D57" s="760">
        <f>SUM(D47:D56)</f>
        <v>18308</v>
      </c>
      <c r="E57" s="760"/>
      <c r="F57" s="760">
        <f>SUM(F47:F56)</f>
        <v>15384</v>
      </c>
      <c r="G57" s="760">
        <f>SUM(G48:G56)</f>
        <v>8664</v>
      </c>
      <c r="H57" s="760">
        <f t="shared" ref="H57:L57" si="4">SUM(H48:H56)</f>
        <v>0</v>
      </c>
      <c r="I57" s="760">
        <f t="shared" si="4"/>
        <v>13187.67</v>
      </c>
      <c r="J57" s="760">
        <f t="shared" si="4"/>
        <v>16150</v>
      </c>
      <c r="K57" s="760">
        <f t="shared" si="4"/>
        <v>0</v>
      </c>
      <c r="L57" s="760">
        <f t="shared" si="4"/>
        <v>0</v>
      </c>
      <c r="M57" s="760">
        <f>SUM(M48:M56)</f>
        <v>18897.099999999999</v>
      </c>
    </row>
    <row r="58" spans="2:13" ht="6" customHeight="1" x14ac:dyDescent="0.2">
      <c r="B58" s="730"/>
      <c r="C58" s="755"/>
      <c r="D58" s="755"/>
      <c r="E58" s="755"/>
      <c r="F58" s="755"/>
      <c r="G58" s="755"/>
      <c r="H58" s="755"/>
      <c r="I58" s="755"/>
      <c r="J58" s="755"/>
      <c r="K58" s="755"/>
      <c r="L58" s="755"/>
      <c r="M58" s="755"/>
    </row>
    <row r="59" spans="2:13" ht="16" x14ac:dyDescent="0.2">
      <c r="B59" s="1037" t="s">
        <v>10</v>
      </c>
      <c r="C59" s="1036">
        <f>C15+C24+C45+C57</f>
        <v>143688</v>
      </c>
      <c r="D59" s="1036">
        <f>D15+D24+D45+D57</f>
        <v>188960</v>
      </c>
      <c r="E59" s="1036"/>
      <c r="F59" s="1036">
        <f>F15+F24+F45+F57</f>
        <v>166808</v>
      </c>
      <c r="G59" s="1036">
        <f>G15+G24+G45+G57</f>
        <v>191790.1605</v>
      </c>
      <c r="H59" s="1036"/>
      <c r="I59" s="1036">
        <f>I15+I24+I45+I57</f>
        <v>487100.67</v>
      </c>
      <c r="J59" s="1036">
        <f>J15+J24+J45+J57</f>
        <v>219108.8422797391</v>
      </c>
      <c r="K59" s="1036"/>
      <c r="L59" s="1036">
        <f>L15+L24+L45+L57</f>
        <v>0</v>
      </c>
      <c r="M59" s="1036">
        <f>M15+M24+M45+M57</f>
        <v>280226.92650771298</v>
      </c>
    </row>
    <row r="60" spans="2:13" ht="19" x14ac:dyDescent="0.25">
      <c r="B60" s="1038" t="s">
        <v>1131</v>
      </c>
      <c r="C60" s="1039">
        <f>ROUND(C9-C59,5)</f>
        <v>20603</v>
      </c>
      <c r="D60" s="1039">
        <f>ROUND(D9-D59,5)</f>
        <v>-20960</v>
      </c>
      <c r="E60" s="1039"/>
      <c r="F60" s="1039">
        <f>ROUND(F9-F59,5)</f>
        <v>33265</v>
      </c>
      <c r="G60" s="1039">
        <f>ROUND(G9-G59,5)</f>
        <v>8309.8395</v>
      </c>
      <c r="H60" s="1039"/>
      <c r="I60" s="1039">
        <f>ROUND(I9-I59,5)</f>
        <v>-487100.67</v>
      </c>
      <c r="J60" s="1039">
        <f>ROUND(J9-J59,5)</f>
        <v>20991.157719999999</v>
      </c>
      <c r="K60" s="1039"/>
      <c r="L60" s="1039">
        <f>ROUND(L9-L59,5)</f>
        <v>0</v>
      </c>
      <c r="M60" s="1039">
        <f>ROUND(M9-M59,5)</f>
        <v>-16226.926509999999</v>
      </c>
    </row>
  </sheetData>
  <sheetProtection algorithmName="SHA-512" hashValue="JCMhNoInLMHUxCfFDffPue4vOmgnUCqPRXivHWO8UZDMbjUSmAivjwhaOgETBlXdfauUNsgiRNIHGfOuIBZYTQ==" saltValue="snh74ZBAZs3k2u39E6y5GA==" spinCount="100000" sheet="1" objects="1" scenarios="1"/>
  <mergeCells count="1">
    <mergeCell ref="B2:M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B2:M84"/>
  <sheetViews>
    <sheetView zoomScale="130" zoomScaleNormal="130" workbookViewId="0">
      <pane xSplit="2" ySplit="3" topLeftCell="C26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2.83203125" customWidth="1"/>
    <col min="2" max="2" width="36" customWidth="1"/>
    <col min="3" max="4" width="14.1640625" customWidth="1"/>
    <col min="5" max="5" width="1.83203125" customWidth="1"/>
    <col min="6" max="7" width="14.1640625" customWidth="1"/>
    <col min="8" max="8" width="1.83203125" customWidth="1"/>
    <col min="9" max="10" width="14.1640625" customWidth="1"/>
    <col min="11" max="11" width="1.83203125" customWidth="1"/>
    <col min="12" max="13" width="14.1640625" customWidth="1"/>
  </cols>
  <sheetData>
    <row r="2" spans="2:13" ht="21" x14ac:dyDescent="0.25">
      <c r="B2" s="1112" t="s">
        <v>18</v>
      </c>
      <c r="C2" s="1112"/>
      <c r="D2" s="1112"/>
      <c r="E2" s="1112"/>
      <c r="F2" s="1112"/>
      <c r="G2" s="1112"/>
      <c r="H2" s="1112"/>
      <c r="I2" s="1112"/>
      <c r="J2" s="1112"/>
      <c r="K2" s="1112"/>
      <c r="L2" s="1112"/>
      <c r="M2" s="1112"/>
    </row>
    <row r="3" spans="2:13" ht="16" x14ac:dyDescent="0.2">
      <c r="B3" s="744"/>
      <c r="C3" s="773" t="s">
        <v>690</v>
      </c>
      <c r="D3" s="749" t="s">
        <v>592</v>
      </c>
      <c r="E3" s="749"/>
      <c r="F3" s="749" t="s">
        <v>1188</v>
      </c>
      <c r="G3" s="868" t="s">
        <v>689</v>
      </c>
      <c r="H3" s="868"/>
      <c r="I3" s="868" t="s">
        <v>1413</v>
      </c>
      <c r="J3" s="868" t="s">
        <v>1197</v>
      </c>
      <c r="K3" s="868"/>
      <c r="L3" s="868" t="s">
        <v>1415</v>
      </c>
      <c r="M3" s="868" t="s">
        <v>1414</v>
      </c>
    </row>
    <row r="4" spans="2:13" ht="16" x14ac:dyDescent="0.2">
      <c r="B4" s="1030" t="s">
        <v>331</v>
      </c>
      <c r="C4" s="1031"/>
      <c r="D4" s="1031"/>
      <c r="E4" s="1031"/>
      <c r="F4" s="1031"/>
      <c r="G4" s="1032"/>
      <c r="H4" s="1032"/>
      <c r="I4" s="1032"/>
      <c r="J4" s="1032"/>
      <c r="K4" s="1032"/>
      <c r="L4" s="1032"/>
      <c r="M4" s="1020"/>
    </row>
    <row r="5" spans="2:13" x14ac:dyDescent="0.2">
      <c r="B5" s="866" t="s">
        <v>639</v>
      </c>
      <c r="C5" s="857"/>
      <c r="D5" s="857"/>
      <c r="E5" s="857"/>
      <c r="F5" s="857"/>
      <c r="G5" s="867"/>
      <c r="H5" s="867"/>
      <c r="I5" s="867"/>
      <c r="J5" s="867"/>
      <c r="K5" s="867"/>
      <c r="L5" s="867"/>
      <c r="M5" s="759"/>
    </row>
    <row r="6" spans="2:13" x14ac:dyDescent="0.2">
      <c r="B6" s="724" t="s">
        <v>640</v>
      </c>
      <c r="C6" s="724">
        <v>2280</v>
      </c>
      <c r="D6" s="724">
        <v>8450</v>
      </c>
      <c r="E6" s="724"/>
      <c r="F6" s="739">
        <v>57045</v>
      </c>
      <c r="G6" s="768">
        <v>2280</v>
      </c>
      <c r="H6" s="768"/>
      <c r="I6" s="726">
        <f>80860-200+4700</f>
        <v>85360</v>
      </c>
      <c r="J6" s="739">
        <f>WHRent!C40</f>
        <v>18990</v>
      </c>
      <c r="K6" s="768"/>
      <c r="L6" s="768"/>
      <c r="M6" s="910">
        <f>WHRent!C17</f>
        <v>10350</v>
      </c>
    </row>
    <row r="7" spans="2:13" x14ac:dyDescent="0.2">
      <c r="B7" s="724" t="s">
        <v>641</v>
      </c>
      <c r="C7" s="724">
        <v>0</v>
      </c>
      <c r="D7" s="724">
        <v>8100</v>
      </c>
      <c r="E7" s="724"/>
      <c r="F7" s="739">
        <v>7915</v>
      </c>
      <c r="G7" s="724">
        <v>8100</v>
      </c>
      <c r="H7" s="724"/>
      <c r="I7" s="733"/>
      <c r="J7" s="724">
        <f>WHRent!E40</f>
        <v>4050</v>
      </c>
      <c r="K7" s="724"/>
      <c r="L7" s="724"/>
      <c r="M7" s="910">
        <f>SUM(WHRent!D17:E17)</f>
        <v>4050</v>
      </c>
    </row>
    <row r="8" spans="2:13" x14ac:dyDescent="0.2">
      <c r="B8" s="729" t="s">
        <v>642</v>
      </c>
      <c r="C8" s="731">
        <f>ROUND(SUM(C5:C7),5)</f>
        <v>2280</v>
      </c>
      <c r="D8" s="729">
        <f>ROUND(SUM(D5:D7),5)</f>
        <v>16550</v>
      </c>
      <c r="E8" s="729"/>
      <c r="F8" s="729">
        <f>ROUND(SUM(F5:F7),5)</f>
        <v>64960</v>
      </c>
      <c r="G8" s="729">
        <f>ROUND(SUM(G5:G7),5)</f>
        <v>10380</v>
      </c>
      <c r="H8" s="729"/>
      <c r="I8" s="729">
        <f t="shared" ref="I8:M8" si="0">ROUND(SUM(I5:I7),5)</f>
        <v>85360</v>
      </c>
      <c r="J8" s="729">
        <f t="shared" si="0"/>
        <v>23040</v>
      </c>
      <c r="K8" s="729"/>
      <c r="L8" s="729">
        <f t="shared" si="0"/>
        <v>0</v>
      </c>
      <c r="M8" s="729">
        <f t="shared" si="0"/>
        <v>14400</v>
      </c>
    </row>
    <row r="9" spans="2:13" ht="6" customHeight="1" x14ac:dyDescent="0.2">
      <c r="B9" s="774"/>
      <c r="C9" s="724"/>
      <c r="D9" s="724"/>
      <c r="E9" s="724"/>
      <c r="F9" s="724"/>
      <c r="G9" s="724"/>
      <c r="H9" s="724"/>
      <c r="I9" s="724"/>
      <c r="J9" s="724"/>
      <c r="K9" s="724"/>
      <c r="L9" s="724"/>
      <c r="M9" s="724"/>
    </row>
    <row r="10" spans="2:13" x14ac:dyDescent="0.2">
      <c r="B10" s="864" t="s">
        <v>624</v>
      </c>
      <c r="C10" s="858"/>
      <c r="D10" s="858"/>
      <c r="E10" s="858"/>
      <c r="F10" s="858"/>
      <c r="G10" s="865"/>
      <c r="H10" s="865"/>
      <c r="I10" s="865"/>
      <c r="J10" s="865"/>
      <c r="K10" s="865"/>
      <c r="L10" s="865"/>
      <c r="M10" s="759"/>
    </row>
    <row r="11" spans="2:13" x14ac:dyDescent="0.2">
      <c r="B11" s="724" t="s">
        <v>1335</v>
      </c>
      <c r="C11" s="724"/>
      <c r="D11" s="724"/>
      <c r="E11" s="724"/>
      <c r="F11" s="724">
        <v>10000</v>
      </c>
      <c r="G11" s="768">
        <v>10000</v>
      </c>
      <c r="H11" s="860"/>
      <c r="I11" s="997"/>
      <c r="J11" s="724">
        <v>10000</v>
      </c>
      <c r="K11" s="860"/>
      <c r="L11" s="860"/>
      <c r="M11" s="741">
        <v>10000</v>
      </c>
    </row>
    <row r="12" spans="2:13" x14ac:dyDescent="0.2">
      <c r="B12" s="724" t="s">
        <v>643</v>
      </c>
      <c r="C12" s="724">
        <v>500</v>
      </c>
      <c r="D12" s="724">
        <v>16750</v>
      </c>
      <c r="E12" s="724"/>
      <c r="F12" s="724">
        <v>10000</v>
      </c>
      <c r="G12" s="768" t="s">
        <v>691</v>
      </c>
      <c r="H12" s="768"/>
      <c r="I12" s="998"/>
      <c r="J12" s="724">
        <v>10000</v>
      </c>
      <c r="K12" s="768"/>
      <c r="L12" s="768"/>
      <c r="M12" s="741">
        <v>10000</v>
      </c>
    </row>
    <row r="13" spans="2:13" x14ac:dyDescent="0.2">
      <c r="B13" s="724" t="s">
        <v>1120</v>
      </c>
      <c r="C13" s="724">
        <v>25000</v>
      </c>
      <c r="D13" s="724">
        <v>25000</v>
      </c>
      <c r="E13" s="724"/>
      <c r="F13" s="739">
        <v>25000</v>
      </c>
      <c r="G13" s="724">
        <v>25000</v>
      </c>
      <c r="H13" s="724"/>
      <c r="I13" s="741"/>
      <c r="J13" s="724">
        <v>25000</v>
      </c>
      <c r="K13" s="724"/>
      <c r="L13" s="724"/>
      <c r="M13" s="741">
        <v>25000</v>
      </c>
    </row>
    <row r="14" spans="2:13" x14ac:dyDescent="0.2">
      <c r="B14" s="724" t="s">
        <v>703</v>
      </c>
      <c r="C14" s="724">
        <v>27435</v>
      </c>
      <c r="D14" s="724">
        <v>30000</v>
      </c>
      <c r="E14" s="724"/>
      <c r="F14" s="739">
        <v>10705</v>
      </c>
      <c r="G14" s="724">
        <v>28000</v>
      </c>
      <c r="H14" s="724"/>
      <c r="I14" s="724">
        <f>3050+1000+31325</f>
        <v>35375</v>
      </c>
      <c r="J14" s="724">
        <v>25000</v>
      </c>
      <c r="K14" s="724"/>
      <c r="L14" s="724"/>
      <c r="M14" s="741">
        <v>25000</v>
      </c>
    </row>
    <row r="15" spans="2:13" x14ac:dyDescent="0.2">
      <c r="B15" s="827" t="s">
        <v>626</v>
      </c>
      <c r="C15" s="861">
        <f>ROUND(SUM(C10:C14),5)</f>
        <v>52935</v>
      </c>
      <c r="D15" s="827">
        <f>ROUND(SUM(D10:D14),5)</f>
        <v>71750</v>
      </c>
      <c r="E15" s="827"/>
      <c r="F15" s="827">
        <f>ROUND(SUM(F10:F14),5)</f>
        <v>55705</v>
      </c>
      <c r="G15" s="827">
        <f>ROUND(SUM(G10:G14),5)</f>
        <v>63000</v>
      </c>
      <c r="H15" s="827"/>
      <c r="I15" s="827">
        <f t="shared" ref="I15:M15" si="1">ROUND(SUM(I10:I14),5)</f>
        <v>35375</v>
      </c>
      <c r="J15" s="827">
        <f t="shared" si="1"/>
        <v>70000</v>
      </c>
      <c r="K15" s="827"/>
      <c r="L15" s="827">
        <f t="shared" si="1"/>
        <v>0</v>
      </c>
      <c r="M15" s="827">
        <f t="shared" si="1"/>
        <v>70000</v>
      </c>
    </row>
    <row r="16" spans="2:13" ht="6.5" customHeight="1" x14ac:dyDescent="0.2">
      <c r="B16" s="774"/>
      <c r="C16" s="724"/>
      <c r="D16" s="774"/>
      <c r="E16" s="774"/>
      <c r="F16" s="774"/>
      <c r="G16" s="774"/>
      <c r="H16" s="774"/>
      <c r="I16" s="774"/>
      <c r="J16" s="774"/>
      <c r="K16" s="774"/>
      <c r="L16" s="774"/>
      <c r="M16" s="774"/>
    </row>
    <row r="17" spans="2:13" x14ac:dyDescent="0.2">
      <c r="B17" s="864" t="s">
        <v>644</v>
      </c>
      <c r="C17" s="858"/>
      <c r="D17" s="858"/>
      <c r="E17" s="858"/>
      <c r="F17" s="858"/>
      <c r="G17" s="865"/>
      <c r="H17" s="865"/>
      <c r="I17" s="865"/>
      <c r="J17" s="865"/>
      <c r="K17" s="865"/>
      <c r="L17" s="865"/>
      <c r="M17" s="759"/>
    </row>
    <row r="18" spans="2:13" x14ac:dyDescent="0.2">
      <c r="B18" s="724" t="s">
        <v>645</v>
      </c>
      <c r="C18" s="724">
        <v>30106</v>
      </c>
      <c r="D18" s="724">
        <v>30106</v>
      </c>
      <c r="E18" s="724"/>
      <c r="F18" s="739">
        <v>30106</v>
      </c>
      <c r="G18" s="828">
        <f>Contracts!I17</f>
        <v>30105.599999999995</v>
      </c>
      <c r="H18" s="828"/>
      <c r="I18" s="739">
        <v>30106</v>
      </c>
      <c r="J18" s="724">
        <v>30106</v>
      </c>
      <c r="K18" s="828"/>
      <c r="L18" s="828"/>
      <c r="M18" s="724">
        <v>30106</v>
      </c>
    </row>
    <row r="19" spans="2:13" x14ac:dyDescent="0.2">
      <c r="B19" s="724" t="s">
        <v>646</v>
      </c>
      <c r="C19" s="724">
        <v>23100</v>
      </c>
      <c r="D19" s="724">
        <v>23100</v>
      </c>
      <c r="E19" s="724"/>
      <c r="F19" s="739">
        <v>25809</v>
      </c>
      <c r="G19" s="828">
        <f>Contracts!I33</f>
        <v>23787.097142857143</v>
      </c>
      <c r="H19" s="828"/>
      <c r="I19" s="922">
        <v>22491</v>
      </c>
      <c r="J19" s="724">
        <v>24501</v>
      </c>
      <c r="K19" s="828"/>
      <c r="L19" s="828"/>
      <c r="M19" s="724">
        <f>J19*1.03</f>
        <v>25236.03</v>
      </c>
    </row>
    <row r="20" spans="2:13" x14ac:dyDescent="0.2">
      <c r="B20" s="729" t="s">
        <v>647</v>
      </c>
      <c r="C20" s="731">
        <f>ROUND(SUM(C17:C19),5)</f>
        <v>53206</v>
      </c>
      <c r="D20" s="729">
        <f>ROUND(SUM(D17:D19),5)</f>
        <v>53206</v>
      </c>
      <c r="E20" s="729"/>
      <c r="F20" s="729">
        <f>ROUND(SUM(F17:F19),5)</f>
        <v>55915</v>
      </c>
      <c r="G20" s="826">
        <f>SUM(G18:G19)</f>
        <v>53892.697142857141</v>
      </c>
      <c r="H20" s="826"/>
      <c r="I20" s="826">
        <f t="shared" ref="I20:M20" si="2">SUM(I18:I19)</f>
        <v>52597</v>
      </c>
      <c r="J20" s="826">
        <f t="shared" si="2"/>
        <v>54607</v>
      </c>
      <c r="K20" s="826"/>
      <c r="L20" s="826">
        <f t="shared" si="2"/>
        <v>0</v>
      </c>
      <c r="M20" s="826">
        <f t="shared" si="2"/>
        <v>55342.03</v>
      </c>
    </row>
    <row r="21" spans="2:13" ht="6" customHeight="1" x14ac:dyDescent="0.2">
      <c r="B21" s="774"/>
      <c r="C21" s="724"/>
      <c r="D21" s="724"/>
      <c r="E21" s="724"/>
      <c r="F21" s="724"/>
      <c r="G21" s="724"/>
      <c r="H21" s="724"/>
      <c r="I21" s="724"/>
      <c r="J21" s="724"/>
      <c r="K21" s="724"/>
      <c r="L21" s="724"/>
      <c r="M21" s="724"/>
    </row>
    <row r="22" spans="2:13" ht="16" x14ac:dyDescent="0.2">
      <c r="B22" s="1019" t="s">
        <v>563</v>
      </c>
      <c r="C22" s="1020">
        <f>ROUND(C4+C8+C15+C20,5)</f>
        <v>108421</v>
      </c>
      <c r="D22" s="1019">
        <f>ROUND(D4+D8+D15+D20,5)</f>
        <v>141506</v>
      </c>
      <c r="E22" s="1019"/>
      <c r="F22" s="1019">
        <f>ROUND(F4+F8+F15+F20,5)</f>
        <v>176580</v>
      </c>
      <c r="G22" s="1019">
        <f>ROUND(G4+G8+G15+G20,5)</f>
        <v>127272.69714</v>
      </c>
      <c r="H22" s="1019"/>
      <c r="I22" s="1019">
        <f t="shared" ref="I22:M22" si="3">ROUND(I4+I8+I15+I20,5)</f>
        <v>173332</v>
      </c>
      <c r="J22" s="1019">
        <f t="shared" si="3"/>
        <v>147647</v>
      </c>
      <c r="K22" s="1019"/>
      <c r="L22" s="1019">
        <f t="shared" si="3"/>
        <v>0</v>
      </c>
      <c r="M22" s="1019">
        <f t="shared" si="3"/>
        <v>139742.03</v>
      </c>
    </row>
    <row r="23" spans="2:13" x14ac:dyDescent="0.2">
      <c r="B23" s="774"/>
      <c r="C23" s="724"/>
      <c r="D23" s="724"/>
      <c r="E23" s="724"/>
      <c r="F23" s="724"/>
      <c r="G23" s="724"/>
      <c r="H23" s="724"/>
      <c r="I23" s="724"/>
      <c r="J23" s="724"/>
      <c r="K23" s="724"/>
      <c r="L23" s="724"/>
      <c r="M23" s="724"/>
    </row>
    <row r="24" spans="2:13" ht="16" x14ac:dyDescent="0.2">
      <c r="B24" s="1019" t="s">
        <v>8</v>
      </c>
      <c r="C24" s="1020"/>
      <c r="D24" s="1020"/>
      <c r="E24" s="1020"/>
      <c r="F24" s="1020"/>
      <c r="G24" s="1021"/>
      <c r="H24" s="1021"/>
      <c r="I24" s="1021"/>
      <c r="J24" s="1021"/>
      <c r="K24" s="1021"/>
      <c r="L24" s="1021"/>
      <c r="M24" s="1020"/>
    </row>
    <row r="25" spans="2:13" ht="6" customHeight="1" x14ac:dyDescent="0.2">
      <c r="B25" s="774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</row>
    <row r="26" spans="2:13" x14ac:dyDescent="0.2">
      <c r="B26" s="864" t="s">
        <v>652</v>
      </c>
      <c r="C26" s="858"/>
      <c r="D26" s="858"/>
      <c r="E26" s="858"/>
      <c r="F26" s="858"/>
      <c r="G26" s="858"/>
      <c r="H26" s="858"/>
      <c r="I26" s="858"/>
      <c r="J26" s="858"/>
      <c r="K26" s="858"/>
      <c r="L26" s="858"/>
      <c r="M26" s="759"/>
    </row>
    <row r="27" spans="2:13" x14ac:dyDescent="0.2">
      <c r="B27" s="724" t="s">
        <v>653</v>
      </c>
      <c r="C27" s="724">
        <v>52920</v>
      </c>
      <c r="D27" s="724">
        <v>53702</v>
      </c>
      <c r="E27" s="724"/>
      <c r="F27" s="739">
        <v>59958</v>
      </c>
      <c r="G27" s="724">
        <f>Insurance!EA22</f>
        <v>55313.35</v>
      </c>
      <c r="H27" s="724"/>
      <c r="I27" s="726">
        <f>28077+30615</f>
        <v>58692</v>
      </c>
      <c r="J27" s="724">
        <f>Insurance!ED22</f>
        <v>57433.894878869447</v>
      </c>
      <c r="K27" s="724"/>
      <c r="L27" s="724"/>
      <c r="M27" s="910">
        <f>Insurance!EG22</f>
        <v>63177.284366756394</v>
      </c>
    </row>
    <row r="28" spans="2:13" x14ac:dyDescent="0.2">
      <c r="B28" s="729" t="s">
        <v>654</v>
      </c>
      <c r="C28" s="731">
        <f>ROUND(SUM(C26:C27),5)</f>
        <v>52920</v>
      </c>
      <c r="D28" s="729">
        <f>ROUND(SUM(D26:D27),5)</f>
        <v>53702</v>
      </c>
      <c r="E28" s="729"/>
      <c r="F28" s="829">
        <f>ROUND(SUM(F26:F27),5)</f>
        <v>59958</v>
      </c>
      <c r="G28" s="729">
        <f>ROUND(SUM(G26:G27),5)</f>
        <v>55313.35</v>
      </c>
      <c r="H28" s="729"/>
      <c r="I28" s="729">
        <f t="shared" ref="I28:M28" si="4">ROUND(SUM(I26:I27),5)</f>
        <v>58692</v>
      </c>
      <c r="J28" s="729">
        <f t="shared" si="4"/>
        <v>57433.89488</v>
      </c>
      <c r="K28" s="729"/>
      <c r="L28" s="729">
        <f t="shared" si="4"/>
        <v>0</v>
      </c>
      <c r="M28" s="729">
        <f t="shared" si="4"/>
        <v>63177.284370000001</v>
      </c>
    </row>
    <row r="29" spans="2:13" ht="6" customHeight="1" x14ac:dyDescent="0.2">
      <c r="B29" s="774"/>
      <c r="C29" s="724"/>
      <c r="D29" s="724"/>
      <c r="E29" s="724"/>
      <c r="F29" s="724"/>
      <c r="G29" s="724"/>
      <c r="H29" s="724"/>
      <c r="I29" s="724"/>
      <c r="J29" s="724"/>
      <c r="K29" s="724"/>
      <c r="L29" s="724"/>
      <c r="M29" s="724"/>
    </row>
    <row r="30" spans="2:13" x14ac:dyDescent="0.2">
      <c r="B30" s="864" t="s">
        <v>582</v>
      </c>
      <c r="C30" s="858"/>
      <c r="D30" s="858"/>
      <c r="E30" s="858"/>
      <c r="F30" s="858"/>
      <c r="G30" s="865"/>
      <c r="H30" s="865"/>
      <c r="I30" s="865"/>
      <c r="J30" s="865"/>
      <c r="K30" s="865"/>
      <c r="L30" s="865"/>
      <c r="M30" s="759"/>
    </row>
    <row r="31" spans="2:13" x14ac:dyDescent="0.2">
      <c r="B31" s="724" t="s">
        <v>1136</v>
      </c>
      <c r="C31" s="724">
        <v>18924</v>
      </c>
      <c r="D31" s="724">
        <v>18000</v>
      </c>
      <c r="E31" s="724"/>
      <c r="F31" s="724">
        <v>14300</v>
      </c>
      <c r="G31" s="724">
        <f>Payroll!D4</f>
        <v>22050</v>
      </c>
      <c r="H31" s="724"/>
      <c r="I31" s="724">
        <v>20894</v>
      </c>
      <c r="J31" s="724">
        <f>Payroll!D4</f>
        <v>22050</v>
      </c>
      <c r="K31" s="724"/>
      <c r="L31" s="724"/>
      <c r="M31" s="910">
        <f>Payroll!D4</f>
        <v>22050</v>
      </c>
    </row>
    <row r="32" spans="2:13" x14ac:dyDescent="0.2">
      <c r="B32" s="724" t="s">
        <v>1190</v>
      </c>
      <c r="C32" s="724"/>
      <c r="D32" s="724"/>
      <c r="E32" s="724"/>
      <c r="F32" s="724">
        <v>5142</v>
      </c>
      <c r="G32" s="724">
        <f>Payroll!G35</f>
        <v>13500</v>
      </c>
      <c r="H32" s="724"/>
      <c r="I32" s="724">
        <v>9676</v>
      </c>
      <c r="J32" s="724">
        <f>Payroll!D5+650</f>
        <v>14150</v>
      </c>
      <c r="K32" s="724"/>
      <c r="L32" s="724"/>
      <c r="M32" s="910">
        <f>Payroll!D5</f>
        <v>13500</v>
      </c>
    </row>
    <row r="33" spans="2:13" x14ac:dyDescent="0.2">
      <c r="B33" s="1018" t="s">
        <v>1529</v>
      </c>
      <c r="C33" s="724">
        <v>0</v>
      </c>
      <c r="D33" s="724">
        <v>0</v>
      </c>
      <c r="E33" s="724"/>
      <c r="F33" s="724">
        <v>4749</v>
      </c>
      <c r="G33" s="724">
        <f>Payroll!G37</f>
        <v>12000</v>
      </c>
      <c r="H33" s="724"/>
      <c r="I33" s="724">
        <v>10041</v>
      </c>
      <c r="J33" s="724">
        <f>Payroll!D7</f>
        <v>12000</v>
      </c>
      <c r="K33" s="724"/>
      <c r="L33" s="724"/>
      <c r="M33" s="954">
        <f>Payroll!D7</f>
        <v>12000</v>
      </c>
    </row>
    <row r="34" spans="2:13" x14ac:dyDescent="0.2">
      <c r="B34" s="724" t="s">
        <v>1406</v>
      </c>
      <c r="C34" s="724"/>
      <c r="D34" s="724"/>
      <c r="E34" s="724"/>
      <c r="F34" s="724"/>
      <c r="G34" s="724"/>
      <c r="H34" s="724"/>
      <c r="I34" s="733"/>
      <c r="J34" s="724">
        <v>6000</v>
      </c>
      <c r="K34" s="724"/>
      <c r="L34" s="724"/>
      <c r="M34" s="588"/>
    </row>
    <row r="35" spans="2:13" x14ac:dyDescent="0.2">
      <c r="B35" s="724" t="s">
        <v>1137</v>
      </c>
      <c r="C35" s="724">
        <v>3815</v>
      </c>
      <c r="D35" s="724">
        <v>13800</v>
      </c>
      <c r="E35" s="724"/>
      <c r="F35" s="724">
        <v>14769</v>
      </c>
      <c r="G35" s="724">
        <f>Payroll!G36</f>
        <v>26464</v>
      </c>
      <c r="H35" s="724"/>
      <c r="I35" s="733"/>
      <c r="J35" s="724">
        <f>Payroll!D6</f>
        <v>26464</v>
      </c>
      <c r="K35" s="724"/>
      <c r="L35" s="724"/>
      <c r="M35" s="910">
        <f>Payroll!D6</f>
        <v>26464</v>
      </c>
    </row>
    <row r="36" spans="2:13" x14ac:dyDescent="0.2">
      <c r="B36" s="724" t="s">
        <v>1421</v>
      </c>
      <c r="C36" s="724"/>
      <c r="D36" s="724"/>
      <c r="E36" s="724"/>
      <c r="F36" s="724"/>
      <c r="G36" s="724"/>
      <c r="H36" s="724"/>
      <c r="I36" s="724">
        <v>13950</v>
      </c>
      <c r="J36" s="724">
        <v>25000</v>
      </c>
      <c r="K36" s="724"/>
      <c r="L36" s="724"/>
      <c r="M36" s="910"/>
    </row>
    <row r="37" spans="2:13" x14ac:dyDescent="0.2">
      <c r="B37" s="724" t="s">
        <v>663</v>
      </c>
      <c r="C37" s="724">
        <v>2653</v>
      </c>
      <c r="D37" s="724">
        <v>2544</v>
      </c>
      <c r="E37" s="724"/>
      <c r="F37" s="739">
        <v>2902</v>
      </c>
      <c r="G37" s="724">
        <f>(SUM(G31:G35))*0.0765</f>
        <v>5662.0709999999999</v>
      </c>
      <c r="H37" s="724"/>
      <c r="I37" s="724">
        <v>2158</v>
      </c>
      <c r="J37" s="724">
        <v>3250</v>
      </c>
      <c r="K37" s="724"/>
      <c r="L37" s="724"/>
      <c r="M37" s="741">
        <v>2500</v>
      </c>
    </row>
    <row r="38" spans="2:13" x14ac:dyDescent="0.2">
      <c r="B38" s="724" t="s">
        <v>688</v>
      </c>
      <c r="C38" s="724">
        <v>1152</v>
      </c>
      <c r="D38" s="724">
        <v>800</v>
      </c>
      <c r="E38" s="724"/>
      <c r="F38" s="739">
        <v>370</v>
      </c>
      <c r="G38" s="724">
        <v>1200</v>
      </c>
      <c r="H38" s="724"/>
      <c r="I38" s="733"/>
      <c r="J38" s="724">
        <v>450</v>
      </c>
      <c r="K38" s="724"/>
      <c r="L38" s="724"/>
      <c r="M38" s="741">
        <v>850</v>
      </c>
    </row>
    <row r="39" spans="2:13" x14ac:dyDescent="0.2">
      <c r="B39" s="729" t="s">
        <v>584</v>
      </c>
      <c r="C39" s="731">
        <f>SUM(C31:C38)</f>
        <v>26544</v>
      </c>
      <c r="D39" s="729">
        <f>SUM(D31:D38)</f>
        <v>35144</v>
      </c>
      <c r="E39" s="729"/>
      <c r="F39" s="729">
        <f>SUM(F31:F38)</f>
        <v>42232</v>
      </c>
      <c r="G39" s="729">
        <f>SUM(G31:G38)</f>
        <v>80876.070999999996</v>
      </c>
      <c r="H39" s="729"/>
      <c r="I39" s="729">
        <f t="shared" ref="I39:M39" si="5">SUM(I31:I38)</f>
        <v>56719</v>
      </c>
      <c r="J39" s="729">
        <f t="shared" si="5"/>
        <v>109364</v>
      </c>
      <c r="K39" s="729"/>
      <c r="L39" s="729">
        <f t="shared" si="5"/>
        <v>0</v>
      </c>
      <c r="M39" s="729">
        <f t="shared" si="5"/>
        <v>77364</v>
      </c>
    </row>
    <row r="40" spans="2:13" ht="6" customHeight="1" x14ac:dyDescent="0.2">
      <c r="B40" s="77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</row>
    <row r="41" spans="2:13" x14ac:dyDescent="0.2">
      <c r="B41" s="864" t="s">
        <v>656</v>
      </c>
      <c r="C41" s="858"/>
      <c r="D41" s="858"/>
      <c r="E41" s="858"/>
      <c r="F41" s="858"/>
      <c r="G41" s="858"/>
      <c r="H41" s="858"/>
      <c r="I41" s="858"/>
      <c r="J41" s="858"/>
      <c r="K41" s="858"/>
      <c r="L41" s="858"/>
      <c r="M41" s="759"/>
    </row>
    <row r="42" spans="2:13" x14ac:dyDescent="0.2">
      <c r="B42" s="724" t="s">
        <v>657</v>
      </c>
      <c r="C42" s="724">
        <v>25976</v>
      </c>
      <c r="D42" s="724">
        <v>20000</v>
      </c>
      <c r="E42" s="724"/>
      <c r="F42" s="739">
        <v>8098</v>
      </c>
      <c r="G42" s="724">
        <v>20000</v>
      </c>
      <c r="H42" s="724"/>
      <c r="I42" s="726">
        <f>76032+86+5590</f>
        <v>81708</v>
      </c>
      <c r="J42" s="724">
        <v>22000</v>
      </c>
      <c r="K42" s="724"/>
      <c r="L42" s="724"/>
      <c r="M42" s="741">
        <v>50000</v>
      </c>
    </row>
    <row r="43" spans="2:13" x14ac:dyDescent="0.2">
      <c r="B43" s="724" t="s">
        <v>658</v>
      </c>
      <c r="C43" s="724">
        <v>2825</v>
      </c>
      <c r="D43" s="724">
        <v>1375</v>
      </c>
      <c r="E43" s="724"/>
      <c r="F43" s="739">
        <v>1250</v>
      </c>
      <c r="G43" s="724">
        <v>1650</v>
      </c>
      <c r="H43" s="724"/>
      <c r="I43" s="733"/>
      <c r="J43" s="724">
        <v>1250</v>
      </c>
      <c r="K43" s="724"/>
      <c r="L43" s="724"/>
      <c r="M43" s="832">
        <v>2000</v>
      </c>
    </row>
    <row r="44" spans="2:13" x14ac:dyDescent="0.2">
      <c r="B44" s="724" t="s">
        <v>659</v>
      </c>
      <c r="C44" s="724">
        <v>1436</v>
      </c>
      <c r="D44" s="724">
        <v>1000</v>
      </c>
      <c r="E44" s="724"/>
      <c r="F44" s="739">
        <v>7432</v>
      </c>
      <c r="G44" s="724">
        <v>1000</v>
      </c>
      <c r="H44" s="724"/>
      <c r="I44" s="726">
        <v>138</v>
      </c>
      <c r="J44" s="724">
        <v>8000</v>
      </c>
      <c r="K44" s="724"/>
      <c r="L44" s="724"/>
      <c r="M44" s="741">
        <v>5000</v>
      </c>
    </row>
    <row r="45" spans="2:13" x14ac:dyDescent="0.2">
      <c r="B45" s="739"/>
      <c r="C45" s="739"/>
      <c r="D45" s="739"/>
      <c r="E45" s="739"/>
      <c r="F45" s="741"/>
      <c r="G45" s="741"/>
      <c r="H45" s="739"/>
      <c r="I45" s="739"/>
      <c r="J45" s="741"/>
      <c r="K45" s="739"/>
      <c r="L45" s="739"/>
      <c r="M45" s="741"/>
    </row>
    <row r="46" spans="2:13" x14ac:dyDescent="0.2">
      <c r="B46" s="729" t="s">
        <v>660</v>
      </c>
      <c r="C46" s="731">
        <f>ROUND(SUM(C41:C44),5)</f>
        <v>30237</v>
      </c>
      <c r="D46" s="729">
        <f>ROUND(SUM(D41:D44),5)</f>
        <v>22375</v>
      </c>
      <c r="E46" s="729"/>
      <c r="F46" s="729">
        <f>ROUND(SUM(F42:F45),5)</f>
        <v>16780</v>
      </c>
      <c r="G46" s="729">
        <f>ROUND(SUM(G42:G45),5)</f>
        <v>22650</v>
      </c>
      <c r="H46" s="729"/>
      <c r="I46" s="729">
        <f>ROUND(SUM(I42:I45),5)</f>
        <v>81846</v>
      </c>
      <c r="J46" s="729">
        <f>ROUND(SUM(J42:J45),5)</f>
        <v>31250</v>
      </c>
      <c r="K46" s="729"/>
      <c r="L46" s="729">
        <f>ROUND(SUM(L42:L45),5)</f>
        <v>0</v>
      </c>
      <c r="M46" s="729">
        <f>ROUND(SUM(M42:M45),5)</f>
        <v>57000</v>
      </c>
    </row>
    <row r="47" spans="2:13" ht="6" customHeight="1" x14ac:dyDescent="0.2">
      <c r="B47" s="774"/>
      <c r="C47" s="724"/>
      <c r="D47" s="724"/>
      <c r="E47" s="724"/>
      <c r="F47" s="724"/>
      <c r="G47" s="724"/>
      <c r="H47" s="724"/>
      <c r="I47" s="724"/>
      <c r="J47" s="724"/>
      <c r="K47" s="724"/>
      <c r="L47" s="724"/>
      <c r="M47" s="724"/>
    </row>
    <row r="48" spans="2:13" x14ac:dyDescent="0.2">
      <c r="B48" s="864" t="s">
        <v>632</v>
      </c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759"/>
    </row>
    <row r="49" spans="2:13" x14ac:dyDescent="0.2">
      <c r="B49" s="724" t="s">
        <v>1521</v>
      </c>
      <c r="C49" s="724">
        <v>3500</v>
      </c>
      <c r="D49" s="724">
        <v>7500</v>
      </c>
      <c r="E49" s="724"/>
      <c r="F49" s="724">
        <v>3500</v>
      </c>
      <c r="G49" s="724">
        <v>6300</v>
      </c>
      <c r="H49" s="724"/>
      <c r="I49" s="724">
        <v>2500</v>
      </c>
      <c r="J49" s="724">
        <v>6000</v>
      </c>
      <c r="K49" s="724"/>
      <c r="L49" s="724"/>
      <c r="M49" s="832">
        <v>6000</v>
      </c>
    </row>
    <row r="50" spans="2:13" x14ac:dyDescent="0.2">
      <c r="B50" s="999" t="s">
        <v>1522</v>
      </c>
      <c r="C50" s="755">
        <v>0</v>
      </c>
      <c r="D50" s="755">
        <v>500</v>
      </c>
      <c r="E50" s="755"/>
      <c r="F50" s="755"/>
      <c r="G50" s="755">
        <v>0</v>
      </c>
      <c r="H50" s="755"/>
      <c r="I50" s="755"/>
      <c r="J50" s="755"/>
      <c r="K50" s="755"/>
      <c r="L50" s="755"/>
      <c r="M50" s="761">
        <v>500</v>
      </c>
    </row>
    <row r="51" spans="2:13" x14ac:dyDescent="0.2">
      <c r="B51" s="724" t="s">
        <v>648</v>
      </c>
      <c r="C51" s="724">
        <v>2290</v>
      </c>
      <c r="D51" s="724">
        <v>5000</v>
      </c>
      <c r="E51" s="724"/>
      <c r="F51" s="724">
        <v>5235</v>
      </c>
      <c r="G51" s="724">
        <v>5000</v>
      </c>
      <c r="H51" s="724"/>
      <c r="I51" s="724">
        <v>5045</v>
      </c>
      <c r="J51" s="724">
        <v>5300</v>
      </c>
      <c r="K51" s="724"/>
      <c r="L51" s="724"/>
      <c r="M51" s="741">
        <v>5500</v>
      </c>
    </row>
    <row r="52" spans="2:13" x14ac:dyDescent="0.2">
      <c r="B52" s="724" t="s">
        <v>649</v>
      </c>
      <c r="C52" s="724">
        <v>1950</v>
      </c>
      <c r="D52" s="724">
        <v>0</v>
      </c>
      <c r="E52" s="724"/>
      <c r="F52" s="724">
        <v>0</v>
      </c>
      <c r="G52" s="724">
        <v>1600</v>
      </c>
      <c r="H52" s="724"/>
      <c r="I52" s="733"/>
      <c r="J52" s="741">
        <v>10000</v>
      </c>
      <c r="K52" s="724"/>
      <c r="L52" s="724"/>
      <c r="M52" s="741">
        <v>1200</v>
      </c>
    </row>
    <row r="53" spans="2:13" x14ac:dyDescent="0.2">
      <c r="B53" s="775" t="s">
        <v>1336</v>
      </c>
      <c r="C53" s="724"/>
      <c r="D53" s="724"/>
      <c r="E53" s="724"/>
      <c r="F53" s="724"/>
      <c r="G53" s="724"/>
      <c r="H53" s="724"/>
      <c r="I53" s="733"/>
      <c r="J53" s="724">
        <v>5000</v>
      </c>
      <c r="K53" s="724"/>
      <c r="L53" s="724"/>
      <c r="M53" s="741"/>
    </row>
    <row r="54" spans="2:13" x14ac:dyDescent="0.2">
      <c r="B54" s="775" t="s">
        <v>1338</v>
      </c>
      <c r="C54" s="724"/>
      <c r="D54" s="724"/>
      <c r="E54" s="724"/>
      <c r="F54" s="724"/>
      <c r="G54" s="724"/>
      <c r="H54" s="724"/>
      <c r="I54" s="733"/>
      <c r="J54" s="741"/>
      <c r="K54" s="724"/>
      <c r="L54" s="724"/>
      <c r="M54" s="741"/>
    </row>
    <row r="55" spans="2:13" x14ac:dyDescent="0.2">
      <c r="B55" s="724" t="s">
        <v>650</v>
      </c>
      <c r="C55" s="724">
        <v>2428</v>
      </c>
      <c r="D55" s="724">
        <v>3250</v>
      </c>
      <c r="E55" s="724"/>
      <c r="F55" s="724">
        <v>3414</v>
      </c>
      <c r="G55" s="724">
        <v>3000</v>
      </c>
      <c r="H55" s="724"/>
      <c r="I55" s="724">
        <v>6460</v>
      </c>
      <c r="J55" s="724">
        <v>3500</v>
      </c>
      <c r="K55" s="724"/>
      <c r="L55" s="724"/>
      <c r="M55" s="832">
        <v>15000</v>
      </c>
    </row>
    <row r="56" spans="2:13" x14ac:dyDescent="0.2">
      <c r="B56" s="724" t="s">
        <v>651</v>
      </c>
      <c r="C56" s="724">
        <v>6415</v>
      </c>
      <c r="D56" s="724">
        <v>7750</v>
      </c>
      <c r="E56" s="724"/>
      <c r="F56" s="724">
        <v>2493</v>
      </c>
      <c r="G56" s="724">
        <v>6000</v>
      </c>
      <c r="H56" s="724"/>
      <c r="I56" s="726">
        <f>8625+2821+1490</f>
        <v>12936</v>
      </c>
      <c r="J56" s="724">
        <v>3500</v>
      </c>
      <c r="K56" s="724"/>
      <c r="L56" s="724"/>
      <c r="M56" s="741">
        <v>8000</v>
      </c>
    </row>
    <row r="57" spans="2:13" x14ac:dyDescent="0.2">
      <c r="B57" s="724" t="s">
        <v>655</v>
      </c>
      <c r="C57" s="724">
        <v>8910</v>
      </c>
      <c r="D57" s="724">
        <v>7000</v>
      </c>
      <c r="E57" s="724"/>
      <c r="F57" s="724">
        <v>4616</v>
      </c>
      <c r="G57" s="724">
        <v>8000</v>
      </c>
      <c r="H57" s="724"/>
      <c r="I57" s="724">
        <v>3366</v>
      </c>
      <c r="J57" s="724">
        <v>12000</v>
      </c>
      <c r="K57" s="724"/>
      <c r="L57" s="724"/>
      <c r="M57" s="832">
        <v>15000</v>
      </c>
    </row>
    <row r="58" spans="2:13" x14ac:dyDescent="0.2">
      <c r="B58" s="862" t="s">
        <v>661</v>
      </c>
      <c r="C58" s="862">
        <v>1284</v>
      </c>
      <c r="D58" s="862">
        <v>1500</v>
      </c>
      <c r="E58" s="862"/>
      <c r="F58" s="862"/>
      <c r="G58" s="862">
        <v>0</v>
      </c>
      <c r="H58" s="862"/>
      <c r="I58" s="862">
        <v>3912</v>
      </c>
      <c r="J58" s="833">
        <v>2400</v>
      </c>
      <c r="K58" s="862"/>
      <c r="L58" s="862"/>
      <c r="M58" s="833">
        <v>0</v>
      </c>
    </row>
    <row r="59" spans="2:13" x14ac:dyDescent="0.2">
      <c r="B59" s="724" t="s">
        <v>1121</v>
      </c>
      <c r="C59" s="724">
        <v>1408</v>
      </c>
      <c r="D59" s="724">
        <v>3250</v>
      </c>
      <c r="E59" s="724"/>
      <c r="F59" s="724">
        <v>1685</v>
      </c>
      <c r="G59" s="724">
        <v>3000</v>
      </c>
      <c r="H59" s="724"/>
      <c r="I59" s="724">
        <v>5015</v>
      </c>
      <c r="J59" s="724">
        <v>1800</v>
      </c>
      <c r="K59" s="724"/>
      <c r="L59" s="724"/>
      <c r="M59" s="741">
        <v>2500</v>
      </c>
    </row>
    <row r="60" spans="2:13" x14ac:dyDescent="0.2">
      <c r="B60" s="724" t="s">
        <v>1523</v>
      </c>
      <c r="C60" s="724">
        <v>1531</v>
      </c>
      <c r="D60" s="724">
        <v>1500</v>
      </c>
      <c r="E60" s="724"/>
      <c r="F60" s="724">
        <v>1526</v>
      </c>
      <c r="G60" s="724">
        <v>1500</v>
      </c>
      <c r="H60" s="724"/>
      <c r="I60" s="724">
        <v>1635</v>
      </c>
      <c r="J60" s="727">
        <v>1500</v>
      </c>
      <c r="K60" s="724"/>
      <c r="L60" s="724"/>
      <c r="M60" s="551">
        <v>1750</v>
      </c>
    </row>
    <row r="61" spans="2:13" x14ac:dyDescent="0.2">
      <c r="B61" s="724" t="s">
        <v>665</v>
      </c>
      <c r="C61" s="724">
        <v>12230</v>
      </c>
      <c r="D61" s="724">
        <v>12500</v>
      </c>
      <c r="E61" s="724"/>
      <c r="F61" s="724">
        <v>12782</v>
      </c>
      <c r="G61" s="724">
        <v>14250</v>
      </c>
      <c r="H61" s="724"/>
      <c r="I61" s="724">
        <v>14532</v>
      </c>
      <c r="J61" s="724">
        <v>13000</v>
      </c>
      <c r="K61" s="724"/>
      <c r="L61" s="724"/>
      <c r="M61" s="741">
        <v>15000</v>
      </c>
    </row>
    <row r="62" spans="2:13" x14ac:dyDescent="0.2">
      <c r="B62" s="724" t="s">
        <v>666</v>
      </c>
      <c r="C62" s="724">
        <v>1453</v>
      </c>
      <c r="D62" s="724">
        <v>1300</v>
      </c>
      <c r="E62" s="724"/>
      <c r="F62" s="724">
        <v>1372</v>
      </c>
      <c r="G62" s="724">
        <v>1300</v>
      </c>
      <c r="H62" s="724"/>
      <c r="I62" s="724">
        <v>1635</v>
      </c>
      <c r="J62" s="724">
        <v>1400</v>
      </c>
      <c r="K62" s="724"/>
      <c r="L62" s="724"/>
      <c r="M62" s="741">
        <v>1750</v>
      </c>
    </row>
    <row r="63" spans="2:13" x14ac:dyDescent="0.2">
      <c r="B63" s="724" t="s">
        <v>662</v>
      </c>
      <c r="C63" s="724">
        <v>961</v>
      </c>
      <c r="D63" s="724">
        <v>3500</v>
      </c>
      <c r="E63" s="724"/>
      <c r="F63" s="724">
        <v>5058</v>
      </c>
      <c r="G63" s="724">
        <v>2000</v>
      </c>
      <c r="H63" s="724"/>
      <c r="I63" s="733"/>
      <c r="J63" s="724">
        <v>5000</v>
      </c>
      <c r="K63" s="724"/>
      <c r="L63" s="724"/>
      <c r="M63" s="741">
        <v>2500</v>
      </c>
    </row>
    <row r="64" spans="2:13" x14ac:dyDescent="0.2">
      <c r="B64" s="724" t="s">
        <v>687</v>
      </c>
      <c r="C64" s="724">
        <v>0</v>
      </c>
      <c r="D64" s="724">
        <v>2900</v>
      </c>
      <c r="E64" s="724"/>
      <c r="F64" s="724">
        <v>967</v>
      </c>
      <c r="G64" s="724">
        <v>967</v>
      </c>
      <c r="H64" s="724"/>
      <c r="I64" s="724">
        <v>967</v>
      </c>
      <c r="J64" s="727">
        <v>967</v>
      </c>
      <c r="K64" s="724"/>
      <c r="L64" s="724"/>
      <c r="M64" s="551">
        <v>967</v>
      </c>
    </row>
    <row r="65" spans="2:13" x14ac:dyDescent="0.2">
      <c r="B65" s="724" t="s">
        <v>1189</v>
      </c>
      <c r="C65" s="724">
        <v>0</v>
      </c>
      <c r="D65" s="724">
        <v>0</v>
      </c>
      <c r="E65" s="724"/>
      <c r="F65" s="724">
        <v>325</v>
      </c>
      <c r="G65" s="724">
        <v>0</v>
      </c>
      <c r="H65" s="724"/>
      <c r="I65" s="724">
        <v>358</v>
      </c>
      <c r="J65" s="724">
        <v>325</v>
      </c>
      <c r="K65" s="724"/>
      <c r="L65" s="724"/>
      <c r="M65" s="741">
        <v>500</v>
      </c>
    </row>
    <row r="66" spans="2:13" x14ac:dyDescent="0.2">
      <c r="B66" s="724" t="s">
        <v>664</v>
      </c>
      <c r="C66" s="724">
        <v>4149</v>
      </c>
      <c r="D66" s="724">
        <v>4250</v>
      </c>
      <c r="E66" s="724"/>
      <c r="F66" s="724">
        <v>4077</v>
      </c>
      <c r="G66" s="724">
        <v>4250</v>
      </c>
      <c r="H66" s="724"/>
      <c r="I66" s="733"/>
      <c r="J66" s="724">
        <v>4100</v>
      </c>
      <c r="K66" s="724"/>
      <c r="L66" s="724"/>
      <c r="M66" s="741">
        <v>4250</v>
      </c>
    </row>
    <row r="67" spans="2:13" x14ac:dyDescent="0.2">
      <c r="B67" s="729" t="s">
        <v>702</v>
      </c>
      <c r="C67" s="731"/>
      <c r="D67" s="729">
        <f>SUM(D49:D66)</f>
        <v>61700</v>
      </c>
      <c r="E67" s="729"/>
      <c r="F67" s="729">
        <f>SUM(F49:F66)</f>
        <v>47050</v>
      </c>
      <c r="G67" s="729">
        <f>SUM(G49:G66)</f>
        <v>57167</v>
      </c>
      <c r="H67" s="729"/>
      <c r="I67" s="729">
        <f>SUM(I49:I66)</f>
        <v>58361</v>
      </c>
      <c r="J67" s="729">
        <f>SUM(J49:J66)</f>
        <v>75792</v>
      </c>
      <c r="K67" s="729"/>
      <c r="L67" s="729">
        <f>SUM(L49:L66)</f>
        <v>0</v>
      </c>
      <c r="M67" s="729">
        <f>SUM(M49:M66)</f>
        <v>80417</v>
      </c>
    </row>
    <row r="68" spans="2:13" ht="9.5" customHeight="1" x14ac:dyDescent="0.2">
      <c r="B68" s="774"/>
      <c r="C68" s="727"/>
      <c r="D68" s="727"/>
      <c r="E68" s="727"/>
      <c r="F68" s="727"/>
      <c r="G68" s="831"/>
      <c r="H68" s="831"/>
      <c r="I68" s="831"/>
      <c r="J68" s="831"/>
      <c r="K68" s="831"/>
      <c r="L68" s="831"/>
      <c r="M68" s="727"/>
    </row>
    <row r="69" spans="2:13" x14ac:dyDescent="0.2">
      <c r="B69" s="864" t="s">
        <v>1093</v>
      </c>
      <c r="C69" s="858"/>
      <c r="D69" s="858"/>
      <c r="E69" s="858"/>
      <c r="F69" s="858"/>
      <c r="G69" s="858"/>
      <c r="H69" s="858"/>
      <c r="I69" s="858"/>
      <c r="J69" s="858"/>
      <c r="K69" s="858"/>
      <c r="L69" s="858"/>
      <c r="M69" s="759"/>
    </row>
    <row r="70" spans="2:13" ht="19" hidden="1" customHeight="1" x14ac:dyDescent="0.2">
      <c r="B70" s="724" t="s">
        <v>1100</v>
      </c>
      <c r="C70" s="724">
        <v>0</v>
      </c>
      <c r="D70" s="724">
        <v>5000</v>
      </c>
      <c r="E70" s="724"/>
      <c r="F70" s="724"/>
      <c r="G70" s="724" t="e">
        <f>SharedAdmin!C4*SharedAdmin!T4</f>
        <v>#VALUE!</v>
      </c>
      <c r="H70" s="724"/>
      <c r="I70" s="724"/>
      <c r="J70" s="724"/>
      <c r="K70" s="724"/>
      <c r="L70" s="724"/>
      <c r="M70" s="724"/>
    </row>
    <row r="71" spans="2:13" x14ac:dyDescent="0.2">
      <c r="B71" s="724" t="s">
        <v>1172</v>
      </c>
      <c r="C71" s="724">
        <v>13336</v>
      </c>
      <c r="D71" s="724">
        <v>10058</v>
      </c>
      <c r="E71" s="724"/>
      <c r="F71" s="724">
        <v>7022</v>
      </c>
      <c r="G71" s="724">
        <v>5214</v>
      </c>
      <c r="H71" s="724"/>
      <c r="I71" s="724">
        <v>13336</v>
      </c>
      <c r="J71" s="724">
        <v>7000</v>
      </c>
      <c r="K71" s="724"/>
      <c r="L71" s="724"/>
      <c r="M71" s="910">
        <f>SharedAdmin!U5</f>
        <v>9000</v>
      </c>
    </row>
    <row r="72" spans="2:13" x14ac:dyDescent="0.2">
      <c r="B72" s="775" t="s">
        <v>1173</v>
      </c>
      <c r="C72" s="724">
        <v>2753</v>
      </c>
      <c r="D72" s="724"/>
      <c r="E72" s="724"/>
      <c r="F72" s="724"/>
      <c r="G72" s="724"/>
      <c r="H72" s="724"/>
      <c r="I72" s="733"/>
      <c r="J72" s="724">
        <v>1500</v>
      </c>
      <c r="K72" s="724"/>
      <c r="L72" s="724"/>
      <c r="M72" s="910">
        <f>SharedAdmin!U6</f>
        <v>0</v>
      </c>
    </row>
    <row r="73" spans="2:13" x14ac:dyDescent="0.2">
      <c r="B73" s="863" t="s">
        <v>1175</v>
      </c>
      <c r="C73" s="724"/>
      <c r="D73" s="724"/>
      <c r="E73" s="724"/>
      <c r="F73" s="724">
        <v>955</v>
      </c>
      <c r="G73" s="724">
        <v>900</v>
      </c>
      <c r="H73" s="724"/>
      <c r="I73" s="724">
        <v>917</v>
      </c>
      <c r="J73" s="724">
        <v>1200</v>
      </c>
      <c r="K73" s="724"/>
      <c r="L73" s="724"/>
      <c r="M73" s="910">
        <f>SharedAdmin!U7</f>
        <v>1236</v>
      </c>
    </row>
    <row r="74" spans="2:13" x14ac:dyDescent="0.2">
      <c r="B74" s="863" t="s">
        <v>1174</v>
      </c>
      <c r="C74" s="724"/>
      <c r="D74" s="724"/>
      <c r="E74" s="724"/>
      <c r="F74" s="724">
        <v>1140</v>
      </c>
      <c r="G74" s="724">
        <v>850</v>
      </c>
      <c r="H74" s="724"/>
      <c r="I74" s="724">
        <v>915</v>
      </c>
      <c r="J74" s="724">
        <v>1200</v>
      </c>
      <c r="K74" s="724"/>
      <c r="L74" s="724"/>
      <c r="M74" s="910">
        <f>SharedAdmin!U8</f>
        <v>1708.6000000000001</v>
      </c>
    </row>
    <row r="75" spans="2:13" x14ac:dyDescent="0.2">
      <c r="B75" s="863" t="s">
        <v>1176</v>
      </c>
      <c r="C75" s="724"/>
      <c r="D75" s="724"/>
      <c r="E75" s="724"/>
      <c r="F75" s="724">
        <v>735</v>
      </c>
      <c r="G75" s="724">
        <v>250</v>
      </c>
      <c r="H75" s="724"/>
      <c r="I75" s="724">
        <v>249</v>
      </c>
      <c r="J75" s="724">
        <v>750</v>
      </c>
      <c r="K75" s="724"/>
      <c r="L75" s="724"/>
      <c r="M75" s="910">
        <f>SharedAdmin!U9</f>
        <v>772.5</v>
      </c>
    </row>
    <row r="76" spans="2:13" hidden="1" x14ac:dyDescent="0.2">
      <c r="B76" s="863" t="s">
        <v>1102</v>
      </c>
      <c r="C76" s="724"/>
      <c r="D76" s="724"/>
      <c r="E76" s="724"/>
      <c r="F76" s="724"/>
      <c r="G76" s="724">
        <f>SharedAdmin!C10*SharedAdmin!T10</f>
        <v>0</v>
      </c>
      <c r="H76" s="724"/>
      <c r="I76" s="724"/>
      <c r="J76" s="724"/>
      <c r="K76" s="724"/>
      <c r="L76" s="724"/>
      <c r="M76" s="724"/>
    </row>
    <row r="77" spans="2:13" hidden="1" x14ac:dyDescent="0.2">
      <c r="B77" s="863" t="s">
        <v>1103</v>
      </c>
      <c r="C77" s="724"/>
      <c r="D77" s="724"/>
      <c r="E77" s="724"/>
      <c r="F77" s="724"/>
      <c r="G77" s="724">
        <f>SharedAdmin!C11*SharedAdmin!T11</f>
        <v>0</v>
      </c>
      <c r="H77" s="724"/>
      <c r="I77" s="724"/>
      <c r="J77" s="724"/>
      <c r="K77" s="724"/>
      <c r="L77" s="724"/>
      <c r="M77" s="724"/>
    </row>
    <row r="78" spans="2:13" hidden="1" x14ac:dyDescent="0.2">
      <c r="B78" s="863" t="s">
        <v>1104</v>
      </c>
      <c r="C78" s="724"/>
      <c r="D78" s="724"/>
      <c r="E78" s="724"/>
      <c r="F78" s="724"/>
      <c r="G78" s="724">
        <f>SharedAdmin!C12*SharedAdmin!T12</f>
        <v>0</v>
      </c>
      <c r="H78" s="724"/>
      <c r="I78" s="724"/>
      <c r="J78" s="724"/>
      <c r="K78" s="724"/>
      <c r="L78" s="724"/>
      <c r="M78" s="724"/>
    </row>
    <row r="79" spans="2:13" hidden="1" x14ac:dyDescent="0.2">
      <c r="B79" s="863" t="s">
        <v>1105</v>
      </c>
      <c r="C79" s="724"/>
      <c r="D79" s="724"/>
      <c r="E79" s="724"/>
      <c r="F79" s="724"/>
      <c r="G79" s="724">
        <f>SharedAdmin!C13*SharedAdmin!T13</f>
        <v>0</v>
      </c>
      <c r="H79" s="724"/>
      <c r="I79" s="724"/>
      <c r="J79" s="724"/>
      <c r="K79" s="724"/>
      <c r="L79" s="724"/>
      <c r="M79" s="724"/>
    </row>
    <row r="80" spans="2:13" x14ac:dyDescent="0.2">
      <c r="B80" s="729" t="s">
        <v>1094</v>
      </c>
      <c r="C80" s="731"/>
      <c r="D80" s="729">
        <f>SUM(D71:D79)</f>
        <v>10058</v>
      </c>
      <c r="E80" s="729"/>
      <c r="F80" s="729">
        <f>SUM(F71:F79)</f>
        <v>9852</v>
      </c>
      <c r="G80" s="729">
        <f>SUM(G71:G75)</f>
        <v>7214</v>
      </c>
      <c r="H80" s="729"/>
      <c r="I80" s="729">
        <f t="shared" ref="I80:M80" si="6">SUM(I71:I75)</f>
        <v>15417</v>
      </c>
      <c r="J80" s="729">
        <f t="shared" si="6"/>
        <v>11650</v>
      </c>
      <c r="K80" s="729"/>
      <c r="L80" s="729">
        <f t="shared" si="6"/>
        <v>0</v>
      </c>
      <c r="M80" s="729">
        <f t="shared" si="6"/>
        <v>12717.1</v>
      </c>
    </row>
    <row r="81" spans="2:13" ht="6" customHeight="1" x14ac:dyDescent="0.2">
      <c r="B81" s="774"/>
      <c r="C81" s="727"/>
      <c r="D81" s="727"/>
      <c r="E81" s="727"/>
      <c r="F81" s="727"/>
      <c r="G81" s="831"/>
      <c r="H81" s="831"/>
      <c r="I81" s="831"/>
      <c r="J81" s="831"/>
      <c r="K81" s="831"/>
      <c r="L81" s="831"/>
      <c r="M81" s="831"/>
    </row>
    <row r="82" spans="2:13" ht="16" x14ac:dyDescent="0.2">
      <c r="B82" s="1019" t="s">
        <v>10</v>
      </c>
      <c r="C82" s="1020">
        <f>ROUND(C24+C28+C46+C39+C67+C80,5)</f>
        <v>109701</v>
      </c>
      <c r="D82" s="1019">
        <f>ROUND(D24+D28+D46+D39+D67+D80,5)</f>
        <v>182979</v>
      </c>
      <c r="E82" s="1019"/>
      <c r="F82" s="1019">
        <f>ROUND(F24+F28+F46+F39+F67+F80,5)</f>
        <v>175872</v>
      </c>
      <c r="G82" s="1019">
        <f>ROUND(G24+G28+G46+G39+G67+G80,5)</f>
        <v>223220.421</v>
      </c>
      <c r="H82" s="1019"/>
      <c r="I82" s="1019">
        <f>ROUND(I24+I28+I46+I39+I67+I80,5)</f>
        <v>271035</v>
      </c>
      <c r="J82" s="1019">
        <f>ROUND(J24+J28+J46+J39+J67+J80,5)</f>
        <v>285489.89487999998</v>
      </c>
      <c r="K82" s="1019"/>
      <c r="L82" s="1019">
        <f>ROUND(L24+L28+L46+L39+L67+L80,5)</f>
        <v>0</v>
      </c>
      <c r="M82" s="1019">
        <f>ROUND(M24+M28+M46+M39+M67+M80,5)</f>
        <v>290675.38436999999</v>
      </c>
    </row>
    <row r="83" spans="2:13" ht="6" customHeight="1" x14ac:dyDescent="0.2">
      <c r="B83" s="774"/>
      <c r="C83" s="727"/>
      <c r="D83" s="727"/>
      <c r="E83" s="727"/>
      <c r="F83" s="727"/>
      <c r="G83" s="831"/>
      <c r="H83" s="831"/>
      <c r="I83" s="831"/>
      <c r="J83" s="831"/>
      <c r="K83" s="831"/>
      <c r="L83" s="831"/>
      <c r="M83" s="831"/>
    </row>
    <row r="84" spans="2:13" ht="19" x14ac:dyDescent="0.25">
      <c r="B84" s="1022" t="s">
        <v>1132</v>
      </c>
      <c r="C84" s="1022">
        <f>ROUND(C22-C82,5)</f>
        <v>-1280</v>
      </c>
      <c r="D84" s="1022">
        <f>ROUND(D22-D82,5)</f>
        <v>-41473</v>
      </c>
      <c r="E84" s="1022"/>
      <c r="F84" s="1022">
        <f>ROUND(F22-F82,5)</f>
        <v>708</v>
      </c>
      <c r="G84" s="1022">
        <f>ROUND(G22-G82,5)</f>
        <v>-95947.723859999998</v>
      </c>
      <c r="H84" s="1022"/>
      <c r="I84" s="1022">
        <f>ROUND(I22-I82,5)</f>
        <v>-97703</v>
      </c>
      <c r="J84" s="1022">
        <f>ROUND(J22-J82,5)</f>
        <v>-137842.89488000001</v>
      </c>
      <c r="K84" s="1022"/>
      <c r="L84" s="1022">
        <f>ROUND(L22-L82,5)</f>
        <v>0</v>
      </c>
      <c r="M84" s="1022">
        <f>ROUND(M22-M82,5)</f>
        <v>-150933.35436999999</v>
      </c>
    </row>
  </sheetData>
  <sheetProtection algorithmName="SHA-512" hashValue="k+0nzK6KLIZGpwwqpPjvxKWl9ZFyZOrCL3srIt1usvx5odU8jdeeL3/WsPQN6P6BYuou/cOedzCMeWQhC9y+cg==" saltValue="0HazrZ2zix/YjHL6CHTtzg==" spinCount="100000" sheet="1" objects="1" scenarios="1"/>
  <mergeCells count="1">
    <mergeCell ref="B2:M2"/>
  </mergeCells>
  <pageMargins left="0.7" right="0.7" top="0.75" bottom="0.75" header="0.3" footer="0.3"/>
  <pageSetup scale="54" fitToHeight="0" orientation="portrait" horizontalDpi="300" verticalDpi="3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C1:W34"/>
  <sheetViews>
    <sheetView workbookViewId="0">
      <selection activeCell="F1" sqref="C1:R22"/>
    </sheetView>
  </sheetViews>
  <sheetFormatPr baseColWidth="10" defaultColWidth="8.83203125" defaultRowHeight="15" x14ac:dyDescent="0.2"/>
  <cols>
    <col min="1" max="2" width="1.1640625" customWidth="1"/>
    <col min="3" max="3" width="19.1640625" customWidth="1"/>
    <col min="4" max="5" width="11.5" customWidth="1"/>
    <col min="6" max="10" width="10" customWidth="1"/>
    <col min="11" max="11" width="11.5" customWidth="1"/>
    <col min="12" max="12" width="14.1640625" customWidth="1"/>
    <col min="13" max="13" width="10.1640625" customWidth="1"/>
    <col min="14" max="14" width="12" customWidth="1"/>
    <col min="15" max="16" width="11.5" customWidth="1"/>
    <col min="17" max="18" width="9.83203125" customWidth="1"/>
    <col min="19" max="19" width="11.83203125" customWidth="1"/>
    <col min="20" max="20" width="8.5" customWidth="1"/>
  </cols>
  <sheetData>
    <row r="1" spans="3:20" ht="6.5" customHeight="1" thickBot="1" x14ac:dyDescent="0.25"/>
    <row r="2" spans="3:20" ht="22" thickBot="1" x14ac:dyDescent="0.3">
      <c r="C2" s="1113" t="s">
        <v>532</v>
      </c>
      <c r="D2" s="1114"/>
      <c r="E2" s="1114"/>
      <c r="F2" s="1114"/>
      <c r="G2" s="1114"/>
      <c r="H2" s="1114"/>
      <c r="I2" s="1114"/>
      <c r="J2" s="1114"/>
      <c r="K2" s="1114"/>
      <c r="L2" s="1114"/>
      <c r="M2" s="1114"/>
      <c r="N2" s="1114"/>
      <c r="O2" s="1114"/>
      <c r="P2" s="1115"/>
    </row>
    <row r="3" spans="3:20" ht="27" customHeight="1" x14ac:dyDescent="0.2">
      <c r="C3" s="1116" t="s">
        <v>529</v>
      </c>
      <c r="D3" s="1119"/>
      <c r="E3" s="1119"/>
      <c r="F3" s="1119"/>
      <c r="G3" s="1119"/>
      <c r="H3" s="1119"/>
      <c r="I3" s="1120"/>
      <c r="K3" s="1116" t="s">
        <v>528</v>
      </c>
      <c r="L3" s="1133"/>
      <c r="M3" s="1117"/>
      <c r="O3" s="1124" t="s">
        <v>533</v>
      </c>
      <c r="P3" s="1125"/>
    </row>
    <row r="4" spans="3:20" ht="29" customHeight="1" x14ac:dyDescent="0.2">
      <c r="C4" s="138" t="s">
        <v>123</v>
      </c>
      <c r="D4" s="139" t="s">
        <v>526</v>
      </c>
      <c r="E4" s="139" t="s">
        <v>339</v>
      </c>
      <c r="F4" s="139" t="s">
        <v>340</v>
      </c>
      <c r="G4" s="139" t="s">
        <v>346</v>
      </c>
      <c r="H4" s="139" t="s">
        <v>347</v>
      </c>
      <c r="I4" s="204" t="s">
        <v>348</v>
      </c>
      <c r="K4" s="208" t="s">
        <v>530</v>
      </c>
      <c r="L4" s="139" t="s">
        <v>526</v>
      </c>
      <c r="M4" s="204" t="s">
        <v>527</v>
      </c>
      <c r="O4" s="1126"/>
      <c r="P4" s="1127"/>
    </row>
    <row r="5" spans="3:20" ht="16" x14ac:dyDescent="0.2">
      <c r="C5" s="140" t="s">
        <v>338</v>
      </c>
      <c r="D5" s="24">
        <v>10625</v>
      </c>
      <c r="E5" s="25">
        <v>1180</v>
      </c>
      <c r="F5">
        <v>2016</v>
      </c>
      <c r="G5" s="198" t="s">
        <v>341</v>
      </c>
      <c r="H5" s="199" t="s">
        <v>342</v>
      </c>
      <c r="I5" s="200">
        <f>(4*1180)+(5*1250)</f>
        <v>10970</v>
      </c>
      <c r="K5" s="140"/>
      <c r="M5" s="3"/>
      <c r="O5" s="1126"/>
      <c r="P5" s="1127"/>
    </row>
    <row r="6" spans="3:20" x14ac:dyDescent="0.2">
      <c r="C6" s="140" t="s">
        <v>332</v>
      </c>
      <c r="D6" s="24">
        <v>11250</v>
      </c>
      <c r="E6" s="25">
        <v>1250</v>
      </c>
      <c r="F6">
        <v>2017</v>
      </c>
      <c r="G6" s="199" t="s">
        <v>343</v>
      </c>
      <c r="H6" s="199" t="s">
        <v>344</v>
      </c>
      <c r="I6" s="200">
        <f>(4*1250)+(5*1388)</f>
        <v>11940</v>
      </c>
      <c r="K6" s="140"/>
      <c r="M6" s="3"/>
      <c r="O6" s="1126"/>
      <c r="P6" s="1127"/>
    </row>
    <row r="7" spans="3:20" x14ac:dyDescent="0.2">
      <c r="C7" s="140" t="s">
        <v>333</v>
      </c>
      <c r="D7" s="24">
        <v>12500</v>
      </c>
      <c r="E7" s="25">
        <v>1388</v>
      </c>
      <c r="F7">
        <v>2018</v>
      </c>
      <c r="G7" s="199" t="s">
        <v>345</v>
      </c>
      <c r="H7" s="199" t="s">
        <v>521</v>
      </c>
      <c r="I7" s="200">
        <f>(4*1388)+(5*1030)</f>
        <v>10702</v>
      </c>
      <c r="K7" s="140">
        <v>2018</v>
      </c>
      <c r="L7" s="203">
        <v>2040</v>
      </c>
      <c r="M7" s="205">
        <v>170</v>
      </c>
      <c r="O7" s="1126"/>
      <c r="P7" s="1127"/>
    </row>
    <row r="8" spans="3:20" x14ac:dyDescent="0.2">
      <c r="C8" s="140" t="s">
        <v>514</v>
      </c>
      <c r="D8" s="24">
        <v>9270</v>
      </c>
      <c r="E8" s="25">
        <v>1030</v>
      </c>
      <c r="F8">
        <v>2019</v>
      </c>
      <c r="G8" s="25" t="s">
        <v>519</v>
      </c>
      <c r="H8" s="25" t="s">
        <v>520</v>
      </c>
      <c r="I8" s="200">
        <f>(4*1030)+(5*1133)</f>
        <v>9785</v>
      </c>
      <c r="K8" s="140">
        <v>2019</v>
      </c>
      <c r="L8" s="203">
        <v>2244</v>
      </c>
      <c r="M8" s="205">
        <v>187</v>
      </c>
      <c r="O8" s="1126"/>
      <c r="P8" s="1127"/>
    </row>
    <row r="9" spans="3:20" ht="16" thickBot="1" x14ac:dyDescent="0.25">
      <c r="C9" s="140" t="s">
        <v>515</v>
      </c>
      <c r="D9" s="24">
        <v>10197</v>
      </c>
      <c r="E9" s="25">
        <v>1133</v>
      </c>
      <c r="F9">
        <v>2020</v>
      </c>
      <c r="G9" t="s">
        <v>516</v>
      </c>
      <c r="H9" s="25" t="s">
        <v>517</v>
      </c>
      <c r="I9" s="200">
        <f>(4*1133)+(5*1184)</f>
        <v>10452</v>
      </c>
      <c r="K9" s="140">
        <v>2020</v>
      </c>
      <c r="L9" s="203">
        <v>2306</v>
      </c>
      <c r="M9" s="205">
        <v>192</v>
      </c>
      <c r="O9" s="1128"/>
      <c r="P9" s="1129"/>
    </row>
    <row r="10" spans="3:20" ht="16" thickBot="1" x14ac:dyDescent="0.25">
      <c r="C10" s="57" t="s">
        <v>515</v>
      </c>
      <c r="D10" s="206">
        <v>10660</v>
      </c>
      <c r="E10" s="201">
        <v>1184</v>
      </c>
      <c r="F10" s="192">
        <v>2021</v>
      </c>
      <c r="G10" s="192" t="s">
        <v>518</v>
      </c>
      <c r="H10" s="201" t="s">
        <v>522</v>
      </c>
      <c r="I10" s="202"/>
      <c r="J10" s="192"/>
      <c r="K10" s="57">
        <v>2021</v>
      </c>
      <c r="L10" s="207" t="s">
        <v>531</v>
      </c>
      <c r="M10" s="22"/>
      <c r="N10" s="192"/>
      <c r="O10" s="192"/>
      <c r="P10" s="22"/>
    </row>
    <row r="12" spans="3:20" s="137" customFormat="1" ht="16" thickBot="1" x14ac:dyDescent="0.25"/>
    <row r="13" spans="3:20" ht="22" thickBot="1" x14ac:dyDescent="0.3">
      <c r="C13" s="1113" t="s">
        <v>335</v>
      </c>
      <c r="D13" s="1114"/>
      <c r="E13" s="1114"/>
      <c r="F13" s="1114"/>
      <c r="G13" s="1114"/>
      <c r="H13" s="1114"/>
      <c r="I13" s="1114"/>
      <c r="J13" s="1114"/>
      <c r="K13" s="1114"/>
      <c r="L13" s="1114"/>
      <c r="M13" s="1114"/>
      <c r="N13" s="1114"/>
      <c r="O13" s="1114"/>
      <c r="P13" s="1114"/>
      <c r="Q13" s="1114"/>
      <c r="R13" s="1115"/>
      <c r="S13" s="19"/>
    </row>
    <row r="14" spans="3:20" x14ac:dyDescent="0.2">
      <c r="C14" s="143"/>
      <c r="D14" s="197">
        <v>2013</v>
      </c>
      <c r="E14" s="197">
        <v>2014</v>
      </c>
      <c r="F14" s="197">
        <v>2015</v>
      </c>
      <c r="G14" s="197">
        <v>2016</v>
      </c>
      <c r="H14" s="197">
        <v>2017</v>
      </c>
      <c r="I14" s="197">
        <v>2018</v>
      </c>
      <c r="J14" s="214">
        <v>2019</v>
      </c>
      <c r="L14" s="1118" t="s">
        <v>523</v>
      </c>
      <c r="M14" s="1119"/>
      <c r="N14" s="1119"/>
      <c r="O14" s="1119"/>
      <c r="P14" s="1119"/>
      <c r="Q14" s="1119"/>
      <c r="R14" s="1120"/>
      <c r="S14" s="194"/>
      <c r="T14" s="14"/>
    </row>
    <row r="15" spans="3:20" x14ac:dyDescent="0.2">
      <c r="C15" s="140" t="s">
        <v>331</v>
      </c>
      <c r="D15" s="24">
        <v>27300</v>
      </c>
      <c r="E15" s="24">
        <v>26600</v>
      </c>
      <c r="F15" s="24">
        <v>25175</v>
      </c>
      <c r="G15" s="24">
        <v>16548</v>
      </c>
      <c r="H15" s="24">
        <v>16500</v>
      </c>
      <c r="I15" s="24">
        <v>23265</v>
      </c>
      <c r="J15" s="215">
        <v>21871</v>
      </c>
      <c r="L15" s="1121" t="s">
        <v>525</v>
      </c>
      <c r="M15" s="1122"/>
      <c r="N15" s="1122"/>
      <c r="O15" s="1122"/>
      <c r="P15" s="1122"/>
      <c r="Q15" s="1122"/>
      <c r="R15" s="1123"/>
      <c r="S15" s="195"/>
      <c r="T15" s="14" t="s">
        <v>336</v>
      </c>
    </row>
    <row r="16" spans="3:20" ht="16" thickBot="1" x14ac:dyDescent="0.25">
      <c r="C16" s="140" t="s">
        <v>337</v>
      </c>
      <c r="D16" s="141">
        <v>20500</v>
      </c>
      <c r="E16" s="141">
        <v>23200</v>
      </c>
      <c r="F16" s="141">
        <v>23800</v>
      </c>
      <c r="G16" s="141">
        <v>24400</v>
      </c>
      <c r="H16" s="141">
        <v>24400</v>
      </c>
      <c r="I16" s="141">
        <v>24327</v>
      </c>
      <c r="J16" s="216">
        <v>24326</v>
      </c>
      <c r="L16" s="1130" t="s">
        <v>524</v>
      </c>
      <c r="M16" s="1131"/>
      <c r="N16" s="1131"/>
      <c r="O16" s="1131"/>
      <c r="P16" s="1131"/>
      <c r="Q16" s="1131"/>
      <c r="R16" s="1132"/>
      <c r="S16" s="195"/>
      <c r="T16" s="14"/>
    </row>
    <row r="17" spans="3:23" x14ac:dyDescent="0.2">
      <c r="C17" s="140"/>
      <c r="D17" s="24"/>
      <c r="E17" s="24"/>
      <c r="F17" s="24"/>
      <c r="G17" s="24"/>
      <c r="H17" s="24"/>
      <c r="I17" s="24"/>
      <c r="J17" s="215"/>
      <c r="L17" s="14"/>
      <c r="M17" s="14"/>
      <c r="N17" s="14"/>
      <c r="O17" s="14"/>
      <c r="P17" s="14"/>
      <c r="Q17" s="14"/>
      <c r="R17" s="210"/>
      <c r="S17" s="14"/>
      <c r="T17" s="14"/>
    </row>
    <row r="18" spans="3:23" s="137" customFormat="1" ht="16" thickBot="1" x14ac:dyDescent="0.25">
      <c r="C18" s="142" t="s">
        <v>334</v>
      </c>
      <c r="D18" s="211">
        <f t="shared" ref="D18:J18" si="0">D15-D16</f>
        <v>6800</v>
      </c>
      <c r="E18" s="211">
        <f t="shared" si="0"/>
        <v>3400</v>
      </c>
      <c r="F18" s="211">
        <f t="shared" si="0"/>
        <v>1375</v>
      </c>
      <c r="G18" s="193">
        <f t="shared" si="0"/>
        <v>-7852</v>
      </c>
      <c r="H18" s="193">
        <f t="shared" si="0"/>
        <v>-7900</v>
      </c>
      <c r="I18" s="193">
        <f t="shared" si="0"/>
        <v>-1062</v>
      </c>
      <c r="J18" s="144">
        <f t="shared" si="0"/>
        <v>-2455</v>
      </c>
      <c r="K18" s="193"/>
      <c r="L18" s="212"/>
      <c r="M18" s="212"/>
      <c r="N18" s="212"/>
      <c r="O18" s="212"/>
      <c r="P18" s="212"/>
      <c r="Q18" s="212"/>
      <c r="R18" s="213"/>
      <c r="S18" s="196"/>
      <c r="T18" s="194"/>
    </row>
    <row r="19" spans="3:23" ht="16" thickBot="1" x14ac:dyDescent="0.25"/>
    <row r="20" spans="3:23" ht="30.5" customHeight="1" x14ac:dyDescent="0.2">
      <c r="C20" s="1116" t="s">
        <v>534</v>
      </c>
      <c r="D20" s="1117"/>
    </row>
    <row r="21" spans="3:23" x14ac:dyDescent="0.2">
      <c r="C21" s="140">
        <v>2018</v>
      </c>
      <c r="D21" s="215">
        <v>1375</v>
      </c>
      <c r="N21" s="137"/>
      <c r="O21" s="137"/>
      <c r="P21" s="137"/>
      <c r="Q21" s="137"/>
      <c r="R21" s="137"/>
      <c r="S21" s="137"/>
      <c r="T21" s="137"/>
      <c r="U21" s="137"/>
      <c r="V21" s="14"/>
      <c r="W21" s="14"/>
    </row>
    <row r="22" spans="3:23" x14ac:dyDescent="0.2">
      <c r="C22" s="140">
        <v>2019</v>
      </c>
      <c r="D22" s="215">
        <v>1375</v>
      </c>
      <c r="O22" s="24"/>
      <c r="P22" s="24"/>
      <c r="Q22" s="24"/>
      <c r="R22" s="24"/>
      <c r="S22" s="24"/>
      <c r="T22" s="24"/>
      <c r="U22" s="24"/>
      <c r="V22" s="14"/>
      <c r="W22" s="14"/>
    </row>
    <row r="23" spans="3:23" ht="16" thickBot="1" x14ac:dyDescent="0.25">
      <c r="C23" s="57">
        <v>2020</v>
      </c>
      <c r="D23" s="217">
        <v>1375</v>
      </c>
      <c r="O23" s="24"/>
      <c r="P23" s="24"/>
      <c r="Q23" s="24"/>
      <c r="R23" s="24"/>
      <c r="S23" s="24"/>
      <c r="T23" s="24"/>
      <c r="U23" s="24"/>
      <c r="V23" s="14"/>
      <c r="W23" s="14"/>
    </row>
    <row r="24" spans="3:23" x14ac:dyDescent="0.2">
      <c r="O24" s="24"/>
      <c r="P24" s="24"/>
      <c r="Q24" s="24"/>
      <c r="R24" s="24"/>
      <c r="S24" s="24"/>
      <c r="T24" s="24"/>
      <c r="U24" s="24"/>
      <c r="V24" s="14"/>
      <c r="W24" s="14"/>
    </row>
    <row r="25" spans="3:23" x14ac:dyDescent="0.2">
      <c r="O25" s="24"/>
      <c r="P25" s="24"/>
      <c r="Q25" s="24"/>
      <c r="R25" s="24"/>
      <c r="S25" s="24"/>
      <c r="T25" s="24"/>
      <c r="U25" s="24"/>
      <c r="V25" s="14"/>
      <c r="W25" s="14"/>
    </row>
    <row r="26" spans="3:23" x14ac:dyDescent="0.2">
      <c r="O26" s="24"/>
      <c r="P26" s="24"/>
      <c r="Q26" s="24"/>
      <c r="R26" s="24"/>
      <c r="S26" s="24"/>
      <c r="T26" s="24"/>
      <c r="U26" s="24"/>
      <c r="V26" s="14"/>
      <c r="W26" s="14"/>
    </row>
    <row r="27" spans="3:23" x14ac:dyDescent="0.2">
      <c r="O27" s="24"/>
      <c r="P27" s="191"/>
      <c r="Q27" s="191"/>
      <c r="R27" s="191"/>
      <c r="S27" s="191"/>
      <c r="T27" s="24"/>
      <c r="U27" s="24"/>
      <c r="V27" s="14"/>
      <c r="W27" s="14"/>
    </row>
    <row r="28" spans="3:23" x14ac:dyDescent="0.2">
      <c r="O28" s="24"/>
      <c r="P28" s="24"/>
      <c r="Q28" s="24"/>
      <c r="R28" s="24"/>
      <c r="S28" s="24"/>
      <c r="T28" s="24"/>
      <c r="U28" s="24"/>
      <c r="V28" s="14"/>
      <c r="W28" s="14"/>
    </row>
    <row r="29" spans="3:23" x14ac:dyDescent="0.2">
      <c r="O29" s="24"/>
      <c r="P29" s="24"/>
      <c r="Q29" s="24"/>
      <c r="R29" s="24"/>
      <c r="S29" s="24"/>
      <c r="T29" s="24"/>
      <c r="U29" s="24"/>
      <c r="V29" s="14"/>
      <c r="W29" s="14"/>
    </row>
    <row r="30" spans="3:23" x14ac:dyDescent="0.2">
      <c r="O30" s="24"/>
      <c r="P30" s="24"/>
      <c r="Q30" s="24"/>
      <c r="R30" s="24"/>
      <c r="S30" s="24"/>
      <c r="T30" s="24"/>
      <c r="U30" s="24"/>
      <c r="V30" s="14"/>
      <c r="W30" s="14"/>
    </row>
    <row r="31" spans="3:23" x14ac:dyDescent="0.2">
      <c r="N31" s="137"/>
      <c r="O31" s="209"/>
      <c r="P31" s="209"/>
      <c r="Q31" s="209"/>
      <c r="R31" s="209"/>
      <c r="S31" s="209"/>
      <c r="T31" s="209"/>
      <c r="U31" s="209"/>
      <c r="V31" s="14"/>
      <c r="W31" s="14"/>
    </row>
    <row r="32" spans="3:23" x14ac:dyDescent="0.2">
      <c r="V32" s="14"/>
      <c r="W32" s="14"/>
    </row>
    <row r="33" spans="14:23" x14ac:dyDescent="0.2"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4:23" x14ac:dyDescent="0.2">
      <c r="N34" s="14"/>
      <c r="O34" s="14"/>
      <c r="P34" s="14"/>
      <c r="Q34" s="14"/>
      <c r="R34" s="14"/>
      <c r="S34" s="14"/>
      <c r="T34" s="14"/>
      <c r="U34" s="14"/>
      <c r="V34" s="14"/>
      <c r="W34" s="14"/>
    </row>
  </sheetData>
  <mergeCells count="9">
    <mergeCell ref="C2:P2"/>
    <mergeCell ref="C13:R13"/>
    <mergeCell ref="C20:D20"/>
    <mergeCell ref="L14:R14"/>
    <mergeCell ref="L15:R15"/>
    <mergeCell ref="O3:P9"/>
    <mergeCell ref="L16:R16"/>
    <mergeCell ref="C3:I3"/>
    <mergeCell ref="K3:M3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G30"/>
  <sheetViews>
    <sheetView topLeftCell="B1" workbookViewId="0">
      <selection activeCell="F1" sqref="C1:R22"/>
    </sheetView>
  </sheetViews>
  <sheetFormatPr baseColWidth="10" defaultColWidth="8.83203125" defaultRowHeight="19" x14ac:dyDescent="0.25"/>
  <cols>
    <col min="1" max="4" width="3" style="452" customWidth="1"/>
    <col min="5" max="5" width="57.83203125" style="452" customWidth="1"/>
    <col min="6" max="6" width="11.6640625" style="362" customWidth="1"/>
    <col min="7" max="7" width="2.33203125" style="362" customWidth="1"/>
    <col min="8" max="16384" width="8.83203125" style="362"/>
  </cols>
  <sheetData>
    <row r="1" spans="1:7" x14ac:dyDescent="0.25">
      <c r="A1" s="1134" t="s">
        <v>1286</v>
      </c>
      <c r="B1" s="1134"/>
      <c r="C1" s="1134"/>
      <c r="D1" s="1134"/>
      <c r="E1" s="1134"/>
      <c r="F1" s="1134"/>
      <c r="G1" s="447"/>
    </row>
    <row r="2" spans="1:7" ht="20" thickBot="1" x14ac:dyDescent="0.3">
      <c r="A2" s="383"/>
      <c r="B2" s="383"/>
      <c r="C2" s="383"/>
      <c r="D2" s="383"/>
      <c r="E2" s="383"/>
      <c r="F2" s="448"/>
      <c r="G2" s="449"/>
    </row>
    <row r="3" spans="1:7" s="426" customFormat="1" ht="41" thickTop="1" thickBot="1" x14ac:dyDescent="0.3">
      <c r="A3" s="384"/>
      <c r="B3" s="384"/>
      <c r="C3" s="384"/>
      <c r="D3" s="384"/>
      <c r="E3" s="384"/>
      <c r="F3" s="453" t="s">
        <v>1307</v>
      </c>
      <c r="G3" s="454"/>
    </row>
    <row r="4" spans="1:7" ht="20" thickTop="1" x14ac:dyDescent="0.25">
      <c r="A4" s="383"/>
      <c r="B4" s="383" t="s">
        <v>1308</v>
      </c>
      <c r="C4" s="385"/>
      <c r="D4" s="385"/>
      <c r="E4" s="385"/>
      <c r="F4" s="450"/>
      <c r="G4" s="385"/>
    </row>
    <row r="5" spans="1:7" x14ac:dyDescent="0.25">
      <c r="A5" s="383"/>
      <c r="B5" s="383"/>
      <c r="C5" s="385"/>
      <c r="D5" s="385" t="s">
        <v>1287</v>
      </c>
      <c r="E5" s="385"/>
      <c r="F5" s="450">
        <v>19225</v>
      </c>
      <c r="G5" s="385"/>
    </row>
    <row r="6" spans="1:7" x14ac:dyDescent="0.25">
      <c r="A6" s="383"/>
      <c r="B6" s="383"/>
      <c r="C6" s="385"/>
      <c r="D6" s="385" t="s">
        <v>1288</v>
      </c>
      <c r="E6" s="385"/>
      <c r="F6" s="450">
        <v>500</v>
      </c>
      <c r="G6" s="385"/>
    </row>
    <row r="7" spans="1:7" x14ac:dyDescent="0.25">
      <c r="A7" s="383"/>
      <c r="B7" s="383"/>
      <c r="C7" s="385"/>
      <c r="D7" s="385" t="s">
        <v>1289</v>
      </c>
      <c r="E7" s="385"/>
      <c r="F7" s="450"/>
      <c r="G7" s="385"/>
    </row>
    <row r="8" spans="1:7" x14ac:dyDescent="0.25">
      <c r="A8" s="383"/>
      <c r="B8" s="383"/>
      <c r="C8" s="385"/>
      <c r="D8" s="385"/>
      <c r="E8" s="385" t="s">
        <v>1290</v>
      </c>
      <c r="F8" s="450">
        <v>5200</v>
      </c>
      <c r="G8" s="385"/>
    </row>
    <row r="9" spans="1:7" ht="20" thickBot="1" x14ac:dyDescent="0.3">
      <c r="A9" s="383"/>
      <c r="B9" s="383"/>
      <c r="C9" s="385"/>
      <c r="D9" s="385"/>
      <c r="E9" s="385" t="s">
        <v>1291</v>
      </c>
      <c r="F9" s="451">
        <v>11471</v>
      </c>
      <c r="G9" s="385"/>
    </row>
    <row r="10" spans="1:7" x14ac:dyDescent="0.25">
      <c r="A10" s="383"/>
      <c r="B10" s="383"/>
      <c r="C10" s="385"/>
      <c r="D10" s="385" t="s">
        <v>1292</v>
      </c>
      <c r="E10" s="385"/>
      <c r="F10" s="450">
        <f>ROUND(SUM(F7:F9),5)</f>
        <v>16671</v>
      </c>
      <c r="G10" s="385"/>
    </row>
    <row r="11" spans="1:7" x14ac:dyDescent="0.25">
      <c r="A11" s="383"/>
      <c r="B11" s="383"/>
      <c r="C11" s="385"/>
      <c r="D11" s="385" t="s">
        <v>1293</v>
      </c>
      <c r="E11" s="385"/>
      <c r="F11" s="450">
        <v>1795</v>
      </c>
      <c r="G11" s="385"/>
    </row>
    <row r="12" spans="1:7" x14ac:dyDescent="0.25">
      <c r="A12" s="383"/>
      <c r="B12" s="383"/>
      <c r="C12" s="385"/>
      <c r="D12" s="385" t="s">
        <v>1294</v>
      </c>
      <c r="E12" s="385"/>
      <c r="F12" s="450">
        <v>11370</v>
      </c>
      <c r="G12" s="385"/>
    </row>
    <row r="13" spans="1:7" x14ac:dyDescent="0.25">
      <c r="A13" s="383"/>
      <c r="B13" s="383"/>
      <c r="C13" s="385"/>
      <c r="D13" s="385" t="s">
        <v>1295</v>
      </c>
      <c r="E13" s="385"/>
      <c r="F13" s="450">
        <v>20000</v>
      </c>
      <c r="G13" s="385"/>
    </row>
    <row r="14" spans="1:7" x14ac:dyDescent="0.25">
      <c r="A14" s="383"/>
      <c r="B14" s="383"/>
      <c r="C14" s="385"/>
      <c r="D14" s="385" t="s">
        <v>1296</v>
      </c>
      <c r="E14" s="385"/>
      <c r="F14" s="450">
        <v>100</v>
      </c>
      <c r="G14" s="385"/>
    </row>
    <row r="15" spans="1:7" x14ac:dyDescent="0.25">
      <c r="A15" s="383"/>
      <c r="B15" s="383"/>
      <c r="C15" s="385"/>
      <c r="D15" s="385"/>
      <c r="E15" s="385" t="s">
        <v>1312</v>
      </c>
      <c r="F15" s="450"/>
      <c r="G15" s="385"/>
    </row>
    <row r="16" spans="1:7" x14ac:dyDescent="0.25">
      <c r="A16" s="383"/>
      <c r="B16" s="383"/>
      <c r="C16" s="385"/>
      <c r="D16" s="385" t="s">
        <v>1297</v>
      </c>
      <c r="E16" s="385"/>
      <c r="F16" s="450">
        <v>0</v>
      </c>
      <c r="G16" s="385"/>
    </row>
    <row r="17" spans="1:7" ht="20" thickBot="1" x14ac:dyDescent="0.3">
      <c r="A17" s="383"/>
      <c r="B17" s="383"/>
      <c r="C17" s="385"/>
      <c r="D17" s="385" t="s">
        <v>1298</v>
      </c>
      <c r="E17" s="385"/>
      <c r="F17" s="450">
        <v>0</v>
      </c>
      <c r="G17" s="385"/>
    </row>
    <row r="18" spans="1:7" s="455" customFormat="1" ht="20" thickBot="1" x14ac:dyDescent="0.3">
      <c r="A18" s="383"/>
      <c r="B18" s="383" t="s">
        <v>1309</v>
      </c>
      <c r="D18" s="383"/>
      <c r="E18" s="383"/>
      <c r="F18" s="456">
        <f>ROUND(SUM(F5:F6)+SUM(F10:F17),5)</f>
        <v>69661</v>
      </c>
      <c r="G18" s="383"/>
    </row>
    <row r="19" spans="1:7" x14ac:dyDescent="0.25">
      <c r="A19" s="383"/>
      <c r="B19" s="383"/>
      <c r="C19" s="385"/>
      <c r="D19" s="385"/>
      <c r="E19" s="385"/>
      <c r="F19" s="450"/>
      <c r="G19" s="385"/>
    </row>
    <row r="20" spans="1:7" x14ac:dyDescent="0.25">
      <c r="A20" s="383"/>
      <c r="B20" s="383" t="s">
        <v>1310</v>
      </c>
      <c r="C20" s="385"/>
      <c r="D20" s="385"/>
      <c r="E20" s="385"/>
      <c r="F20" s="450"/>
      <c r="G20" s="385"/>
    </row>
    <row r="21" spans="1:7" x14ac:dyDescent="0.25">
      <c r="A21" s="383"/>
      <c r="B21" s="383"/>
      <c r="C21" s="385"/>
      <c r="D21" s="385" t="s">
        <v>1299</v>
      </c>
      <c r="E21" s="385"/>
      <c r="F21" s="450">
        <v>0</v>
      </c>
      <c r="G21" s="385"/>
    </row>
    <row r="22" spans="1:7" x14ac:dyDescent="0.25">
      <c r="A22" s="383"/>
      <c r="B22" s="383"/>
      <c r="C22" s="385"/>
      <c r="D22" s="385" t="s">
        <v>1300</v>
      </c>
      <c r="E22" s="385"/>
      <c r="F22" s="450">
        <v>8735</v>
      </c>
      <c r="G22" s="385"/>
    </row>
    <row r="23" spans="1:7" x14ac:dyDescent="0.25">
      <c r="A23" s="383"/>
      <c r="B23" s="383"/>
      <c r="C23" s="385"/>
      <c r="D23" s="385" t="s">
        <v>1301</v>
      </c>
      <c r="E23" s="385"/>
      <c r="F23" s="450">
        <v>6805</v>
      </c>
      <c r="G23" s="385"/>
    </row>
    <row r="24" spans="1:7" x14ac:dyDescent="0.25">
      <c r="A24" s="383"/>
      <c r="B24" s="383"/>
      <c r="C24" s="385"/>
      <c r="D24" s="385" t="s">
        <v>1302</v>
      </c>
      <c r="E24" s="385"/>
      <c r="F24" s="450">
        <v>15000</v>
      </c>
      <c r="G24" s="385"/>
    </row>
    <row r="25" spans="1:7" x14ac:dyDescent="0.25">
      <c r="A25" s="383"/>
      <c r="B25" s="383"/>
      <c r="C25" s="385"/>
      <c r="D25" s="385" t="s">
        <v>1303</v>
      </c>
      <c r="E25" s="385"/>
      <c r="F25" s="450">
        <v>0</v>
      </c>
      <c r="G25" s="385"/>
    </row>
    <row r="26" spans="1:7" x14ac:dyDescent="0.25">
      <c r="A26" s="383"/>
      <c r="B26" s="383"/>
      <c r="C26" s="385"/>
      <c r="D26" s="385"/>
      <c r="E26" s="385" t="s">
        <v>1313</v>
      </c>
      <c r="F26" s="450"/>
      <c r="G26" s="385"/>
    </row>
    <row r="27" spans="1:7" x14ac:dyDescent="0.25">
      <c r="A27" s="383"/>
      <c r="B27" s="383"/>
      <c r="C27" s="385"/>
      <c r="D27" s="385" t="s">
        <v>1304</v>
      </c>
      <c r="E27" s="385"/>
      <c r="F27" s="450">
        <v>526</v>
      </c>
      <c r="G27" s="385"/>
    </row>
    <row r="28" spans="1:7" x14ac:dyDescent="0.25">
      <c r="A28" s="383"/>
      <c r="B28" s="383"/>
      <c r="C28" s="385"/>
      <c r="D28" s="385" t="s">
        <v>1305</v>
      </c>
      <c r="E28" s="385"/>
      <c r="F28" s="450">
        <v>0</v>
      </c>
      <c r="G28" s="385"/>
    </row>
    <row r="29" spans="1:7" ht="20" thickBot="1" x14ac:dyDescent="0.3">
      <c r="A29" s="383"/>
      <c r="B29" s="383"/>
      <c r="C29" s="385"/>
      <c r="D29" s="385" t="s">
        <v>1306</v>
      </c>
      <c r="E29" s="385"/>
      <c r="F29" s="450">
        <v>0</v>
      </c>
      <c r="G29" s="385"/>
    </row>
    <row r="30" spans="1:7" s="455" customFormat="1" x14ac:dyDescent="0.25">
      <c r="A30" s="383"/>
      <c r="B30" s="383" t="s">
        <v>1311</v>
      </c>
      <c r="C30" s="383"/>
      <c r="D30" s="383"/>
      <c r="E30" s="383"/>
      <c r="F30" s="457">
        <f>ROUND(SUM(F21:F29),5)</f>
        <v>31066</v>
      </c>
      <c r="G30" s="383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K116"/>
  <sheetViews>
    <sheetView zoomScale="120" zoomScaleNormal="120" workbookViewId="0">
      <selection activeCell="C5" sqref="C5"/>
    </sheetView>
  </sheetViews>
  <sheetFormatPr baseColWidth="10" defaultColWidth="8.83203125" defaultRowHeight="15" x14ac:dyDescent="0.2"/>
  <cols>
    <col min="1" max="1" width="7.5" bestFit="1" customWidth="1"/>
    <col min="2" max="2" width="21" bestFit="1" customWidth="1"/>
    <col min="3" max="3" width="15.5" bestFit="1" customWidth="1"/>
    <col min="4" max="4" width="14" bestFit="1" customWidth="1"/>
    <col min="5" max="5" width="10.6640625" bestFit="1" customWidth="1"/>
    <col min="6" max="6" width="47.1640625" customWidth="1"/>
    <col min="7" max="7" width="34.83203125" customWidth="1"/>
    <col min="8" max="9" width="9.5" customWidth="1"/>
    <col min="11" max="11" width="8.83203125" style="63"/>
  </cols>
  <sheetData>
    <row r="1" spans="1:11" ht="21" x14ac:dyDescent="0.25">
      <c r="A1" s="1143" t="s">
        <v>1507</v>
      </c>
      <c r="B1" s="1143"/>
      <c r="C1" s="1143"/>
      <c r="D1" s="1143"/>
      <c r="E1" s="1143"/>
      <c r="F1" s="1143"/>
      <c r="K1" s="14"/>
    </row>
    <row r="2" spans="1:11" ht="19" x14ac:dyDescent="0.25">
      <c r="A2" s="972" t="s">
        <v>60</v>
      </c>
      <c r="B2" s="972" t="s">
        <v>61</v>
      </c>
      <c r="C2" s="972" t="s">
        <v>62</v>
      </c>
      <c r="D2" s="972" t="s">
        <v>328</v>
      </c>
      <c r="E2" s="972" t="s">
        <v>329</v>
      </c>
      <c r="F2" s="973" t="s">
        <v>12</v>
      </c>
      <c r="G2" s="1144" t="s">
        <v>442</v>
      </c>
      <c r="H2" s="1145"/>
      <c r="I2" s="1145"/>
      <c r="J2" s="1145"/>
      <c r="K2" s="1146"/>
    </row>
    <row r="3" spans="1:11" ht="32" x14ac:dyDescent="0.2">
      <c r="A3" s="955"/>
      <c r="B3" t="s">
        <v>63</v>
      </c>
      <c r="C3" s="552"/>
      <c r="D3" s="552">
        <v>300</v>
      </c>
      <c r="E3" s="552">
        <v>750</v>
      </c>
      <c r="F3" t="s">
        <v>1401</v>
      </c>
      <c r="G3" s="996" t="s">
        <v>395</v>
      </c>
      <c r="H3" s="20" t="s">
        <v>60</v>
      </c>
      <c r="I3" s="20" t="s">
        <v>393</v>
      </c>
      <c r="J3" s="956" t="s">
        <v>394</v>
      </c>
      <c r="K3" s="995" t="s">
        <v>396</v>
      </c>
    </row>
    <row r="4" spans="1:11" x14ac:dyDescent="0.2">
      <c r="A4" s="955"/>
      <c r="B4" t="s">
        <v>137</v>
      </c>
      <c r="C4" s="552"/>
      <c r="D4" s="552">
        <v>300</v>
      </c>
      <c r="E4" s="552"/>
      <c r="F4" t="s">
        <v>1508</v>
      </c>
      <c r="G4" s="961" t="s">
        <v>465</v>
      </c>
      <c r="H4" s="955"/>
      <c r="I4" s="24"/>
      <c r="J4" s="24"/>
      <c r="K4" s="962"/>
    </row>
    <row r="5" spans="1:11" x14ac:dyDescent="0.2">
      <c r="A5" s="955"/>
      <c r="B5" t="s">
        <v>64</v>
      </c>
      <c r="C5" s="552">
        <v>3150</v>
      </c>
      <c r="D5" s="552">
        <v>300</v>
      </c>
      <c r="E5" s="552">
        <v>300</v>
      </c>
      <c r="G5" s="961" t="s">
        <v>465</v>
      </c>
      <c r="H5" s="955"/>
      <c r="I5" s="24"/>
      <c r="J5" s="24"/>
      <c r="K5" s="962"/>
    </row>
    <row r="6" spans="1:11" x14ac:dyDescent="0.2">
      <c r="A6" s="958"/>
      <c r="B6" s="811"/>
      <c r="C6" s="966"/>
      <c r="D6" s="966"/>
      <c r="E6" s="966"/>
      <c r="F6" s="811"/>
      <c r="G6" s="961"/>
      <c r="H6" s="955"/>
      <c r="I6" s="24"/>
      <c r="J6" s="24"/>
      <c r="K6" s="962"/>
    </row>
    <row r="7" spans="1:11" x14ac:dyDescent="0.2">
      <c r="A7" s="959">
        <v>44757</v>
      </c>
      <c r="B7" s="960" t="s">
        <v>65</v>
      </c>
      <c r="C7" s="1147">
        <f>(1900+500)*3</f>
        <v>7200</v>
      </c>
      <c r="D7" s="967"/>
      <c r="E7" s="1147">
        <v>750</v>
      </c>
      <c r="F7" s="960" t="s">
        <v>1403</v>
      </c>
      <c r="G7" s="961" t="s">
        <v>323</v>
      </c>
      <c r="H7" s="955"/>
      <c r="I7" s="24"/>
      <c r="J7" s="24"/>
      <c r="K7" s="963"/>
    </row>
    <row r="8" spans="1:11" x14ac:dyDescent="0.2">
      <c r="A8" s="955">
        <v>44758</v>
      </c>
      <c r="B8" t="s">
        <v>508</v>
      </c>
      <c r="C8" s="1148"/>
      <c r="D8" s="552"/>
      <c r="E8" s="1148"/>
      <c r="F8" t="s">
        <v>1404</v>
      </c>
      <c r="G8" s="961" t="s">
        <v>322</v>
      </c>
      <c r="H8" s="955"/>
      <c r="I8" s="24"/>
      <c r="J8" s="24"/>
      <c r="K8" s="963"/>
    </row>
    <row r="9" spans="1:11" x14ac:dyDescent="0.2">
      <c r="A9" s="958">
        <v>44759</v>
      </c>
      <c r="B9" s="811" t="s">
        <v>508</v>
      </c>
      <c r="C9" s="1149"/>
      <c r="D9" s="966"/>
      <c r="E9" s="1149"/>
      <c r="F9" s="811" t="s">
        <v>1404</v>
      </c>
      <c r="G9" s="961" t="s">
        <v>323</v>
      </c>
      <c r="H9" s="955"/>
      <c r="I9" s="24"/>
      <c r="J9" s="24"/>
      <c r="K9" s="963"/>
    </row>
    <row r="10" spans="1:11" x14ac:dyDescent="0.2">
      <c r="A10" s="955"/>
      <c r="B10" t="s">
        <v>320</v>
      </c>
      <c r="C10" s="552"/>
      <c r="D10" s="552"/>
      <c r="E10" s="552">
        <v>750</v>
      </c>
      <c r="F10" t="s">
        <v>1401</v>
      </c>
      <c r="G10" s="961" t="s">
        <v>324</v>
      </c>
      <c r="H10" s="955"/>
      <c r="I10" s="24"/>
      <c r="J10" s="24"/>
      <c r="K10" s="963"/>
    </row>
    <row r="11" spans="1:11" x14ac:dyDescent="0.2">
      <c r="A11" s="955"/>
      <c r="B11" s="957" t="s">
        <v>66</v>
      </c>
      <c r="C11" s="969"/>
      <c r="D11" s="969"/>
      <c r="E11" s="969"/>
      <c r="F11" s="957"/>
      <c r="G11" s="961" t="s">
        <v>392</v>
      </c>
      <c r="H11" s="955"/>
      <c r="I11" s="24"/>
      <c r="J11" s="24"/>
      <c r="K11" s="963"/>
    </row>
    <row r="12" spans="1:11" x14ac:dyDescent="0.2">
      <c r="A12" s="955"/>
      <c r="B12" s="957" t="s">
        <v>1405</v>
      </c>
      <c r="C12" s="969"/>
      <c r="D12" s="969"/>
      <c r="E12" s="969"/>
      <c r="F12" s="957"/>
      <c r="G12" s="961"/>
      <c r="H12" s="955"/>
      <c r="I12" s="24"/>
      <c r="J12" s="24"/>
      <c r="K12" s="963"/>
    </row>
    <row r="13" spans="1:11" x14ac:dyDescent="0.2">
      <c r="A13" s="955"/>
      <c r="B13" t="s">
        <v>1393</v>
      </c>
      <c r="C13" s="552"/>
      <c r="D13" s="969"/>
      <c r="E13" s="968">
        <v>300</v>
      </c>
      <c r="G13" s="961" t="s">
        <v>325</v>
      </c>
      <c r="H13" s="955"/>
      <c r="I13" s="24"/>
      <c r="J13" s="24"/>
      <c r="K13" s="963"/>
    </row>
    <row r="14" spans="1:11" x14ac:dyDescent="0.2">
      <c r="A14" s="955"/>
      <c r="B14" t="s">
        <v>68</v>
      </c>
      <c r="C14" s="552"/>
      <c r="D14" s="969"/>
      <c r="E14" s="968">
        <v>300</v>
      </c>
      <c r="G14" s="961" t="s">
        <v>325</v>
      </c>
      <c r="H14" s="955"/>
      <c r="I14" s="191"/>
      <c r="J14" s="191"/>
      <c r="K14" s="963"/>
    </row>
    <row r="15" spans="1:11" x14ac:dyDescent="0.2">
      <c r="A15" s="955"/>
      <c r="B15" t="s">
        <v>69</v>
      </c>
      <c r="C15" s="552"/>
      <c r="D15" s="552"/>
      <c r="E15" s="552"/>
      <c r="F15" t="s">
        <v>499</v>
      </c>
      <c r="G15" s="964"/>
      <c r="H15" s="811"/>
      <c r="I15" s="811"/>
      <c r="J15" s="141">
        <f>SUM(J4:J14)</f>
        <v>0</v>
      </c>
      <c r="K15" s="965">
        <f>SUM(K4:K14)</f>
        <v>0</v>
      </c>
    </row>
    <row r="16" spans="1:11" x14ac:dyDescent="0.2">
      <c r="A16" s="955"/>
      <c r="B16" s="811"/>
      <c r="C16" s="966"/>
      <c r="D16" s="966"/>
      <c r="E16" s="971"/>
      <c r="F16" s="811" t="s">
        <v>349</v>
      </c>
      <c r="K16"/>
    </row>
    <row r="17" spans="1:11" ht="21" x14ac:dyDescent="0.25">
      <c r="A17" s="810"/>
      <c r="B17" s="810" t="s">
        <v>57</v>
      </c>
      <c r="C17" s="970">
        <f>SUM(C3:C15)</f>
        <v>10350</v>
      </c>
      <c r="D17" s="970">
        <f>SUM(D3:D14)</f>
        <v>900</v>
      </c>
      <c r="E17" s="970">
        <f>SUM(E3:E16)</f>
        <v>3150</v>
      </c>
      <c r="F17" s="810"/>
      <c r="K17"/>
    </row>
    <row r="18" spans="1:11" x14ac:dyDescent="0.2">
      <c r="K18"/>
    </row>
    <row r="19" spans="1:11" x14ac:dyDescent="0.2">
      <c r="K19"/>
    </row>
    <row r="20" spans="1:11" x14ac:dyDescent="0.2">
      <c r="K20"/>
    </row>
    <row r="21" spans="1:11" x14ac:dyDescent="0.2">
      <c r="K21"/>
    </row>
    <row r="22" spans="1:11" x14ac:dyDescent="0.2">
      <c r="K22" s="14"/>
    </row>
    <row r="23" spans="1:11" x14ac:dyDescent="0.2">
      <c r="K23" s="14"/>
    </row>
    <row r="24" spans="1:11" ht="21" x14ac:dyDescent="0.25">
      <c r="A24" s="1139" t="s">
        <v>1391</v>
      </c>
      <c r="B24" s="1139"/>
      <c r="C24" s="1139"/>
      <c r="D24" s="1139"/>
      <c r="E24" s="1139"/>
      <c r="F24" s="1139"/>
      <c r="K24" s="14"/>
    </row>
    <row r="25" spans="1:11" x14ac:dyDescent="0.2">
      <c r="A25" s="4" t="s">
        <v>60</v>
      </c>
      <c r="B25" s="4" t="s">
        <v>61</v>
      </c>
      <c r="C25" s="4" t="s">
        <v>62</v>
      </c>
      <c r="D25" s="4" t="s">
        <v>328</v>
      </c>
      <c r="E25" s="4" t="s">
        <v>329</v>
      </c>
      <c r="F25" s="4" t="s">
        <v>12</v>
      </c>
      <c r="G25" s="1135" t="s">
        <v>442</v>
      </c>
      <c r="H25" s="1136"/>
      <c r="I25" s="1136"/>
      <c r="J25" s="1136"/>
      <c r="K25" s="1136"/>
    </row>
    <row r="26" spans="1:11" ht="32" x14ac:dyDescent="0.2">
      <c r="A26" s="5"/>
      <c r="B26" s="6" t="s">
        <v>63</v>
      </c>
      <c r="C26" s="7"/>
      <c r="D26" s="7"/>
      <c r="E26" s="7">
        <v>750</v>
      </c>
      <c r="F26" s="6" t="s">
        <v>1401</v>
      </c>
      <c r="G26" s="4" t="s">
        <v>395</v>
      </c>
      <c r="H26" s="4" t="s">
        <v>60</v>
      </c>
      <c r="I26" s="4" t="s">
        <v>393</v>
      </c>
      <c r="J26" s="154" t="s">
        <v>394</v>
      </c>
      <c r="K26" s="157" t="s">
        <v>396</v>
      </c>
    </row>
    <row r="27" spans="1:11" x14ac:dyDescent="0.2">
      <c r="A27" s="5"/>
      <c r="B27" s="6" t="s">
        <v>137</v>
      </c>
      <c r="C27" s="7"/>
      <c r="D27" s="7"/>
      <c r="E27" s="7"/>
      <c r="F27" s="6" t="s">
        <v>1402</v>
      </c>
      <c r="G27" s="65" t="s">
        <v>465</v>
      </c>
      <c r="H27" s="155"/>
      <c r="I27" s="133"/>
      <c r="J27" s="133"/>
      <c r="K27" s="99"/>
    </row>
    <row r="28" spans="1:11" x14ac:dyDescent="0.2">
      <c r="A28" s="5"/>
      <c r="B28" s="6" t="s">
        <v>64</v>
      </c>
      <c r="C28" s="7">
        <v>3150</v>
      </c>
      <c r="D28" s="6"/>
      <c r="E28" s="7">
        <v>300</v>
      </c>
      <c r="F28" s="6"/>
      <c r="G28" s="65" t="s">
        <v>465</v>
      </c>
      <c r="H28" s="155"/>
      <c r="I28" s="133"/>
      <c r="J28" s="133"/>
      <c r="K28" s="99"/>
    </row>
    <row r="29" spans="1:11" x14ac:dyDescent="0.2">
      <c r="A29" s="5"/>
      <c r="B29" s="6" t="s">
        <v>1392</v>
      </c>
      <c r="C29" s="7">
        <v>8640</v>
      </c>
      <c r="E29" s="7">
        <v>900</v>
      </c>
      <c r="F29" s="6"/>
      <c r="G29" s="65"/>
      <c r="H29" s="155"/>
      <c r="I29" s="133"/>
      <c r="J29" s="133"/>
      <c r="K29" s="99"/>
    </row>
    <row r="30" spans="1:11" x14ac:dyDescent="0.2">
      <c r="A30" s="5">
        <v>44758</v>
      </c>
      <c r="B30" s="6" t="s">
        <v>65</v>
      </c>
      <c r="C30" s="1140">
        <f>(1900+500)*3</f>
        <v>7200</v>
      </c>
      <c r="D30" s="7"/>
      <c r="E30" s="1140">
        <v>750</v>
      </c>
      <c r="F30" s="6" t="s">
        <v>1403</v>
      </c>
      <c r="G30" s="6" t="s">
        <v>323</v>
      </c>
      <c r="H30" s="5"/>
      <c r="I30" s="7"/>
      <c r="J30" s="7"/>
      <c r="K30" s="152"/>
    </row>
    <row r="31" spans="1:11" x14ac:dyDescent="0.2">
      <c r="A31" s="5">
        <v>44759</v>
      </c>
      <c r="B31" s="6" t="s">
        <v>508</v>
      </c>
      <c r="C31" s="1141"/>
      <c r="D31" s="7"/>
      <c r="E31" s="1141"/>
      <c r="F31" s="6" t="s">
        <v>1404</v>
      </c>
      <c r="G31" s="65" t="s">
        <v>322</v>
      </c>
      <c r="H31" s="155"/>
      <c r="I31" s="133"/>
      <c r="J31" s="133"/>
      <c r="K31" s="152"/>
    </row>
    <row r="32" spans="1:11" x14ac:dyDescent="0.2">
      <c r="A32" s="5">
        <v>44760</v>
      </c>
      <c r="B32" s="6" t="s">
        <v>508</v>
      </c>
      <c r="C32" s="1142"/>
      <c r="D32" s="7"/>
      <c r="E32" s="1142"/>
      <c r="F32" s="6" t="s">
        <v>1404</v>
      </c>
      <c r="G32" s="65" t="s">
        <v>323</v>
      </c>
      <c r="H32" s="155"/>
      <c r="I32" s="133"/>
      <c r="J32" s="133"/>
      <c r="K32" s="152"/>
    </row>
    <row r="33" spans="1:11" x14ac:dyDescent="0.2">
      <c r="A33" s="5"/>
      <c r="B33" s="6" t="s">
        <v>320</v>
      </c>
      <c r="C33" s="7"/>
      <c r="D33" s="7"/>
      <c r="E33" s="7">
        <v>750</v>
      </c>
      <c r="F33" s="6" t="s">
        <v>1401</v>
      </c>
      <c r="G33" s="65" t="s">
        <v>324</v>
      </c>
      <c r="H33" s="155"/>
      <c r="I33" s="133"/>
      <c r="J33" s="133"/>
      <c r="K33" s="152"/>
    </row>
    <row r="34" spans="1:11" x14ac:dyDescent="0.2">
      <c r="A34" s="5"/>
      <c r="B34" s="134" t="s">
        <v>66</v>
      </c>
      <c r="C34" s="134"/>
      <c r="D34" s="134"/>
      <c r="E34" s="134"/>
      <c r="F34" s="134"/>
      <c r="G34" s="65" t="s">
        <v>392</v>
      </c>
      <c r="H34" s="155"/>
      <c r="I34" s="133"/>
      <c r="J34" s="133"/>
      <c r="K34" s="152"/>
    </row>
    <row r="35" spans="1:11" x14ac:dyDescent="0.2">
      <c r="A35" s="5"/>
      <c r="B35" s="134" t="s">
        <v>1405</v>
      </c>
      <c r="C35" s="134"/>
      <c r="D35" s="134"/>
      <c r="E35" s="134"/>
      <c r="F35" s="134"/>
      <c r="G35" s="65"/>
      <c r="H35" s="155"/>
      <c r="I35" s="133"/>
      <c r="J35" s="133"/>
      <c r="K35" s="152"/>
    </row>
    <row r="36" spans="1:11" x14ac:dyDescent="0.2">
      <c r="A36" s="5"/>
      <c r="B36" s="65" t="s">
        <v>1393</v>
      </c>
      <c r="C36" s="133"/>
      <c r="D36" s="565"/>
      <c r="E36" s="566">
        <v>300</v>
      </c>
      <c r="F36" s="65"/>
      <c r="G36" s="65" t="s">
        <v>325</v>
      </c>
      <c r="H36" s="155"/>
      <c r="I36" s="133"/>
      <c r="J36" s="133"/>
      <c r="K36" s="152"/>
    </row>
    <row r="37" spans="1:11" x14ac:dyDescent="0.2">
      <c r="A37" s="5"/>
      <c r="B37" s="65" t="s">
        <v>68</v>
      </c>
      <c r="C37" s="133"/>
      <c r="D37" s="564"/>
      <c r="E37" s="553">
        <v>300</v>
      </c>
      <c r="F37" s="65"/>
      <c r="G37" s="65" t="s">
        <v>325</v>
      </c>
      <c r="H37" s="155"/>
      <c r="I37" s="156"/>
      <c r="J37" s="156"/>
      <c r="K37" s="152"/>
    </row>
    <row r="38" spans="1:11" x14ac:dyDescent="0.2">
      <c r="A38" s="5"/>
      <c r="B38" s="6" t="s">
        <v>69</v>
      </c>
      <c r="C38" s="7"/>
      <c r="D38" s="7"/>
      <c r="E38" s="7"/>
      <c r="F38" s="6" t="s">
        <v>499</v>
      </c>
      <c r="J38" s="24">
        <f>SUM(J27:J37)</f>
        <v>0</v>
      </c>
      <c r="K38" s="24">
        <f>SUM(K27:K37)</f>
        <v>0</v>
      </c>
    </row>
    <row r="39" spans="1:11" x14ac:dyDescent="0.2">
      <c r="A39" s="5"/>
      <c r="B39" s="6"/>
      <c r="C39" s="7"/>
      <c r="D39" s="7"/>
      <c r="E39" s="128"/>
      <c r="F39" s="6" t="s">
        <v>349</v>
      </c>
      <c r="K39"/>
    </row>
    <row r="40" spans="1:11" ht="21" x14ac:dyDescent="0.25">
      <c r="A40" s="8"/>
      <c r="B40" s="8" t="s">
        <v>57</v>
      </c>
      <c r="C40" s="9">
        <f>SUM(C26:C38)</f>
        <v>18990</v>
      </c>
      <c r="D40" s="9">
        <f>SUM(D26:D37)</f>
        <v>0</v>
      </c>
      <c r="E40" s="9">
        <f>SUM(E26:E39)</f>
        <v>4050</v>
      </c>
      <c r="F40" s="8"/>
      <c r="K40"/>
    </row>
    <row r="41" spans="1:11" x14ac:dyDescent="0.2">
      <c r="A41" s="6"/>
      <c r="B41" s="6"/>
      <c r="C41" s="7"/>
      <c r="D41" s="6"/>
      <c r="E41" s="6"/>
      <c r="F41" s="6"/>
      <c r="K41"/>
    </row>
    <row r="42" spans="1:11" x14ac:dyDescent="0.2">
      <c r="A42" s="6"/>
      <c r="B42" s="6"/>
      <c r="C42" s="6"/>
      <c r="D42" s="6"/>
      <c r="E42" s="6"/>
      <c r="F42" s="6"/>
      <c r="K42"/>
    </row>
    <row r="43" spans="1:11" x14ac:dyDescent="0.2">
      <c r="A43" s="6"/>
      <c r="B43" s="6"/>
      <c r="C43" s="6"/>
      <c r="D43" s="6"/>
      <c r="E43" s="6"/>
      <c r="F43" s="6"/>
      <c r="K43"/>
    </row>
    <row r="44" spans="1:11" x14ac:dyDescent="0.2">
      <c r="A44" s="6"/>
      <c r="B44" s="6"/>
      <c r="C44" s="6"/>
      <c r="D44" s="6"/>
      <c r="E44" s="6"/>
      <c r="F44" s="6"/>
      <c r="K44"/>
    </row>
    <row r="45" spans="1:11" ht="21" x14ac:dyDescent="0.25">
      <c r="A45" s="1139" t="s">
        <v>498</v>
      </c>
      <c r="B45" s="1139"/>
      <c r="C45" s="1139"/>
      <c r="D45" s="1139"/>
      <c r="E45" s="1139"/>
      <c r="F45" s="1139"/>
      <c r="K45"/>
    </row>
    <row r="46" spans="1:11" x14ac:dyDescent="0.2">
      <c r="A46" s="4" t="s">
        <v>60</v>
      </c>
      <c r="B46" s="4" t="s">
        <v>61</v>
      </c>
      <c r="C46" s="4" t="s">
        <v>62</v>
      </c>
      <c r="D46" s="4" t="s">
        <v>328</v>
      </c>
      <c r="E46" s="4" t="s">
        <v>329</v>
      </c>
      <c r="F46" s="4" t="s">
        <v>12</v>
      </c>
      <c r="G46" s="1135" t="s">
        <v>442</v>
      </c>
      <c r="H46" s="1136"/>
      <c r="I46" s="1136"/>
      <c r="J46" s="1136"/>
      <c r="K46" s="1136"/>
    </row>
    <row r="47" spans="1:11" ht="32" x14ac:dyDescent="0.2">
      <c r="A47" s="5">
        <v>43611</v>
      </c>
      <c r="B47" s="6" t="s">
        <v>63</v>
      </c>
      <c r="C47" s="7" t="s">
        <v>121</v>
      </c>
      <c r="D47" s="7">
        <v>300</v>
      </c>
      <c r="E47" s="7">
        <v>200</v>
      </c>
      <c r="F47" s="6"/>
      <c r="G47" s="4" t="s">
        <v>395</v>
      </c>
      <c r="H47" s="4" t="s">
        <v>60</v>
      </c>
      <c r="I47" s="4" t="s">
        <v>393</v>
      </c>
      <c r="J47" s="154" t="s">
        <v>394</v>
      </c>
      <c r="K47" s="157" t="s">
        <v>396</v>
      </c>
    </row>
    <row r="48" spans="1:11" x14ac:dyDescent="0.2">
      <c r="A48" s="5">
        <v>43617</v>
      </c>
      <c r="B48" s="6" t="s">
        <v>137</v>
      </c>
      <c r="C48" s="7">
        <v>1900</v>
      </c>
      <c r="D48" s="7">
        <v>300</v>
      </c>
      <c r="E48" s="7">
        <v>200</v>
      </c>
      <c r="F48" s="6"/>
      <c r="G48" s="65" t="s">
        <v>465</v>
      </c>
      <c r="H48" s="155">
        <v>42902</v>
      </c>
      <c r="I48" s="133">
        <v>1</v>
      </c>
      <c r="J48" s="133"/>
      <c r="K48" s="99"/>
    </row>
    <row r="49" spans="1:11" x14ac:dyDescent="0.2">
      <c r="A49" s="5">
        <v>43624</v>
      </c>
      <c r="B49" s="6" t="s">
        <v>64</v>
      </c>
      <c r="C49" s="7">
        <v>1900</v>
      </c>
      <c r="D49" s="7">
        <v>300</v>
      </c>
      <c r="E49" s="7">
        <v>200</v>
      </c>
      <c r="F49" s="6"/>
      <c r="G49" s="65" t="s">
        <v>465</v>
      </c>
      <c r="H49" s="155">
        <v>42902</v>
      </c>
      <c r="I49" s="133">
        <v>1</v>
      </c>
      <c r="J49" s="133"/>
      <c r="K49" s="99"/>
    </row>
    <row r="50" spans="1:11" x14ac:dyDescent="0.2">
      <c r="A50" s="5">
        <v>43300</v>
      </c>
      <c r="B50" s="6" t="s">
        <v>65</v>
      </c>
      <c r="C50" s="7">
        <v>1900</v>
      </c>
      <c r="D50" s="7">
        <v>300</v>
      </c>
      <c r="E50" s="7">
        <v>200</v>
      </c>
      <c r="F50" s="6"/>
      <c r="G50" s="6" t="s">
        <v>323</v>
      </c>
      <c r="H50" s="5">
        <v>42958</v>
      </c>
      <c r="I50" s="7"/>
      <c r="J50" s="7">
        <v>300</v>
      </c>
      <c r="K50" s="152">
        <v>450</v>
      </c>
    </row>
    <row r="51" spans="1:11" x14ac:dyDescent="0.2">
      <c r="A51" s="5">
        <v>43301</v>
      </c>
      <c r="B51" s="6" t="s">
        <v>508</v>
      </c>
      <c r="C51" s="107">
        <v>500</v>
      </c>
      <c r="D51" s="7">
        <v>150</v>
      </c>
      <c r="E51" s="7">
        <v>150</v>
      </c>
      <c r="F51" s="6"/>
      <c r="G51" s="65" t="s">
        <v>322</v>
      </c>
      <c r="H51" s="155">
        <v>42965</v>
      </c>
      <c r="I51" s="133"/>
      <c r="J51" s="133">
        <v>300</v>
      </c>
      <c r="K51" s="152">
        <v>450</v>
      </c>
    </row>
    <row r="52" spans="1:11" x14ac:dyDescent="0.2">
      <c r="A52" s="5">
        <v>43302</v>
      </c>
      <c r="B52" s="6" t="s">
        <v>508</v>
      </c>
      <c r="C52" s="107">
        <v>500</v>
      </c>
      <c r="D52" s="7">
        <v>150</v>
      </c>
      <c r="E52" s="7">
        <v>150</v>
      </c>
      <c r="F52" s="6"/>
      <c r="G52" s="65" t="s">
        <v>323</v>
      </c>
      <c r="H52" s="155">
        <v>42972</v>
      </c>
      <c r="I52" s="133"/>
      <c r="J52" s="133">
        <v>300</v>
      </c>
      <c r="K52" s="152">
        <v>450</v>
      </c>
    </row>
    <row r="53" spans="1:11" x14ac:dyDescent="0.2">
      <c r="A53" s="5">
        <v>43680</v>
      </c>
      <c r="B53" s="6" t="s">
        <v>320</v>
      </c>
      <c r="C53" s="7"/>
      <c r="D53" s="7">
        <v>300</v>
      </c>
      <c r="E53" s="7">
        <v>200</v>
      </c>
      <c r="F53" s="6"/>
      <c r="G53" s="65" t="s">
        <v>324</v>
      </c>
      <c r="H53" s="155">
        <v>42978</v>
      </c>
      <c r="I53" s="133"/>
      <c r="J53" s="133">
        <v>300</v>
      </c>
      <c r="K53" s="152">
        <v>450</v>
      </c>
    </row>
    <row r="54" spans="1:11" x14ac:dyDescent="0.2">
      <c r="A54" s="5">
        <v>42964</v>
      </c>
      <c r="B54" s="134" t="s">
        <v>66</v>
      </c>
      <c r="C54" s="134" t="s">
        <v>121</v>
      </c>
      <c r="D54" s="134">
        <v>3600</v>
      </c>
      <c r="E54" s="134">
        <v>1200</v>
      </c>
      <c r="F54" s="134"/>
      <c r="G54" s="65" t="s">
        <v>392</v>
      </c>
      <c r="H54" s="155">
        <v>43707</v>
      </c>
      <c r="I54" s="133">
        <v>1</v>
      </c>
      <c r="J54" s="133">
        <v>0</v>
      </c>
      <c r="K54" s="152"/>
    </row>
    <row r="55" spans="1:11" x14ac:dyDescent="0.2">
      <c r="A55" s="5">
        <v>43737</v>
      </c>
      <c r="B55" s="65" t="s">
        <v>67</v>
      </c>
      <c r="C55" s="133" t="s">
        <v>121</v>
      </c>
      <c r="D55" s="1137">
        <v>1050</v>
      </c>
      <c r="E55" s="1137">
        <v>600</v>
      </c>
      <c r="F55" s="65"/>
      <c r="G55" s="65" t="s">
        <v>325</v>
      </c>
      <c r="H55" s="155">
        <v>43708</v>
      </c>
      <c r="I55" s="133">
        <v>1</v>
      </c>
      <c r="J55" s="133">
        <v>300</v>
      </c>
      <c r="K55" s="152"/>
    </row>
    <row r="56" spans="1:11" x14ac:dyDescent="0.2">
      <c r="A56" s="5">
        <v>43746</v>
      </c>
      <c r="B56" s="65" t="s">
        <v>68</v>
      </c>
      <c r="C56" s="133" t="s">
        <v>121</v>
      </c>
      <c r="D56" s="1138"/>
      <c r="E56" s="1138"/>
      <c r="F56" s="65"/>
      <c r="G56" s="65" t="s">
        <v>325</v>
      </c>
      <c r="H56" s="155">
        <v>43709</v>
      </c>
      <c r="I56" s="156">
        <v>1</v>
      </c>
      <c r="J56" s="156">
        <v>300</v>
      </c>
      <c r="K56" s="152"/>
    </row>
    <row r="57" spans="1:11" x14ac:dyDescent="0.2">
      <c r="A57" s="5"/>
      <c r="B57" s="6" t="s">
        <v>69</v>
      </c>
      <c r="C57" s="7">
        <v>1750</v>
      </c>
      <c r="D57" s="7"/>
      <c r="E57" s="7">
        <v>4050</v>
      </c>
      <c r="F57" s="6" t="s">
        <v>499</v>
      </c>
      <c r="J57" s="24">
        <f>SUM(J48:J56)</f>
        <v>1800</v>
      </c>
      <c r="K57" s="153">
        <f>SUM(K48:K56)</f>
        <v>1800</v>
      </c>
    </row>
    <row r="58" spans="1:11" x14ac:dyDescent="0.2">
      <c r="A58" s="5"/>
      <c r="B58" s="6"/>
      <c r="C58" s="7"/>
      <c r="D58" s="7"/>
      <c r="E58" s="128"/>
      <c r="F58" s="6" t="s">
        <v>349</v>
      </c>
      <c r="K58"/>
    </row>
    <row r="59" spans="1:11" ht="21" x14ac:dyDescent="0.25">
      <c r="A59" s="8"/>
      <c r="B59" s="8" t="s">
        <v>57</v>
      </c>
      <c r="C59" s="9">
        <f>SUM(C47:C57)</f>
        <v>8450</v>
      </c>
      <c r="D59" s="9">
        <f>SUM(D47:D56)</f>
        <v>6450</v>
      </c>
      <c r="E59" s="9">
        <f>SUM(E47:E58)</f>
        <v>7150</v>
      </c>
      <c r="F59" s="8"/>
      <c r="K59"/>
    </row>
    <row r="60" spans="1:11" x14ac:dyDescent="0.2">
      <c r="A60" s="6"/>
      <c r="B60" s="6"/>
      <c r="C60" s="6"/>
      <c r="D60" s="6"/>
      <c r="E60" s="6"/>
      <c r="F60" s="6"/>
      <c r="K60"/>
    </row>
    <row r="61" spans="1:11" x14ac:dyDescent="0.2">
      <c r="A61" s="6"/>
      <c r="B61" s="6"/>
      <c r="C61" s="6"/>
      <c r="D61" s="6"/>
      <c r="E61" s="6"/>
      <c r="F61" s="6"/>
      <c r="K61"/>
    </row>
    <row r="62" spans="1:11" x14ac:dyDescent="0.2">
      <c r="A62" s="6"/>
      <c r="B62" s="6"/>
      <c r="C62" s="6"/>
      <c r="D62" s="6"/>
      <c r="E62" s="6"/>
      <c r="F62" s="6"/>
      <c r="K62"/>
    </row>
    <row r="63" spans="1:11" x14ac:dyDescent="0.2">
      <c r="A63" s="6"/>
      <c r="B63" s="6"/>
      <c r="C63" s="6"/>
      <c r="D63" s="6"/>
      <c r="E63" s="6"/>
      <c r="F63" s="6"/>
      <c r="K63"/>
    </row>
    <row r="64" spans="1:11" ht="21" x14ac:dyDescent="0.25">
      <c r="A64" s="1139" t="s">
        <v>462</v>
      </c>
      <c r="B64" s="1139"/>
      <c r="C64" s="1139"/>
      <c r="D64" s="1139"/>
      <c r="E64" s="1139"/>
      <c r="F64" s="1139"/>
      <c r="K64"/>
    </row>
    <row r="65" spans="1:11" x14ac:dyDescent="0.2">
      <c r="A65" s="4" t="s">
        <v>60</v>
      </c>
      <c r="B65" s="4" t="s">
        <v>61</v>
      </c>
      <c r="C65" s="4" t="s">
        <v>62</v>
      </c>
      <c r="D65" s="4" t="s">
        <v>328</v>
      </c>
      <c r="E65" s="4" t="s">
        <v>329</v>
      </c>
      <c r="F65" s="4" t="s">
        <v>12</v>
      </c>
      <c r="K65"/>
    </row>
    <row r="66" spans="1:11" x14ac:dyDescent="0.2">
      <c r="A66" s="125">
        <v>42868</v>
      </c>
      <c r="B66" s="127"/>
      <c r="C66" s="128"/>
      <c r="D66" s="128"/>
      <c r="E66" s="128"/>
      <c r="F66" s="126"/>
      <c r="K66"/>
    </row>
    <row r="67" spans="1:11" x14ac:dyDescent="0.2">
      <c r="A67" s="125">
        <v>42882</v>
      </c>
      <c r="B67" s="127" t="s">
        <v>387</v>
      </c>
      <c r="C67" s="128"/>
      <c r="D67" s="128"/>
      <c r="E67" s="128"/>
      <c r="F67" s="126"/>
      <c r="K67"/>
    </row>
    <row r="68" spans="1:11" x14ac:dyDescent="0.2">
      <c r="A68" s="5">
        <v>42883</v>
      </c>
      <c r="B68" s="6" t="s">
        <v>63</v>
      </c>
      <c r="C68" s="7">
        <v>1</v>
      </c>
      <c r="D68" s="7">
        <v>300</v>
      </c>
      <c r="E68" s="7">
        <v>200</v>
      </c>
      <c r="F68" s="6"/>
      <c r="K68"/>
    </row>
    <row r="69" spans="1:11" x14ac:dyDescent="0.2">
      <c r="A69" s="5">
        <v>42888</v>
      </c>
      <c r="B69" s="6" t="s">
        <v>137</v>
      </c>
      <c r="C69" s="7">
        <v>1500</v>
      </c>
      <c r="D69" s="7">
        <v>300</v>
      </c>
      <c r="E69" s="7">
        <v>200</v>
      </c>
      <c r="F69" s="6"/>
      <c r="K69"/>
    </row>
    <row r="70" spans="1:11" x14ac:dyDescent="0.2">
      <c r="A70" s="5">
        <v>42895</v>
      </c>
      <c r="B70" s="6" t="s">
        <v>64</v>
      </c>
      <c r="C70" s="7">
        <v>1900</v>
      </c>
      <c r="D70" s="7">
        <v>300</v>
      </c>
      <c r="E70" s="7">
        <v>200</v>
      </c>
      <c r="F70" s="6"/>
      <c r="G70" s="1135" t="s">
        <v>442</v>
      </c>
      <c r="H70" s="1136"/>
      <c r="I70" s="1136"/>
      <c r="J70" s="1136"/>
      <c r="K70" s="1136"/>
    </row>
    <row r="71" spans="1:11" ht="32" x14ac:dyDescent="0.2">
      <c r="A71" s="5">
        <v>42902</v>
      </c>
      <c r="B71" s="6" t="s">
        <v>319</v>
      </c>
      <c r="C71" s="7">
        <v>1</v>
      </c>
      <c r="D71" s="7">
        <v>300</v>
      </c>
      <c r="E71" s="7">
        <v>200</v>
      </c>
      <c r="F71" s="6"/>
      <c r="G71" s="4" t="s">
        <v>395</v>
      </c>
      <c r="H71" s="4" t="s">
        <v>60</v>
      </c>
      <c r="I71" s="4" t="s">
        <v>393</v>
      </c>
      <c r="J71" s="154" t="s">
        <v>394</v>
      </c>
      <c r="K71" s="157" t="s">
        <v>396</v>
      </c>
    </row>
    <row r="72" spans="1:11" x14ac:dyDescent="0.2">
      <c r="A72" s="5">
        <v>42909</v>
      </c>
      <c r="B72" s="6" t="s">
        <v>319</v>
      </c>
      <c r="C72" s="7">
        <v>1</v>
      </c>
      <c r="D72" s="7">
        <v>300</v>
      </c>
      <c r="E72" s="7">
        <v>200</v>
      </c>
      <c r="F72" s="6"/>
      <c r="G72" s="65" t="s">
        <v>465</v>
      </c>
      <c r="H72" s="155">
        <v>42902</v>
      </c>
      <c r="I72" s="133">
        <v>1</v>
      </c>
      <c r="J72" s="133">
        <v>300</v>
      </c>
      <c r="K72" s="99"/>
    </row>
    <row r="73" spans="1:11" x14ac:dyDescent="0.2">
      <c r="A73" s="5">
        <v>42917</v>
      </c>
      <c r="B73" s="6" t="s">
        <v>387</v>
      </c>
      <c r="C73" s="7"/>
      <c r="D73" s="7"/>
      <c r="E73" s="7"/>
      <c r="F73" s="6"/>
      <c r="G73" s="65" t="s">
        <v>465</v>
      </c>
      <c r="H73" s="155">
        <v>42902</v>
      </c>
      <c r="I73" s="133">
        <v>1</v>
      </c>
      <c r="J73" s="133">
        <v>300</v>
      </c>
      <c r="K73" s="99"/>
    </row>
    <row r="74" spans="1:11" x14ac:dyDescent="0.2">
      <c r="A74" s="5">
        <v>42936</v>
      </c>
      <c r="B74" s="6" t="s">
        <v>65</v>
      </c>
      <c r="C74" s="7">
        <v>1900</v>
      </c>
      <c r="D74" s="7">
        <v>300</v>
      </c>
      <c r="E74" s="7">
        <v>200</v>
      </c>
      <c r="F74" s="6"/>
      <c r="G74" s="6" t="s">
        <v>323</v>
      </c>
      <c r="H74" s="5">
        <v>42958</v>
      </c>
      <c r="I74" s="7"/>
      <c r="J74" s="7">
        <v>300</v>
      </c>
      <c r="K74" s="152">
        <v>450</v>
      </c>
    </row>
    <row r="75" spans="1:11" x14ac:dyDescent="0.2">
      <c r="A75" s="5">
        <v>42936</v>
      </c>
      <c r="B75" s="6" t="s">
        <v>65</v>
      </c>
      <c r="C75" s="7">
        <v>1900</v>
      </c>
      <c r="D75" s="7">
        <v>300</v>
      </c>
      <c r="E75" s="7">
        <v>200</v>
      </c>
      <c r="F75" s="6"/>
      <c r="G75" s="65" t="s">
        <v>322</v>
      </c>
      <c r="H75" s="155">
        <v>42965</v>
      </c>
      <c r="I75" s="133"/>
      <c r="J75" s="133">
        <v>300</v>
      </c>
      <c r="K75" s="152">
        <v>450</v>
      </c>
    </row>
    <row r="76" spans="1:11" x14ac:dyDescent="0.2">
      <c r="A76" s="5">
        <v>42951</v>
      </c>
      <c r="B76" s="6" t="s">
        <v>463</v>
      </c>
      <c r="C76" s="7">
        <v>3700</v>
      </c>
      <c r="D76" s="7">
        <v>750</v>
      </c>
      <c r="E76" s="7">
        <v>200</v>
      </c>
      <c r="F76" s="6"/>
      <c r="G76" s="65" t="s">
        <v>323</v>
      </c>
      <c r="H76" s="155">
        <v>42972</v>
      </c>
      <c r="I76" s="133"/>
      <c r="J76" s="133">
        <v>300</v>
      </c>
      <c r="K76" s="152">
        <v>450</v>
      </c>
    </row>
    <row r="77" spans="1:11" x14ac:dyDescent="0.2">
      <c r="A77" s="5">
        <v>42966</v>
      </c>
      <c r="B77" s="134" t="s">
        <v>66</v>
      </c>
      <c r="C77" s="134">
        <v>3</v>
      </c>
      <c r="D77" s="134">
        <v>4200</v>
      </c>
      <c r="E77" s="134">
        <v>2400</v>
      </c>
      <c r="F77" s="134"/>
      <c r="G77" s="65" t="s">
        <v>324</v>
      </c>
      <c r="H77" s="155">
        <v>42978</v>
      </c>
      <c r="I77" s="133"/>
      <c r="J77" s="133">
        <v>300</v>
      </c>
      <c r="K77" s="152">
        <v>450</v>
      </c>
    </row>
    <row r="78" spans="1:11" x14ac:dyDescent="0.2">
      <c r="A78" s="5">
        <v>42994</v>
      </c>
      <c r="B78" s="134" t="s">
        <v>387</v>
      </c>
      <c r="C78" s="134"/>
      <c r="D78" s="134"/>
      <c r="E78" s="134"/>
      <c r="F78" s="134"/>
      <c r="G78" s="65" t="s">
        <v>392</v>
      </c>
      <c r="H78" s="155">
        <v>42978</v>
      </c>
      <c r="I78" s="133">
        <v>1</v>
      </c>
      <c r="J78" s="133">
        <v>0</v>
      </c>
      <c r="K78" s="152"/>
    </row>
    <row r="79" spans="1:11" x14ac:dyDescent="0.2">
      <c r="A79" s="5">
        <v>42988</v>
      </c>
      <c r="B79" s="65" t="s">
        <v>67</v>
      </c>
      <c r="C79" s="133">
        <v>1</v>
      </c>
      <c r="D79" s="1137">
        <v>1050</v>
      </c>
      <c r="E79" s="1137">
        <v>800</v>
      </c>
      <c r="F79" s="65"/>
      <c r="G79" s="65" t="s">
        <v>325</v>
      </c>
      <c r="H79" s="155">
        <v>42979</v>
      </c>
      <c r="I79" s="133">
        <v>1</v>
      </c>
      <c r="J79" s="133">
        <v>300</v>
      </c>
      <c r="K79" s="152"/>
    </row>
    <row r="80" spans="1:11" x14ac:dyDescent="0.2">
      <c r="A80" s="5">
        <v>42996</v>
      </c>
      <c r="B80" s="65" t="s">
        <v>68</v>
      </c>
      <c r="C80" s="133">
        <v>1</v>
      </c>
      <c r="D80" s="1138"/>
      <c r="E80" s="1138"/>
      <c r="F80" s="65"/>
      <c r="G80" s="65" t="s">
        <v>325</v>
      </c>
      <c r="H80" s="155">
        <v>42980</v>
      </c>
      <c r="I80" s="156">
        <v>1</v>
      </c>
      <c r="J80" s="156">
        <v>300</v>
      </c>
      <c r="K80" s="152"/>
    </row>
    <row r="81" spans="1:11" x14ac:dyDescent="0.2">
      <c r="A81" s="5"/>
      <c r="B81" s="6" t="s">
        <v>69</v>
      </c>
      <c r="C81" s="7">
        <v>2000</v>
      </c>
      <c r="D81" s="7"/>
      <c r="E81" s="7">
        <v>2500</v>
      </c>
      <c r="F81" s="6" t="s">
        <v>464</v>
      </c>
      <c r="J81" s="24">
        <f>SUM(J72:J80)</f>
        <v>2400</v>
      </c>
      <c r="K81" s="153">
        <f>SUM(K72:K80)</f>
        <v>1800</v>
      </c>
    </row>
    <row r="82" spans="1:11" x14ac:dyDescent="0.2">
      <c r="A82" s="5"/>
      <c r="B82" s="6"/>
      <c r="C82" s="7"/>
      <c r="D82" s="7"/>
      <c r="E82" s="128"/>
      <c r="F82" s="6" t="s">
        <v>349</v>
      </c>
      <c r="K82"/>
    </row>
    <row r="83" spans="1:11" ht="21" x14ac:dyDescent="0.25">
      <c r="A83" s="8"/>
      <c r="B83" s="8" t="s">
        <v>57</v>
      </c>
      <c r="C83" s="9">
        <f>SUM(C66:C81)</f>
        <v>12908</v>
      </c>
      <c r="D83" s="9">
        <f>SUM(D66:D80)</f>
        <v>8100</v>
      </c>
      <c r="E83" s="9">
        <f>SUM(E66:E82)</f>
        <v>7300</v>
      </c>
      <c r="F83" s="8"/>
      <c r="K83"/>
    </row>
    <row r="84" spans="1:11" x14ac:dyDescent="0.2">
      <c r="A84" s="6"/>
      <c r="B84" s="6"/>
      <c r="C84" s="6"/>
      <c r="D84" s="6"/>
      <c r="E84" s="6"/>
      <c r="F84" s="6"/>
      <c r="K84"/>
    </row>
    <row r="85" spans="1:11" x14ac:dyDescent="0.2">
      <c r="K85"/>
    </row>
    <row r="86" spans="1:11" x14ac:dyDescent="0.2">
      <c r="K86"/>
    </row>
    <row r="87" spans="1:11" x14ac:dyDescent="0.2">
      <c r="K87"/>
    </row>
    <row r="88" spans="1:11" ht="21" x14ac:dyDescent="0.25">
      <c r="A88" s="1139" t="s">
        <v>271</v>
      </c>
      <c r="B88" s="1139"/>
      <c r="C88" s="1139"/>
      <c r="D88" s="1139"/>
      <c r="E88" s="1139"/>
      <c r="F88" s="1139"/>
      <c r="K88"/>
    </row>
    <row r="89" spans="1:11" x14ac:dyDescent="0.2">
      <c r="A89" s="4" t="s">
        <v>60</v>
      </c>
      <c r="B89" s="4" t="s">
        <v>61</v>
      </c>
      <c r="C89" s="4" t="s">
        <v>62</v>
      </c>
      <c r="D89" s="4" t="s">
        <v>328</v>
      </c>
      <c r="E89" s="4" t="s">
        <v>329</v>
      </c>
      <c r="F89" s="4" t="s">
        <v>12</v>
      </c>
      <c r="K89"/>
    </row>
    <row r="90" spans="1:11" x14ac:dyDescent="0.2">
      <c r="A90" s="125">
        <v>42868</v>
      </c>
      <c r="B90" s="127" t="s">
        <v>321</v>
      </c>
      <c r="C90" s="128">
        <v>1900</v>
      </c>
      <c r="D90" s="128">
        <v>300</v>
      </c>
      <c r="E90" s="128">
        <v>200</v>
      </c>
      <c r="F90" s="126"/>
      <c r="K90"/>
    </row>
    <row r="91" spans="1:11" x14ac:dyDescent="0.2">
      <c r="A91" s="125">
        <v>42882</v>
      </c>
      <c r="B91" s="127" t="s">
        <v>387</v>
      </c>
      <c r="C91" s="128"/>
      <c r="D91" s="128"/>
      <c r="E91" s="128"/>
      <c r="F91" s="126"/>
      <c r="K91"/>
    </row>
    <row r="92" spans="1:11" x14ac:dyDescent="0.2">
      <c r="A92" s="5">
        <v>42883</v>
      </c>
      <c r="B92" s="6" t="s">
        <v>63</v>
      </c>
      <c r="C92" s="7">
        <v>1</v>
      </c>
      <c r="D92" s="7">
        <v>300</v>
      </c>
      <c r="E92" s="7">
        <v>200</v>
      </c>
      <c r="F92" s="6"/>
      <c r="K92"/>
    </row>
    <row r="93" spans="1:11" x14ac:dyDescent="0.2">
      <c r="A93" s="5">
        <v>42159</v>
      </c>
      <c r="B93" s="6" t="s">
        <v>137</v>
      </c>
      <c r="C93" s="7">
        <v>1500</v>
      </c>
      <c r="D93" s="7">
        <v>300</v>
      </c>
      <c r="E93" s="7">
        <v>200</v>
      </c>
      <c r="F93" s="6"/>
      <c r="K93"/>
    </row>
    <row r="94" spans="1:11" x14ac:dyDescent="0.2">
      <c r="A94" s="5">
        <v>42896</v>
      </c>
      <c r="B94" s="6" t="s">
        <v>318</v>
      </c>
      <c r="C94" s="7">
        <v>1</v>
      </c>
      <c r="D94" s="7">
        <v>300</v>
      </c>
      <c r="E94" s="7">
        <v>200</v>
      </c>
      <c r="F94" s="6"/>
      <c r="K94"/>
    </row>
    <row r="95" spans="1:11" ht="32" x14ac:dyDescent="0.2">
      <c r="A95" s="5">
        <v>42903</v>
      </c>
      <c r="B95" s="6" t="s">
        <v>319</v>
      </c>
      <c r="C95" s="7">
        <v>1</v>
      </c>
      <c r="D95" s="7">
        <v>300</v>
      </c>
      <c r="E95" s="7">
        <v>200</v>
      </c>
      <c r="F95" s="6"/>
      <c r="G95" s="4" t="s">
        <v>395</v>
      </c>
      <c r="H95" s="4" t="s">
        <v>60</v>
      </c>
      <c r="I95" s="4" t="s">
        <v>393</v>
      </c>
      <c r="J95" s="154" t="s">
        <v>394</v>
      </c>
      <c r="K95" s="157" t="s">
        <v>396</v>
      </c>
    </row>
    <row r="96" spans="1:11" x14ac:dyDescent="0.2">
      <c r="A96" s="5">
        <v>42545</v>
      </c>
      <c r="B96" s="6" t="s">
        <v>319</v>
      </c>
      <c r="C96" s="7">
        <v>1</v>
      </c>
      <c r="D96" s="7">
        <v>300</v>
      </c>
      <c r="E96" s="7">
        <v>200</v>
      </c>
      <c r="F96" s="6"/>
      <c r="G96" s="65" t="s">
        <v>390</v>
      </c>
      <c r="H96" s="155">
        <v>42952</v>
      </c>
      <c r="I96" s="133">
        <v>1</v>
      </c>
      <c r="J96" s="133">
        <v>300</v>
      </c>
      <c r="K96" s="99"/>
    </row>
    <row r="97" spans="1:11" x14ac:dyDescent="0.2">
      <c r="A97" s="5">
        <v>42917</v>
      </c>
      <c r="B97" s="6" t="s">
        <v>387</v>
      </c>
      <c r="C97" s="7"/>
      <c r="D97" s="7"/>
      <c r="E97" s="7"/>
      <c r="F97" s="6"/>
      <c r="G97" s="6" t="s">
        <v>323</v>
      </c>
      <c r="H97" s="5">
        <v>42959</v>
      </c>
      <c r="I97" s="7"/>
      <c r="J97" s="7">
        <v>300</v>
      </c>
      <c r="K97" s="152">
        <v>450</v>
      </c>
    </row>
    <row r="98" spans="1:11" x14ac:dyDescent="0.2">
      <c r="A98" s="5">
        <v>42559</v>
      </c>
      <c r="B98" s="6" t="s">
        <v>319</v>
      </c>
      <c r="C98" s="7">
        <v>1</v>
      </c>
      <c r="D98" s="7">
        <v>300</v>
      </c>
      <c r="E98" s="7">
        <v>200</v>
      </c>
      <c r="F98" s="6"/>
      <c r="G98" s="65" t="s">
        <v>322</v>
      </c>
      <c r="H98" s="155">
        <v>42966</v>
      </c>
      <c r="I98" s="133"/>
      <c r="J98" s="133">
        <v>300</v>
      </c>
      <c r="K98" s="152">
        <v>450</v>
      </c>
    </row>
    <row r="99" spans="1:11" x14ac:dyDescent="0.2">
      <c r="A99" s="5">
        <v>42565</v>
      </c>
      <c r="B99" s="6" t="s">
        <v>65</v>
      </c>
      <c r="C99" s="7">
        <v>1900</v>
      </c>
      <c r="D99" s="7">
        <v>200</v>
      </c>
      <c r="E99" s="7">
        <v>200</v>
      </c>
      <c r="F99" s="6"/>
      <c r="G99" s="65" t="s">
        <v>323</v>
      </c>
      <c r="H99" s="155">
        <v>42968</v>
      </c>
      <c r="I99" s="133"/>
      <c r="J99" s="133">
        <v>300</v>
      </c>
      <c r="K99" s="152">
        <v>450</v>
      </c>
    </row>
    <row r="100" spans="1:11" x14ac:dyDescent="0.2">
      <c r="A100" s="5">
        <v>42580</v>
      </c>
      <c r="B100" s="6" t="s">
        <v>64</v>
      </c>
      <c r="C100" s="7">
        <v>1900</v>
      </c>
      <c r="D100" s="7">
        <v>300</v>
      </c>
      <c r="E100" s="7">
        <v>200</v>
      </c>
      <c r="F100" s="6"/>
      <c r="G100" s="65" t="s">
        <v>324</v>
      </c>
      <c r="H100" s="155">
        <v>42972</v>
      </c>
      <c r="I100" s="133"/>
      <c r="J100" s="133">
        <v>300</v>
      </c>
      <c r="K100" s="152">
        <v>450</v>
      </c>
    </row>
    <row r="101" spans="1:11" x14ac:dyDescent="0.2">
      <c r="A101" s="5">
        <v>42952</v>
      </c>
      <c r="B101" s="6" t="s">
        <v>320</v>
      </c>
      <c r="C101" s="7">
        <v>1</v>
      </c>
      <c r="D101" s="7">
        <v>300</v>
      </c>
      <c r="E101" s="7">
        <v>200</v>
      </c>
      <c r="F101" s="6"/>
      <c r="G101" s="65" t="s">
        <v>323</v>
      </c>
      <c r="H101" s="155">
        <v>42974</v>
      </c>
      <c r="I101" s="133"/>
      <c r="J101" s="133">
        <v>300</v>
      </c>
      <c r="K101" s="152">
        <v>450</v>
      </c>
    </row>
    <row r="102" spans="1:11" x14ac:dyDescent="0.2">
      <c r="A102" s="5">
        <v>42959</v>
      </c>
      <c r="B102" s="6" t="s">
        <v>387</v>
      </c>
      <c r="C102" s="7"/>
      <c r="D102" s="7"/>
      <c r="E102" s="7"/>
      <c r="F102" s="6"/>
      <c r="G102" s="65" t="s">
        <v>392</v>
      </c>
      <c r="H102" s="155">
        <v>42979</v>
      </c>
      <c r="I102" s="133">
        <v>1</v>
      </c>
      <c r="J102" s="133">
        <v>0</v>
      </c>
      <c r="K102" s="152"/>
    </row>
    <row r="103" spans="1:11" x14ac:dyDescent="0.2">
      <c r="A103" s="5">
        <v>42966</v>
      </c>
      <c r="B103" s="134" t="s">
        <v>66</v>
      </c>
      <c r="C103" s="134">
        <v>3</v>
      </c>
      <c r="D103" s="135">
        <v>2100</v>
      </c>
      <c r="E103" s="136">
        <v>1400</v>
      </c>
      <c r="F103" s="134"/>
      <c r="G103" s="65" t="s">
        <v>325</v>
      </c>
      <c r="H103" s="155">
        <v>42980</v>
      </c>
      <c r="I103" s="133">
        <v>1</v>
      </c>
      <c r="J103" s="133">
        <v>300</v>
      </c>
      <c r="K103" s="152"/>
    </row>
    <row r="104" spans="1:11" x14ac:dyDescent="0.2">
      <c r="A104" s="5">
        <v>42994</v>
      </c>
      <c r="B104" s="134" t="s">
        <v>387</v>
      </c>
      <c r="C104" s="134"/>
      <c r="D104" s="135"/>
      <c r="E104" s="136"/>
      <c r="F104" s="134"/>
      <c r="G104" s="65" t="s">
        <v>325</v>
      </c>
      <c r="H104" s="155">
        <v>42981</v>
      </c>
      <c r="I104" s="156">
        <v>1</v>
      </c>
      <c r="J104" s="156">
        <v>300</v>
      </c>
      <c r="K104" s="152"/>
    </row>
    <row r="105" spans="1:11" x14ac:dyDescent="0.2">
      <c r="A105" s="5">
        <v>42998</v>
      </c>
      <c r="B105" s="65" t="s">
        <v>67</v>
      </c>
      <c r="C105" s="133">
        <v>501</v>
      </c>
      <c r="D105" s="133">
        <v>750</v>
      </c>
      <c r="E105" s="133">
        <v>600</v>
      </c>
      <c r="F105" s="65"/>
      <c r="G105" s="65" t="s">
        <v>391</v>
      </c>
      <c r="H105" s="65"/>
      <c r="I105" s="133">
        <f>SUM(I96:I104)</f>
        <v>4</v>
      </c>
      <c r="J105" s="133">
        <f>SUM(J96:J104)</f>
        <v>2400</v>
      </c>
      <c r="K105" s="133">
        <f>SUM(K96:K104)</f>
        <v>2250</v>
      </c>
    </row>
    <row r="106" spans="1:11" x14ac:dyDescent="0.2">
      <c r="A106" s="5">
        <v>42288</v>
      </c>
      <c r="B106" s="65" t="s">
        <v>68</v>
      </c>
      <c r="C106" s="133">
        <v>1</v>
      </c>
      <c r="D106" s="133">
        <v>300</v>
      </c>
      <c r="E106" s="133">
        <v>200</v>
      </c>
      <c r="F106" s="65"/>
      <c r="K106" s="23"/>
    </row>
    <row r="107" spans="1:11" x14ac:dyDescent="0.2">
      <c r="A107" s="5"/>
      <c r="B107" s="6" t="s">
        <v>69</v>
      </c>
      <c r="C107" s="7">
        <v>2000</v>
      </c>
      <c r="D107" s="7"/>
      <c r="E107" s="7">
        <v>1725</v>
      </c>
      <c r="F107" s="6" t="s">
        <v>330</v>
      </c>
      <c r="K107"/>
    </row>
    <row r="108" spans="1:11" x14ac:dyDescent="0.2">
      <c r="A108" s="5"/>
      <c r="B108" s="6"/>
      <c r="C108" s="7"/>
      <c r="D108" s="7"/>
      <c r="E108" s="7">
        <v>1000</v>
      </c>
      <c r="F108" s="6" t="s">
        <v>349</v>
      </c>
      <c r="K108"/>
    </row>
    <row r="109" spans="1:11" ht="21" x14ac:dyDescent="0.25">
      <c r="A109" s="8"/>
      <c r="B109" s="8" t="s">
        <v>57</v>
      </c>
      <c r="C109" s="9">
        <f>SUM(C90:C107)</f>
        <v>9711</v>
      </c>
      <c r="D109" s="9">
        <f>SUM(D90:D106)</f>
        <v>6050</v>
      </c>
      <c r="E109" s="9">
        <f>SUM(E90:E108)</f>
        <v>6925</v>
      </c>
      <c r="F109" s="8"/>
      <c r="K109"/>
    </row>
    <row r="110" spans="1:11" x14ac:dyDescent="0.2">
      <c r="A110" s="6"/>
      <c r="B110" s="6"/>
      <c r="C110" s="6"/>
      <c r="D110" s="6"/>
      <c r="E110" s="6"/>
      <c r="F110" s="6"/>
      <c r="K110"/>
    </row>
    <row r="111" spans="1:11" x14ac:dyDescent="0.2">
      <c r="K111"/>
    </row>
    <row r="112" spans="1:11" x14ac:dyDescent="0.2">
      <c r="K112"/>
    </row>
    <row r="113" spans="11:11" x14ac:dyDescent="0.2">
      <c r="K113"/>
    </row>
    <row r="114" spans="11:11" x14ac:dyDescent="0.2">
      <c r="K114"/>
    </row>
    <row r="115" spans="11:11" x14ac:dyDescent="0.2">
      <c r="K115"/>
    </row>
    <row r="116" spans="11:11" x14ac:dyDescent="0.2">
      <c r="K116"/>
    </row>
  </sheetData>
  <mergeCells count="17">
    <mergeCell ref="A1:F1"/>
    <mergeCell ref="G2:K2"/>
    <mergeCell ref="C7:C9"/>
    <mergeCell ref="E7:E9"/>
    <mergeCell ref="A24:F24"/>
    <mergeCell ref="G25:K25"/>
    <mergeCell ref="A45:F45"/>
    <mergeCell ref="C30:C32"/>
    <mergeCell ref="E30:E32"/>
    <mergeCell ref="G46:K46"/>
    <mergeCell ref="G70:K70"/>
    <mergeCell ref="D55:D56"/>
    <mergeCell ref="E55:E56"/>
    <mergeCell ref="A88:F88"/>
    <mergeCell ref="A64:F64"/>
    <mergeCell ref="D79:D80"/>
    <mergeCell ref="E79:E8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B2:F21"/>
  <sheetViews>
    <sheetView tabSelected="1" zoomScale="130" zoomScaleNormal="130" workbookViewId="0">
      <selection activeCell="I15" sqref="I15"/>
    </sheetView>
  </sheetViews>
  <sheetFormatPr baseColWidth="10" defaultColWidth="9.1640625" defaultRowHeight="15" x14ac:dyDescent="0.2"/>
  <cols>
    <col min="1" max="1" width="4" customWidth="1"/>
    <col min="2" max="2" width="27" customWidth="1"/>
    <col min="3" max="4" width="12.6640625" customWidth="1"/>
    <col min="5" max="5" width="1.83203125" customWidth="1"/>
    <col min="6" max="6" width="12.6640625" customWidth="1"/>
  </cols>
  <sheetData>
    <row r="2" spans="2:6" ht="21" x14ac:dyDescent="0.25">
      <c r="B2" s="1064" t="s">
        <v>1535</v>
      </c>
      <c r="C2" s="1064"/>
      <c r="D2" s="1064"/>
      <c r="E2" s="1064"/>
      <c r="F2" s="1064"/>
    </row>
    <row r="3" spans="2:6" x14ac:dyDescent="0.2">
      <c r="B3" s="137"/>
      <c r="C3" s="137">
        <v>2022</v>
      </c>
      <c r="D3" s="137">
        <v>2023</v>
      </c>
      <c r="F3" s="420" t="s">
        <v>1554</v>
      </c>
    </row>
    <row r="4" spans="2:6" x14ac:dyDescent="0.2">
      <c r="B4" s="137" t="s">
        <v>95</v>
      </c>
      <c r="C4" s="137"/>
    </row>
    <row r="5" spans="2:6" x14ac:dyDescent="0.2">
      <c r="B5" t="s">
        <v>267</v>
      </c>
      <c r="C5" s="719">
        <f>Harbor!J26</f>
        <v>447587</v>
      </c>
      <c r="D5" s="719">
        <f>Harbor!M26</f>
        <v>470513</v>
      </c>
      <c r="F5" s="719">
        <f t="shared" ref="F5:F6" si="0">D5-C5</f>
        <v>22926</v>
      </c>
    </row>
    <row r="6" spans="2:6" x14ac:dyDescent="0.2">
      <c r="B6" s="811" t="s">
        <v>8</v>
      </c>
      <c r="C6" s="812">
        <f>Harbor!J86</f>
        <v>316346.34743999998</v>
      </c>
      <c r="D6" s="812">
        <f>Harbor!M86</f>
        <v>292948.08218000003</v>
      </c>
      <c r="F6" s="812">
        <f t="shared" si="0"/>
        <v>-23398.265259999956</v>
      </c>
    </row>
    <row r="7" spans="2:6" x14ac:dyDescent="0.2">
      <c r="B7" s="137" t="s">
        <v>5</v>
      </c>
      <c r="C7" s="821">
        <f>C5-C6</f>
        <v>131240.65256000002</v>
      </c>
      <c r="D7" s="821">
        <f>D5-D6</f>
        <v>177564.91781999997</v>
      </c>
      <c r="F7" s="821">
        <f>D7-C7</f>
        <v>46324.265259999956</v>
      </c>
    </row>
    <row r="8" spans="2:6" x14ac:dyDescent="0.2">
      <c r="C8" s="719"/>
      <c r="D8" s="719"/>
      <c r="F8" s="719"/>
    </row>
    <row r="9" spans="2:6" x14ac:dyDescent="0.2">
      <c r="B9" s="137" t="s">
        <v>726</v>
      </c>
      <c r="C9" s="719"/>
      <c r="D9" s="719"/>
      <c r="F9" s="719"/>
    </row>
    <row r="10" spans="2:6" x14ac:dyDescent="0.2">
      <c r="B10" t="s">
        <v>267</v>
      </c>
      <c r="C10" s="719">
        <f>Boulevard!J11</f>
        <v>94970</v>
      </c>
      <c r="D10" s="719">
        <f>Boulevard!M11</f>
        <v>119300</v>
      </c>
      <c r="F10" s="719">
        <f t="shared" ref="F10:F12" si="1">D10-C10</f>
        <v>24330</v>
      </c>
    </row>
    <row r="11" spans="2:6" x14ac:dyDescent="0.2">
      <c r="B11" s="811" t="s">
        <v>8</v>
      </c>
      <c r="C11" s="812">
        <f>Boulevard!J64</f>
        <v>147368.96872</v>
      </c>
      <c r="D11" s="812">
        <f>Boulevard!M64</f>
        <v>172950.61559</v>
      </c>
      <c r="F11" s="812">
        <f t="shared" si="1"/>
        <v>25581.646869999997</v>
      </c>
    </row>
    <row r="12" spans="2:6" x14ac:dyDescent="0.2">
      <c r="B12" s="137" t="s">
        <v>5</v>
      </c>
      <c r="C12" s="821">
        <f>C10-C11</f>
        <v>-52398.968720000004</v>
      </c>
      <c r="D12" s="821">
        <f>D10-D11</f>
        <v>-53650.615590000001</v>
      </c>
      <c r="F12" s="821">
        <f t="shared" si="1"/>
        <v>-1251.6468699999969</v>
      </c>
    </row>
    <row r="13" spans="2:6" x14ac:dyDescent="0.2">
      <c r="C13" s="719"/>
      <c r="D13" s="719"/>
      <c r="F13" s="719"/>
    </row>
    <row r="14" spans="2:6" x14ac:dyDescent="0.2">
      <c r="B14" s="137" t="s">
        <v>1447</v>
      </c>
      <c r="C14" s="719"/>
      <c r="D14" s="719"/>
      <c r="F14" s="719"/>
    </row>
    <row r="15" spans="2:6" x14ac:dyDescent="0.2">
      <c r="B15" t="s">
        <v>267</v>
      </c>
      <c r="C15" s="719">
        <f>AdminMemb!J20</f>
        <v>146160</v>
      </c>
      <c r="D15" s="719">
        <f>AdminMemb!M20</f>
        <v>261000</v>
      </c>
      <c r="F15" s="719">
        <f t="shared" ref="F15:F20" si="2">D15-C15</f>
        <v>114840</v>
      </c>
    </row>
    <row r="16" spans="2:6" x14ac:dyDescent="0.2">
      <c r="B16" s="811" t="s">
        <v>8</v>
      </c>
      <c r="C16" s="812">
        <f>AdminMemb!J76</f>
        <v>176369.16667999999</v>
      </c>
      <c r="D16" s="812">
        <f>AdminMemb!M76</f>
        <v>230317.68335000001</v>
      </c>
      <c r="F16" s="812">
        <f t="shared" si="2"/>
        <v>53948.516670000012</v>
      </c>
    </row>
    <row r="17" spans="2:6" x14ac:dyDescent="0.2">
      <c r="B17" t="s">
        <v>1484</v>
      </c>
      <c r="C17" s="719">
        <f>C15-C16</f>
        <v>-30209.166679999995</v>
      </c>
      <c r="D17" s="719">
        <f>D15-D16</f>
        <v>30682.316649999993</v>
      </c>
      <c r="F17" s="719">
        <f t="shared" si="2"/>
        <v>60891.483329999988</v>
      </c>
    </row>
    <row r="18" spans="2:6" x14ac:dyDescent="0.2">
      <c r="B18" s="811" t="s">
        <v>1485</v>
      </c>
      <c r="C18" s="812">
        <v>10000</v>
      </c>
      <c r="D18" s="812"/>
      <c r="F18" s="812">
        <f t="shared" si="2"/>
        <v>-10000</v>
      </c>
    </row>
    <row r="19" spans="2:6" x14ac:dyDescent="0.2">
      <c r="B19" s="822" t="s">
        <v>5</v>
      </c>
      <c r="C19" s="823">
        <f>C17-C18</f>
        <v>-40209.166679999995</v>
      </c>
      <c r="D19" s="823">
        <f>D17-D18</f>
        <v>30682.316649999993</v>
      </c>
      <c r="F19" s="823">
        <f t="shared" si="2"/>
        <v>70891.483329999988</v>
      </c>
    </row>
    <row r="20" spans="2:6" ht="17" thickBot="1" x14ac:dyDescent="0.25">
      <c r="B20" s="824" t="s">
        <v>1446</v>
      </c>
      <c r="C20" s="825">
        <f>C12+C19+C7</f>
        <v>38632.517160000018</v>
      </c>
      <c r="D20" s="825">
        <f>D12+D19+D7</f>
        <v>154596.61887999997</v>
      </c>
      <c r="F20" s="825">
        <f t="shared" si="2"/>
        <v>115964.10171999995</v>
      </c>
    </row>
    <row r="21" spans="2:6" ht="16" thickTop="1" x14ac:dyDescent="0.2"/>
  </sheetData>
  <sheetProtection algorithmName="SHA-512" hashValue="7gsBibeySYvI9hBNFGP19G8e2xoNIuo3euthPuqF46nbeFd9nEviTP9LwThCZkF6zRTZs/i7tKyouR2IAvFGpA==" saltValue="fm/DCC1n3yGAzYHbK9xFww==" spinCount="100000" sheet="1" objects="1" scenarios="1"/>
  <mergeCells count="1">
    <mergeCell ref="B2:F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6416-88EE-4CB3-BBD9-428E75A564A5}">
  <sheetPr>
    <tabColor theme="7"/>
  </sheetPr>
  <dimension ref="A1:B51"/>
  <sheetViews>
    <sheetView zoomScale="130" zoomScaleNormal="130" workbookViewId="0">
      <selection activeCell="F1" sqref="C1:R22"/>
    </sheetView>
  </sheetViews>
  <sheetFormatPr baseColWidth="10" defaultColWidth="8.83203125" defaultRowHeight="15" x14ac:dyDescent="0.2"/>
  <cols>
    <col min="1" max="1" width="36.1640625" customWidth="1"/>
    <col min="2" max="2" width="9.5" customWidth="1"/>
  </cols>
  <sheetData>
    <row r="1" spans="1:2" ht="32.5" customHeight="1" x14ac:dyDescent="0.2">
      <c r="A1" s="1150" t="s">
        <v>437</v>
      </c>
      <c r="B1" s="1151"/>
    </row>
    <row r="2" spans="1:2" x14ac:dyDescent="0.2">
      <c r="A2" s="1154">
        <v>2018</v>
      </c>
      <c r="B2" s="1154"/>
    </row>
    <row r="3" spans="1:2" x14ac:dyDescent="0.2">
      <c r="A3" s="18" t="s">
        <v>454</v>
      </c>
      <c r="B3" s="180">
        <v>500</v>
      </c>
    </row>
    <row r="4" spans="1:2" x14ac:dyDescent="0.2">
      <c r="A4" s="18" t="s">
        <v>455</v>
      </c>
      <c r="B4" s="180">
        <v>500</v>
      </c>
    </row>
    <row r="5" spans="1:2" x14ac:dyDescent="0.2">
      <c r="A5" s="18" t="s">
        <v>448</v>
      </c>
      <c r="B5" s="180">
        <v>1000</v>
      </c>
    </row>
    <row r="6" spans="1:2" x14ac:dyDescent="0.2">
      <c r="A6" s="18" t="s">
        <v>441</v>
      </c>
      <c r="B6" s="180">
        <v>6505</v>
      </c>
    </row>
    <row r="7" spans="1:2" x14ac:dyDescent="0.2">
      <c r="A7" s="18" t="s">
        <v>449</v>
      </c>
      <c r="B7" s="180">
        <v>500</v>
      </c>
    </row>
    <row r="8" spans="1:2" x14ac:dyDescent="0.2">
      <c r="A8" s="18" t="s">
        <v>442</v>
      </c>
      <c r="B8" s="180"/>
    </row>
    <row r="9" spans="1:2" x14ac:dyDescent="0.2">
      <c r="A9" s="18" t="s">
        <v>456</v>
      </c>
      <c r="B9" s="180">
        <f>SUM(B3:B8)</f>
        <v>9005</v>
      </c>
    </row>
    <row r="11" spans="1:2" x14ac:dyDescent="0.2">
      <c r="A11" s="1153" t="s">
        <v>453</v>
      </c>
      <c r="B11" s="1153"/>
    </row>
    <row r="12" spans="1:2" x14ac:dyDescent="0.2">
      <c r="A12" s="18" t="s">
        <v>454</v>
      </c>
      <c r="B12" s="180">
        <v>500</v>
      </c>
    </row>
    <row r="13" spans="1:2" x14ac:dyDescent="0.2">
      <c r="A13" s="18" t="s">
        <v>455</v>
      </c>
      <c r="B13" s="180">
        <v>500</v>
      </c>
    </row>
    <row r="14" spans="1:2" x14ac:dyDescent="0.2">
      <c r="A14" s="18" t="s">
        <v>448</v>
      </c>
      <c r="B14" s="180">
        <v>1000</v>
      </c>
    </row>
    <row r="15" spans="1:2" x14ac:dyDescent="0.2">
      <c r="A15" s="18" t="s">
        <v>441</v>
      </c>
      <c r="B15" s="180">
        <v>5000</v>
      </c>
    </row>
    <row r="16" spans="1:2" x14ac:dyDescent="0.2">
      <c r="A16" s="18" t="s">
        <v>449</v>
      </c>
      <c r="B16" s="180">
        <v>500</v>
      </c>
    </row>
    <row r="17" spans="1:2" x14ac:dyDescent="0.2">
      <c r="A17" s="18" t="s">
        <v>442</v>
      </c>
      <c r="B17" s="180">
        <v>7500</v>
      </c>
    </row>
    <row r="18" spans="1:2" x14ac:dyDescent="0.2">
      <c r="A18" s="18" t="s">
        <v>456</v>
      </c>
      <c r="B18" s="180">
        <f>SUM(B12:B17)</f>
        <v>15000</v>
      </c>
    </row>
    <row r="19" spans="1:2" x14ac:dyDescent="0.2">
      <c r="A19" s="18"/>
      <c r="B19" s="180"/>
    </row>
    <row r="20" spans="1:2" x14ac:dyDescent="0.2">
      <c r="A20" s="1153" t="s">
        <v>451</v>
      </c>
      <c r="B20" s="1153"/>
    </row>
    <row r="21" spans="1:2" x14ac:dyDescent="0.2">
      <c r="A21" s="18" t="s">
        <v>444</v>
      </c>
      <c r="B21" s="180">
        <v>500</v>
      </c>
    </row>
    <row r="22" spans="1:2" x14ac:dyDescent="0.2">
      <c r="A22" s="18" t="s">
        <v>440</v>
      </c>
      <c r="B22" s="180">
        <v>500</v>
      </c>
    </row>
    <row r="23" spans="1:2" x14ac:dyDescent="0.2">
      <c r="A23" s="18" t="s">
        <v>448</v>
      </c>
      <c r="B23" s="180">
        <v>1000</v>
      </c>
    </row>
    <row r="24" spans="1:2" x14ac:dyDescent="0.2">
      <c r="A24" s="18" t="s">
        <v>449</v>
      </c>
      <c r="B24" s="180">
        <v>1000</v>
      </c>
    </row>
    <row r="25" spans="1:2" x14ac:dyDescent="0.2">
      <c r="A25" s="18" t="s">
        <v>441</v>
      </c>
      <c r="B25" s="180">
        <v>8959</v>
      </c>
    </row>
    <row r="26" spans="1:2" x14ac:dyDescent="0.2">
      <c r="A26" s="18" t="s">
        <v>442</v>
      </c>
      <c r="B26" s="180">
        <v>10000</v>
      </c>
    </row>
    <row r="27" spans="1:2" x14ac:dyDescent="0.2">
      <c r="A27" s="18" t="s">
        <v>452</v>
      </c>
      <c r="B27" s="180">
        <v>21959</v>
      </c>
    </row>
    <row r="28" spans="1:2" x14ac:dyDescent="0.2">
      <c r="A28" s="18"/>
      <c r="B28" s="180"/>
    </row>
    <row r="29" spans="1:2" x14ac:dyDescent="0.2">
      <c r="A29" s="1153" t="s">
        <v>446</v>
      </c>
      <c r="B29" s="1153"/>
    </row>
    <row r="30" spans="1:2" x14ac:dyDescent="0.2">
      <c r="A30" s="18" t="s">
        <v>447</v>
      </c>
      <c r="B30" s="180">
        <v>500</v>
      </c>
    </row>
    <row r="31" spans="1:2" x14ac:dyDescent="0.2">
      <c r="A31" s="18" t="s">
        <v>448</v>
      </c>
      <c r="B31" s="180">
        <v>1000</v>
      </c>
    </row>
    <row r="32" spans="1:2" x14ac:dyDescent="0.2">
      <c r="A32" s="18" t="s">
        <v>441</v>
      </c>
      <c r="B32" s="180">
        <v>8697</v>
      </c>
    </row>
    <row r="33" spans="1:2" x14ac:dyDescent="0.2">
      <c r="A33" s="18" t="s">
        <v>449</v>
      </c>
      <c r="B33" s="180">
        <v>1000</v>
      </c>
    </row>
    <row r="34" spans="1:2" x14ac:dyDescent="0.2">
      <c r="A34" s="18" t="s">
        <v>440</v>
      </c>
      <c r="B34" s="180">
        <v>500</v>
      </c>
    </row>
    <row r="35" spans="1:2" x14ac:dyDescent="0.2">
      <c r="A35" s="18" t="s">
        <v>442</v>
      </c>
      <c r="B35" s="180">
        <v>12000</v>
      </c>
    </row>
    <row r="36" spans="1:2" x14ac:dyDescent="0.2">
      <c r="A36" s="18" t="s">
        <v>450</v>
      </c>
      <c r="B36" s="180">
        <v>23697</v>
      </c>
    </row>
    <row r="37" spans="1:2" x14ac:dyDescent="0.2">
      <c r="A37" s="18"/>
      <c r="B37" s="180"/>
    </row>
    <row r="38" spans="1:2" x14ac:dyDescent="0.2">
      <c r="A38" s="1152" t="s">
        <v>438</v>
      </c>
      <c r="B38" s="1152"/>
    </row>
    <row r="39" spans="1:2" x14ac:dyDescent="0.2">
      <c r="A39" s="18" t="s">
        <v>439</v>
      </c>
      <c r="B39" s="180">
        <v>1000</v>
      </c>
    </row>
    <row r="40" spans="1:2" x14ac:dyDescent="0.2">
      <c r="A40" s="18" t="s">
        <v>440</v>
      </c>
      <c r="B40" s="180">
        <v>500</v>
      </c>
    </row>
    <row r="41" spans="1:2" x14ac:dyDescent="0.2">
      <c r="A41" s="18" t="s">
        <v>441</v>
      </c>
      <c r="B41" s="180">
        <v>8444</v>
      </c>
    </row>
    <row r="42" spans="1:2" x14ac:dyDescent="0.2">
      <c r="A42" s="18" t="s">
        <v>442</v>
      </c>
      <c r="B42" s="180">
        <v>20000</v>
      </c>
    </row>
    <row r="43" spans="1:2" x14ac:dyDescent="0.2">
      <c r="A43" s="18" t="s">
        <v>443</v>
      </c>
      <c r="B43" s="180">
        <v>2500</v>
      </c>
    </row>
    <row r="44" spans="1:2" x14ac:dyDescent="0.2">
      <c r="A44" s="18" t="s">
        <v>444</v>
      </c>
      <c r="B44" s="180">
        <v>1000</v>
      </c>
    </row>
    <row r="45" spans="1:2" x14ac:dyDescent="0.2">
      <c r="A45" s="18" t="s">
        <v>445</v>
      </c>
      <c r="B45" s="180">
        <v>33444</v>
      </c>
    </row>
    <row r="46" spans="1:2" x14ac:dyDescent="0.2">
      <c r="A46" s="18"/>
      <c r="B46" s="180"/>
    </row>
    <row r="47" spans="1:2" x14ac:dyDescent="0.2">
      <c r="A47" s="18" t="s">
        <v>7</v>
      </c>
      <c r="B47" s="180"/>
    </row>
    <row r="48" spans="1:2" x14ac:dyDescent="0.2">
      <c r="A48" s="18"/>
      <c r="B48" s="180"/>
    </row>
    <row r="49" spans="1:2" x14ac:dyDescent="0.2">
      <c r="A49" s="18" t="s">
        <v>7</v>
      </c>
      <c r="B49" s="180"/>
    </row>
    <row r="50" spans="1:2" x14ac:dyDescent="0.2">
      <c r="A50" s="18"/>
      <c r="B50" s="180"/>
    </row>
    <row r="51" spans="1:2" x14ac:dyDescent="0.2">
      <c r="A51" s="18" t="s">
        <v>7</v>
      </c>
      <c r="B51" s="180"/>
    </row>
  </sheetData>
  <mergeCells count="6">
    <mergeCell ref="A1:B1"/>
    <mergeCell ref="A38:B38"/>
    <mergeCell ref="A29:B29"/>
    <mergeCell ref="A20:B20"/>
    <mergeCell ref="A11:B11"/>
    <mergeCell ref="A2:B2"/>
  </mergeCells>
  <pageMargins left="0.7" right="0.7" top="0.75" bottom="0.75" header="0.3" footer="0.3"/>
  <pageSetup orientation="portrait" horizontalDpi="1200" verticalDpi="1200" r:id="rId1"/>
  <ignoredErrors>
    <ignoredError sqref="A11 A20 A29 A3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0984-E222-4C56-BD77-D74A6DF1B72D}">
  <sheetPr>
    <tabColor rgb="FFFFFF00"/>
  </sheetPr>
  <dimension ref="B1:X16"/>
  <sheetViews>
    <sheetView zoomScale="130" zoomScaleNormal="130" workbookViewId="0">
      <selection activeCell="C5" sqref="C5"/>
    </sheetView>
  </sheetViews>
  <sheetFormatPr baseColWidth="10" defaultColWidth="8.83203125" defaultRowHeight="15" x14ac:dyDescent="0.2"/>
  <cols>
    <col min="1" max="1" width="5.1640625" customWidth="1"/>
    <col min="2" max="2" width="21.33203125" customWidth="1"/>
    <col min="3" max="3" width="10.5" customWidth="1"/>
    <col min="4" max="6" width="11.33203125" customWidth="1"/>
    <col min="7" max="7" width="0.83203125" customWidth="1"/>
    <col min="8" max="8" width="5.83203125" customWidth="1"/>
    <col min="9" max="9" width="14.1640625" customWidth="1"/>
    <col min="10" max="10" width="0.83203125" customWidth="1"/>
    <col min="11" max="11" width="4.5" customWidth="1"/>
    <col min="12" max="12" width="12.5" customWidth="1"/>
    <col min="13" max="13" width="0.83203125" customWidth="1"/>
    <col min="14" max="14" width="6" customWidth="1"/>
    <col min="15" max="15" width="11.1640625" customWidth="1"/>
    <col min="16" max="16" width="0.83203125" customWidth="1"/>
    <col min="17" max="17" width="4.33203125" customWidth="1"/>
    <col min="18" max="18" width="11.6640625" customWidth="1"/>
    <col min="19" max="19" width="0.83203125" customWidth="1"/>
    <col min="20" max="20" width="5.1640625" customWidth="1"/>
    <col min="21" max="21" width="11.1640625" customWidth="1"/>
    <col min="22" max="22" width="0.83203125" customWidth="1"/>
    <col min="23" max="23" width="11.1640625" bestFit="1" customWidth="1"/>
  </cols>
  <sheetData>
    <row r="1" spans="2:24" ht="16" thickBot="1" x14ac:dyDescent="0.25"/>
    <row r="2" spans="2:24" ht="20" thickBot="1" x14ac:dyDescent="0.3">
      <c r="B2" s="1155" t="s">
        <v>1114</v>
      </c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1156"/>
      <c r="S2" s="1156"/>
      <c r="T2" s="1156"/>
      <c r="U2" s="1157"/>
      <c r="V2" s="1157"/>
      <c r="W2" s="1158"/>
      <c r="X2" s="139"/>
    </row>
    <row r="3" spans="2:24" x14ac:dyDescent="0.2">
      <c r="B3" s="439"/>
      <c r="C3" s="427" t="s">
        <v>57</v>
      </c>
      <c r="D3" s="427"/>
      <c r="E3" s="427"/>
      <c r="F3" s="884"/>
      <c r="G3" s="432"/>
      <c r="H3" s="1159" t="s">
        <v>722</v>
      </c>
      <c r="I3" s="1160"/>
      <c r="J3" s="434"/>
      <c r="K3" s="1159" t="s">
        <v>729</v>
      </c>
      <c r="L3" s="1160"/>
      <c r="M3" s="434"/>
      <c r="N3" s="1159" t="s">
        <v>723</v>
      </c>
      <c r="O3" s="1160"/>
      <c r="P3" s="434"/>
      <c r="Q3" s="1161" t="s">
        <v>721</v>
      </c>
      <c r="R3" s="1162"/>
      <c r="S3" s="434"/>
      <c r="T3" s="1161" t="s">
        <v>92</v>
      </c>
      <c r="U3" s="1162"/>
      <c r="V3" s="435"/>
      <c r="W3" s="431" t="s">
        <v>361</v>
      </c>
    </row>
    <row r="4" spans="2:24" s="20" customFormat="1" ht="32" x14ac:dyDescent="0.2">
      <c r="B4" s="364"/>
      <c r="C4" s="428" t="s">
        <v>718</v>
      </c>
      <c r="D4" s="429" t="s">
        <v>719</v>
      </c>
      <c r="E4" s="429" t="s">
        <v>1211</v>
      </c>
      <c r="F4" s="885" t="s">
        <v>1490</v>
      </c>
      <c r="G4" s="433"/>
      <c r="H4" s="541" t="s">
        <v>356</v>
      </c>
      <c r="I4" s="542" t="s">
        <v>1416</v>
      </c>
      <c r="J4" s="433"/>
      <c r="K4" s="541" t="s">
        <v>356</v>
      </c>
      <c r="L4" s="542" t="s">
        <v>1416</v>
      </c>
      <c r="M4" s="433"/>
      <c r="N4" s="541" t="s">
        <v>356</v>
      </c>
      <c r="O4" s="542" t="s">
        <v>1416</v>
      </c>
      <c r="P4" s="433"/>
      <c r="Q4" s="546" t="s">
        <v>356</v>
      </c>
      <c r="R4" s="547" t="s">
        <v>1416</v>
      </c>
      <c r="S4" s="433"/>
      <c r="T4" s="546" t="s">
        <v>356</v>
      </c>
      <c r="U4" s="547" t="s">
        <v>1416</v>
      </c>
      <c r="V4" s="436"/>
      <c r="W4" s="431" t="s">
        <v>356</v>
      </c>
      <c r="X4" s="430"/>
    </row>
    <row r="5" spans="2:24" x14ac:dyDescent="0.2">
      <c r="B5" s="11" t="s">
        <v>724</v>
      </c>
      <c r="C5" s="443">
        <f>Harbor!F74+Boulevard!F53+AdminMemb!F65+Admin!F48+WH!F71</f>
        <v>34753</v>
      </c>
      <c r="D5" s="443">
        <f>Harbor!G74+Boulevard!G53+AdminMemb!G65+Admin!G48+WH!G71</f>
        <v>26070</v>
      </c>
      <c r="E5" s="443">
        <v>35000</v>
      </c>
      <c r="F5" s="919">
        <v>45000</v>
      </c>
      <c r="G5" s="440"/>
      <c r="H5" s="543">
        <v>0.2</v>
      </c>
      <c r="I5" s="544">
        <f>$F5*H5</f>
        <v>9000</v>
      </c>
      <c r="J5" s="440"/>
      <c r="K5" s="543">
        <v>0.2</v>
      </c>
      <c r="L5" s="544">
        <f>$F5*K5</f>
        <v>9000</v>
      </c>
      <c r="M5" s="440"/>
      <c r="N5" s="543">
        <v>0.2</v>
      </c>
      <c r="O5" s="544">
        <f>$F5*N5</f>
        <v>9000</v>
      </c>
      <c r="P5" s="440"/>
      <c r="Q5" s="548">
        <v>0.2</v>
      </c>
      <c r="R5" s="549">
        <f>$F5*Q5</f>
        <v>9000</v>
      </c>
      <c r="S5" s="440"/>
      <c r="T5" s="548">
        <v>0.2</v>
      </c>
      <c r="U5" s="549">
        <f>$F5*T5</f>
        <v>9000</v>
      </c>
      <c r="V5" s="437"/>
      <c r="W5" s="446">
        <f>H5+K5+N5+Q5+T5</f>
        <v>1</v>
      </c>
      <c r="X5" s="181"/>
    </row>
    <row r="6" spans="2:24" x14ac:dyDescent="0.2">
      <c r="B6" s="11" t="s">
        <v>725</v>
      </c>
      <c r="C6" s="443"/>
      <c r="D6" s="443"/>
      <c r="E6" s="443">
        <v>5000</v>
      </c>
      <c r="F6" s="886">
        <v>0</v>
      </c>
      <c r="G6" s="440"/>
      <c r="H6" s="543">
        <v>0.3</v>
      </c>
      <c r="I6" s="544">
        <f t="shared" ref="I6:I13" si="0">$F6*H6</f>
        <v>0</v>
      </c>
      <c r="J6" s="440"/>
      <c r="K6" s="543"/>
      <c r="L6" s="544">
        <f t="shared" ref="L6:L13" si="1">$F6*K6</f>
        <v>0</v>
      </c>
      <c r="M6" s="440"/>
      <c r="N6" s="543">
        <v>0.4</v>
      </c>
      <c r="O6" s="544">
        <f t="shared" ref="O6:O13" si="2">$F6*N6</f>
        <v>0</v>
      </c>
      <c r="P6" s="440"/>
      <c r="Q6" s="548"/>
      <c r="R6" s="549">
        <f t="shared" ref="R6:R13" si="3">$F6*Q6</f>
        <v>0</v>
      </c>
      <c r="S6" s="440"/>
      <c r="T6" s="548">
        <v>0.3</v>
      </c>
      <c r="U6" s="549">
        <f t="shared" ref="U6:U13" si="4">$F6*T6</f>
        <v>0</v>
      </c>
      <c r="V6" s="437"/>
      <c r="W6" s="446">
        <f>H6+K6+N6+Q6+T6</f>
        <v>1</v>
      </c>
      <c r="X6" s="181"/>
    </row>
    <row r="7" spans="2:24" x14ac:dyDescent="0.2">
      <c r="B7" s="872" t="s">
        <v>14</v>
      </c>
      <c r="C7" s="443">
        <f>Harbor!F77+Boulevard!F54+AdminMemb!F67+Admin!F50+WH!F73</f>
        <v>5970</v>
      </c>
      <c r="D7" s="443">
        <f>Harbor!G77+Boulevard!G54+AdminMemb!G67+Admin!G50+WH!G73</f>
        <v>4500</v>
      </c>
      <c r="E7" s="443">
        <v>6000</v>
      </c>
      <c r="F7" s="886">
        <f>E7*1.03</f>
        <v>6180</v>
      </c>
      <c r="G7" s="440"/>
      <c r="H7" s="543">
        <v>0.2</v>
      </c>
      <c r="I7" s="544">
        <f t="shared" si="0"/>
        <v>1236</v>
      </c>
      <c r="J7" s="440"/>
      <c r="K7" s="543">
        <v>0.2</v>
      </c>
      <c r="L7" s="544">
        <f t="shared" si="1"/>
        <v>1236</v>
      </c>
      <c r="M7" s="440"/>
      <c r="N7" s="543">
        <v>0.2</v>
      </c>
      <c r="O7" s="544">
        <f t="shared" si="2"/>
        <v>1236</v>
      </c>
      <c r="P7" s="440"/>
      <c r="Q7" s="548">
        <v>0.2</v>
      </c>
      <c r="R7" s="549">
        <f t="shared" si="3"/>
        <v>1236</v>
      </c>
      <c r="S7" s="440"/>
      <c r="T7" s="548">
        <v>0.2</v>
      </c>
      <c r="U7" s="549">
        <f t="shared" si="4"/>
        <v>1236</v>
      </c>
      <c r="V7" s="437"/>
      <c r="W7" s="446">
        <f t="shared" ref="W7:W13" si="5">H7+K7+N7+Q7+T7</f>
        <v>1</v>
      </c>
    </row>
    <row r="8" spans="2:24" x14ac:dyDescent="0.2">
      <c r="B8" s="872" t="s">
        <v>1099</v>
      </c>
      <c r="C8" s="443">
        <f>Harbor!F78+Boulevard!F55+AdminMemb!F68+Admin!F51+WH!F74</f>
        <v>5700</v>
      </c>
      <c r="D8" s="443">
        <f>Harbor!G78+Boulevard!G55+AdminMemb!G68+Admin!G51+WH!G74</f>
        <v>4250</v>
      </c>
      <c r="E8" s="443">
        <v>6000</v>
      </c>
      <c r="F8" s="919">
        <v>8543</v>
      </c>
      <c r="G8" s="440"/>
      <c r="H8" s="543">
        <v>0.2</v>
      </c>
      <c r="I8" s="544">
        <f t="shared" si="0"/>
        <v>1708.6000000000001</v>
      </c>
      <c r="J8" s="440"/>
      <c r="K8" s="543">
        <v>0.2</v>
      </c>
      <c r="L8" s="544">
        <f t="shared" si="1"/>
        <v>1708.6000000000001</v>
      </c>
      <c r="M8" s="440"/>
      <c r="N8" s="543">
        <v>0.2</v>
      </c>
      <c r="O8" s="544">
        <f t="shared" si="2"/>
        <v>1708.6000000000001</v>
      </c>
      <c r="P8" s="440"/>
      <c r="Q8" s="548">
        <v>0.2</v>
      </c>
      <c r="R8" s="549">
        <f t="shared" si="3"/>
        <v>1708.6000000000001</v>
      </c>
      <c r="S8" s="440"/>
      <c r="T8" s="548">
        <v>0.2</v>
      </c>
      <c r="U8" s="549">
        <f t="shared" si="4"/>
        <v>1708.6000000000001</v>
      </c>
      <c r="V8" s="437"/>
      <c r="W8" s="446">
        <f t="shared" si="5"/>
        <v>1</v>
      </c>
    </row>
    <row r="9" spans="2:24" x14ac:dyDescent="0.2">
      <c r="B9" s="872" t="s">
        <v>486</v>
      </c>
      <c r="C9" s="443">
        <f>Boulevard!F56+AdminMemb!F69+Admin!F52+WH!F75</f>
        <v>2940</v>
      </c>
      <c r="D9" s="443">
        <f>Boulevard!G56+AdminMemb!G69+Admin!G52+WH!G75</f>
        <v>1000</v>
      </c>
      <c r="E9" s="443">
        <v>3000</v>
      </c>
      <c r="F9" s="886">
        <f t="shared" ref="F9:F13" si="6">E9*1.03</f>
        <v>3090</v>
      </c>
      <c r="G9" s="440"/>
      <c r="H9" s="543"/>
      <c r="I9" s="544">
        <f t="shared" si="0"/>
        <v>0</v>
      </c>
      <c r="J9" s="440"/>
      <c r="K9" s="543">
        <v>0.25</v>
      </c>
      <c r="L9" s="544">
        <f t="shared" si="1"/>
        <v>772.5</v>
      </c>
      <c r="M9" s="440"/>
      <c r="N9" s="543">
        <v>0.25</v>
      </c>
      <c r="O9" s="544">
        <f t="shared" si="2"/>
        <v>772.5</v>
      </c>
      <c r="P9" s="440"/>
      <c r="Q9" s="548">
        <v>0.25</v>
      </c>
      <c r="R9" s="549">
        <f t="shared" si="3"/>
        <v>772.5</v>
      </c>
      <c r="S9" s="440"/>
      <c r="T9" s="548">
        <v>0.25</v>
      </c>
      <c r="U9" s="549">
        <f t="shared" si="4"/>
        <v>772.5</v>
      </c>
      <c r="V9" s="437"/>
      <c r="W9" s="446">
        <f t="shared" si="5"/>
        <v>1</v>
      </c>
      <c r="X9" s="181"/>
    </row>
    <row r="10" spans="2:24" x14ac:dyDescent="0.2">
      <c r="B10" s="872" t="s">
        <v>13</v>
      </c>
      <c r="C10" s="443">
        <f>AdminMemb!F70+Admin!F53</f>
        <v>4505</v>
      </c>
      <c r="D10" s="443">
        <f>AdminMemb!G70+Admin!G53</f>
        <v>1000</v>
      </c>
      <c r="E10" s="727">
        <v>4500</v>
      </c>
      <c r="F10" s="886">
        <f t="shared" si="6"/>
        <v>4635</v>
      </c>
      <c r="G10" s="440"/>
      <c r="H10" s="543"/>
      <c r="I10" s="544">
        <f t="shared" si="0"/>
        <v>0</v>
      </c>
      <c r="J10" s="440"/>
      <c r="K10" s="543">
        <v>0.5</v>
      </c>
      <c r="L10" s="544">
        <f t="shared" si="1"/>
        <v>2317.5</v>
      </c>
      <c r="M10" s="440"/>
      <c r="N10" s="543"/>
      <c r="O10" s="544">
        <f t="shared" si="2"/>
        <v>0</v>
      </c>
      <c r="P10" s="440"/>
      <c r="Q10" s="548">
        <v>0.5</v>
      </c>
      <c r="R10" s="549">
        <f t="shared" si="3"/>
        <v>2317.5</v>
      </c>
      <c r="S10" s="440"/>
      <c r="T10" s="548"/>
      <c r="U10" s="549">
        <f t="shared" si="4"/>
        <v>0</v>
      </c>
      <c r="V10" s="437"/>
      <c r="W10" s="446">
        <f t="shared" si="5"/>
        <v>1</v>
      </c>
      <c r="X10" s="181"/>
    </row>
    <row r="11" spans="2:24" x14ac:dyDescent="0.2">
      <c r="B11" s="872" t="s">
        <v>15</v>
      </c>
      <c r="C11" s="443">
        <f>AdminMemb!F71+Admin!F54</f>
        <v>3168</v>
      </c>
      <c r="D11" s="443">
        <f>AdminMemb!G71+Admin!G54</f>
        <v>1400</v>
      </c>
      <c r="E11" s="443">
        <v>3200</v>
      </c>
      <c r="F11" s="886">
        <f t="shared" si="6"/>
        <v>3296</v>
      </c>
      <c r="G11" s="440"/>
      <c r="H11" s="543"/>
      <c r="I11" s="544">
        <f t="shared" si="0"/>
        <v>0</v>
      </c>
      <c r="J11" s="440"/>
      <c r="K11" s="543">
        <v>0.5</v>
      </c>
      <c r="L11" s="544">
        <f t="shared" si="1"/>
        <v>1648</v>
      </c>
      <c r="M11" s="440"/>
      <c r="N11" s="543"/>
      <c r="O11" s="544">
        <f t="shared" si="2"/>
        <v>0</v>
      </c>
      <c r="P11" s="440"/>
      <c r="Q11" s="548">
        <v>0.5</v>
      </c>
      <c r="R11" s="549">
        <f t="shared" si="3"/>
        <v>1648</v>
      </c>
      <c r="S11" s="440"/>
      <c r="T11" s="548"/>
      <c r="U11" s="549">
        <f t="shared" si="4"/>
        <v>0</v>
      </c>
      <c r="V11" s="437"/>
      <c r="W11" s="446">
        <f t="shared" si="5"/>
        <v>1</v>
      </c>
    </row>
    <row r="12" spans="2:24" x14ac:dyDescent="0.2">
      <c r="B12" s="872" t="s">
        <v>16</v>
      </c>
      <c r="C12" s="443">
        <f>AdminMemb!F72+Admin!F55</f>
        <v>594</v>
      </c>
      <c r="D12" s="443">
        <f>AdminMemb!G72+Admin!G55</f>
        <v>400</v>
      </c>
      <c r="E12" s="443">
        <v>600</v>
      </c>
      <c r="F12" s="886">
        <f t="shared" si="6"/>
        <v>618</v>
      </c>
      <c r="G12" s="440"/>
      <c r="H12" s="543"/>
      <c r="I12" s="544">
        <f t="shared" si="0"/>
        <v>0</v>
      </c>
      <c r="J12" s="440"/>
      <c r="K12" s="543">
        <v>0.5</v>
      </c>
      <c r="L12" s="544">
        <f t="shared" si="1"/>
        <v>309</v>
      </c>
      <c r="M12" s="440"/>
      <c r="N12" s="543"/>
      <c r="O12" s="544">
        <f t="shared" si="2"/>
        <v>0</v>
      </c>
      <c r="P12" s="440"/>
      <c r="Q12" s="548">
        <v>0.5</v>
      </c>
      <c r="R12" s="549">
        <f t="shared" si="3"/>
        <v>309</v>
      </c>
      <c r="S12" s="440"/>
      <c r="T12" s="548"/>
      <c r="U12" s="549">
        <f t="shared" si="4"/>
        <v>0</v>
      </c>
      <c r="V12" s="437"/>
      <c r="W12" s="446">
        <f t="shared" si="5"/>
        <v>1</v>
      </c>
    </row>
    <row r="13" spans="2:24" ht="16" thickBot="1" x14ac:dyDescent="0.25">
      <c r="B13" s="873" t="s">
        <v>733</v>
      </c>
      <c r="C13" s="444">
        <f>AdminMemb!F73+Admin!F56</f>
        <v>3661</v>
      </c>
      <c r="D13" s="444">
        <f>AdminMemb!G73+Admin!G56</f>
        <v>1000</v>
      </c>
      <c r="E13" s="444">
        <v>3700</v>
      </c>
      <c r="F13" s="445">
        <f t="shared" si="6"/>
        <v>3811</v>
      </c>
      <c r="G13" s="441"/>
      <c r="H13" s="545"/>
      <c r="I13" s="544">
        <f t="shared" si="0"/>
        <v>0</v>
      </c>
      <c r="J13" s="442"/>
      <c r="K13" s="545">
        <v>0.5</v>
      </c>
      <c r="L13" s="544">
        <f t="shared" si="1"/>
        <v>1905.5</v>
      </c>
      <c r="M13" s="442"/>
      <c r="N13" s="545"/>
      <c r="O13" s="544">
        <f t="shared" si="2"/>
        <v>0</v>
      </c>
      <c r="P13" s="442"/>
      <c r="Q13" s="550">
        <v>0.5</v>
      </c>
      <c r="R13" s="549">
        <f t="shared" si="3"/>
        <v>1905.5</v>
      </c>
      <c r="S13" s="442"/>
      <c r="T13" s="550"/>
      <c r="U13" s="549">
        <f t="shared" si="4"/>
        <v>0</v>
      </c>
      <c r="V13" s="437"/>
      <c r="W13" s="446">
        <f t="shared" si="5"/>
        <v>1</v>
      </c>
    </row>
    <row r="14" spans="2:24" ht="16" thickBot="1" x14ac:dyDescent="0.25">
      <c r="B14" s="57"/>
      <c r="C14" s="887">
        <f>SUM(C5:C13)</f>
        <v>61291</v>
      </c>
      <c r="D14" s="887">
        <f>SUM(D5:D13)</f>
        <v>39620</v>
      </c>
      <c r="E14" s="888">
        <f>SUM(E5:E13)</f>
        <v>67000</v>
      </c>
      <c r="F14" s="889">
        <f>SUM(F5:F13)</f>
        <v>75173</v>
      </c>
      <c r="G14" s="890"/>
      <c r="H14" s="891"/>
      <c r="I14" s="892">
        <f>SUM(I5:I13)</f>
        <v>11944.6</v>
      </c>
      <c r="J14" s="893"/>
      <c r="K14" s="891"/>
      <c r="L14" s="892">
        <f>SUM(L5:L13)</f>
        <v>18897.099999999999</v>
      </c>
      <c r="M14" s="893"/>
      <c r="N14" s="891"/>
      <c r="O14" s="892">
        <f>SUM(O5:O13)</f>
        <v>12717.1</v>
      </c>
      <c r="P14" s="893"/>
      <c r="Q14" s="894"/>
      <c r="R14" s="895">
        <f>SUM(R5:R13)</f>
        <v>18897.099999999999</v>
      </c>
      <c r="S14" s="893"/>
      <c r="T14" s="894"/>
      <c r="U14" s="895">
        <f>SUM(U5:U13)</f>
        <v>12717.1</v>
      </c>
      <c r="V14" s="438"/>
      <c r="W14" s="896">
        <f>SUM(H14:U14)</f>
        <v>75173</v>
      </c>
    </row>
    <row r="15" spans="2:24" x14ac:dyDescent="0.2">
      <c r="B15" s="382" t="s">
        <v>121</v>
      </c>
    </row>
    <row r="16" spans="2:24" x14ac:dyDescent="0.2">
      <c r="B16" s="382" t="s">
        <v>121</v>
      </c>
      <c r="H16" t="s">
        <v>121</v>
      </c>
    </row>
  </sheetData>
  <mergeCells count="6">
    <mergeCell ref="B2:W2"/>
    <mergeCell ref="H3:I3"/>
    <mergeCell ref="K3:L3"/>
    <mergeCell ref="Q3:R3"/>
    <mergeCell ref="T3:U3"/>
    <mergeCell ref="N3:O3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AF48"/>
  <sheetViews>
    <sheetView zoomScale="130" zoomScaleNormal="130" workbookViewId="0">
      <pane ySplit="1" topLeftCell="A2" activePane="bottomLeft" state="frozen"/>
      <selection pane="bottomLeft" activeCell="K54" sqref="K54"/>
    </sheetView>
  </sheetViews>
  <sheetFormatPr baseColWidth="10" defaultColWidth="8.83203125" defaultRowHeight="15" x14ac:dyDescent="0.2"/>
  <cols>
    <col min="1" max="1" width="19.1640625" customWidth="1"/>
    <col min="2" max="2" width="12.1640625" customWidth="1"/>
    <col min="3" max="3" width="10.5" bestFit="1" customWidth="1"/>
    <col min="4" max="4" width="8.5" customWidth="1"/>
    <col min="5" max="5" width="9.1640625" bestFit="1" customWidth="1"/>
    <col min="6" max="7" width="10.5" bestFit="1" customWidth="1"/>
    <col min="8" max="8" width="10.33203125" bestFit="1" customWidth="1"/>
    <col min="9" max="9" width="11.33203125" bestFit="1" customWidth="1"/>
    <col min="10" max="10" width="11.1640625" bestFit="1" customWidth="1"/>
    <col min="11" max="11" width="11.5" bestFit="1" customWidth="1"/>
    <col min="12" max="12" width="12.5" customWidth="1"/>
    <col min="13" max="13" width="8.33203125" customWidth="1"/>
    <col min="14" max="14" width="10" customWidth="1"/>
    <col min="15" max="15" width="8.1640625" bestFit="1" customWidth="1"/>
    <col min="16" max="16" width="7.1640625" bestFit="1" customWidth="1"/>
    <col min="17" max="17" width="8.83203125" bestFit="1" customWidth="1"/>
    <col min="18" max="18" width="11.83203125" customWidth="1"/>
    <col min="19" max="19" width="8.1640625" bestFit="1" customWidth="1"/>
    <col min="20" max="20" width="5" bestFit="1" customWidth="1"/>
    <col min="21" max="21" width="9.1640625" bestFit="1" customWidth="1"/>
    <col min="22" max="22" width="8.1640625" bestFit="1" customWidth="1"/>
    <col min="23" max="23" width="7.1640625" bestFit="1" customWidth="1"/>
    <col min="24" max="24" width="10.5" bestFit="1" customWidth="1"/>
    <col min="25" max="25" width="6" bestFit="1" customWidth="1"/>
    <col min="26" max="26" width="10.1640625" bestFit="1" customWidth="1"/>
    <col min="27" max="27" width="6.6640625" bestFit="1" customWidth="1"/>
    <col min="28" max="28" width="6.5" bestFit="1" customWidth="1"/>
    <col min="31" max="31" width="12.1640625" customWidth="1"/>
  </cols>
  <sheetData>
    <row r="1" spans="1:30" ht="24" customHeight="1" x14ac:dyDescent="0.3">
      <c r="A1" s="1167" t="s">
        <v>1513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X1" s="10"/>
    </row>
    <row r="2" spans="1:30" ht="21" x14ac:dyDescent="0.25">
      <c r="C2" s="1163" t="s">
        <v>6</v>
      </c>
      <c r="D2" s="1163"/>
      <c r="E2" s="1163"/>
      <c r="F2" s="1163" t="s">
        <v>4</v>
      </c>
      <c r="G2" s="1163"/>
      <c r="H2" s="1163"/>
      <c r="I2" s="981" t="s">
        <v>91</v>
      </c>
      <c r="K2" s="984" t="s">
        <v>1514</v>
      </c>
      <c r="L2" s="984"/>
      <c r="M2" s="984"/>
      <c r="N2" s="984"/>
      <c r="O2" s="984"/>
      <c r="P2" s="984"/>
      <c r="Q2" s="984"/>
      <c r="R2" s="984"/>
      <c r="S2" t="s">
        <v>1092</v>
      </c>
      <c r="X2" s="10"/>
    </row>
    <row r="3" spans="1:30" ht="16" x14ac:dyDescent="0.2">
      <c r="C3" s="982" t="s">
        <v>19</v>
      </c>
      <c r="D3" s="982" t="s">
        <v>92</v>
      </c>
      <c r="E3" s="982" t="s">
        <v>93</v>
      </c>
      <c r="F3" s="982" t="s">
        <v>19</v>
      </c>
      <c r="G3" s="982" t="s">
        <v>720</v>
      </c>
      <c r="H3" s="982" t="s">
        <v>95</v>
      </c>
      <c r="I3" s="982" t="s">
        <v>57</v>
      </c>
      <c r="K3" s="983" t="s">
        <v>96</v>
      </c>
      <c r="L3" s="983" t="s">
        <v>97</v>
      </c>
      <c r="M3" s="983" t="s">
        <v>721</v>
      </c>
      <c r="N3" s="983" t="s">
        <v>98</v>
      </c>
      <c r="O3" s="983" t="s">
        <v>93</v>
      </c>
      <c r="P3" s="983" t="s">
        <v>19</v>
      </c>
      <c r="Q3" s="983" t="s">
        <v>720</v>
      </c>
      <c r="R3" s="983" t="s">
        <v>95</v>
      </c>
      <c r="X3" s="10"/>
    </row>
    <row r="4" spans="1:30" x14ac:dyDescent="0.2">
      <c r="A4" t="s">
        <v>1509</v>
      </c>
      <c r="B4" t="s">
        <v>1383</v>
      </c>
      <c r="C4" s="554">
        <f t="shared" ref="C4:C9" si="0">K4*M4</f>
        <v>22050</v>
      </c>
      <c r="D4" s="554">
        <f t="shared" ref="D4:D9" si="1">K4*N4</f>
        <v>22050</v>
      </c>
      <c r="E4" s="554">
        <f>K4*O4</f>
        <v>0</v>
      </c>
      <c r="F4" s="554">
        <f t="shared" ref="F4:F9" si="2">K4*P4</f>
        <v>27562.5</v>
      </c>
      <c r="G4" s="554">
        <f t="shared" ref="G4:G9" si="3">K4*Q4</f>
        <v>27562.5</v>
      </c>
      <c r="H4" s="554">
        <f t="shared" ref="H4:H9" si="4">K4*R4</f>
        <v>11025</v>
      </c>
      <c r="I4" s="554">
        <f t="shared" ref="I4:I8" si="5">SUM(C4:H4)</f>
        <v>110250</v>
      </c>
      <c r="K4" s="975">
        <v>110250</v>
      </c>
      <c r="L4" s="975">
        <v>10000</v>
      </c>
      <c r="M4" s="976">
        <v>0.2</v>
      </c>
      <c r="N4" s="976">
        <v>0.2</v>
      </c>
      <c r="O4" s="976"/>
      <c r="P4" s="976">
        <v>0.25</v>
      </c>
      <c r="Q4" s="976">
        <v>0.25</v>
      </c>
      <c r="R4" s="976">
        <v>0.1</v>
      </c>
      <c r="S4" s="920">
        <f t="shared" ref="S4:S9" si="6">SUM(M4:R4)</f>
        <v>1</v>
      </c>
      <c r="U4" s="920"/>
      <c r="X4" s="10"/>
    </row>
    <row r="5" spans="1:30" x14ac:dyDescent="0.2">
      <c r="A5" t="s">
        <v>1510</v>
      </c>
      <c r="B5" t="s">
        <v>1498</v>
      </c>
      <c r="C5" s="554">
        <f t="shared" si="0"/>
        <v>47250</v>
      </c>
      <c r="D5" s="554">
        <f t="shared" si="1"/>
        <v>13500</v>
      </c>
      <c r="E5" s="554"/>
      <c r="F5" s="554">
        <f t="shared" si="2"/>
        <v>40500</v>
      </c>
      <c r="G5" s="554">
        <f t="shared" si="3"/>
        <v>20250</v>
      </c>
      <c r="H5" s="554">
        <f t="shared" si="4"/>
        <v>13500</v>
      </c>
      <c r="I5" s="554">
        <v>40000</v>
      </c>
      <c r="K5" s="975">
        <v>135000</v>
      </c>
      <c r="L5" s="975"/>
      <c r="M5" s="976">
        <v>0.35</v>
      </c>
      <c r="N5" s="976">
        <v>0.1</v>
      </c>
      <c r="O5" s="976"/>
      <c r="P5" s="976">
        <v>0.3</v>
      </c>
      <c r="Q5" s="976">
        <v>0.15</v>
      </c>
      <c r="R5" s="976">
        <v>0.1</v>
      </c>
      <c r="S5" s="920">
        <f t="shared" si="6"/>
        <v>1</v>
      </c>
      <c r="X5" s="10"/>
    </row>
    <row r="6" spans="1:30" x14ac:dyDescent="0.2">
      <c r="A6" t="s">
        <v>1511</v>
      </c>
      <c r="B6" t="s">
        <v>1506</v>
      </c>
      <c r="C6" s="554">
        <f t="shared" si="0"/>
        <v>9924</v>
      </c>
      <c r="D6" s="554">
        <f t="shared" si="1"/>
        <v>26464</v>
      </c>
      <c r="E6" s="554"/>
      <c r="F6" s="554">
        <f t="shared" si="2"/>
        <v>26464</v>
      </c>
      <c r="G6" s="554">
        <f t="shared" si="3"/>
        <v>3308</v>
      </c>
      <c r="H6" s="554">
        <f t="shared" si="4"/>
        <v>0</v>
      </c>
      <c r="I6" s="554">
        <f t="shared" ref="I6" si="7">SUM(C6:H6)</f>
        <v>66160</v>
      </c>
      <c r="K6" s="975">
        <v>66160</v>
      </c>
      <c r="L6" s="975"/>
      <c r="M6" s="976">
        <v>0.15</v>
      </c>
      <c r="N6" s="976">
        <v>0.4</v>
      </c>
      <c r="O6" s="976"/>
      <c r="P6" s="976">
        <v>0.4</v>
      </c>
      <c r="Q6" s="976">
        <v>0.05</v>
      </c>
      <c r="R6" s="976"/>
      <c r="S6" s="920">
        <f t="shared" si="6"/>
        <v>1</v>
      </c>
      <c r="X6" s="10"/>
    </row>
    <row r="7" spans="1:30" x14ac:dyDescent="0.2">
      <c r="A7" t="s">
        <v>1512</v>
      </c>
      <c r="B7" t="s">
        <v>1316</v>
      </c>
      <c r="C7" s="554">
        <f t="shared" si="0"/>
        <v>0</v>
      </c>
      <c r="D7" s="554">
        <f t="shared" si="1"/>
        <v>12000</v>
      </c>
      <c r="E7" s="554">
        <f>K7*O7</f>
        <v>0</v>
      </c>
      <c r="F7" s="554">
        <f t="shared" si="2"/>
        <v>0</v>
      </c>
      <c r="G7" s="554">
        <f t="shared" si="3"/>
        <v>24000</v>
      </c>
      <c r="H7" s="554">
        <f t="shared" si="4"/>
        <v>12000</v>
      </c>
      <c r="I7" s="554">
        <f t="shared" si="5"/>
        <v>48000</v>
      </c>
      <c r="K7" s="975">
        <v>48000</v>
      </c>
      <c r="L7" s="975">
        <v>1600</v>
      </c>
      <c r="M7" s="976"/>
      <c r="N7" s="976">
        <v>0.25</v>
      </c>
      <c r="O7" s="976"/>
      <c r="P7" s="976"/>
      <c r="Q7" s="976">
        <v>0.5</v>
      </c>
      <c r="R7" s="976">
        <v>0.25</v>
      </c>
      <c r="S7" s="920">
        <f t="shared" si="6"/>
        <v>1</v>
      </c>
      <c r="X7" s="10"/>
    </row>
    <row r="8" spans="1:30" x14ac:dyDescent="0.2">
      <c r="C8" s="554">
        <f t="shared" si="0"/>
        <v>0</v>
      </c>
      <c r="D8" s="554">
        <f t="shared" si="1"/>
        <v>0</v>
      </c>
      <c r="E8" s="554">
        <f>K8*O8</f>
        <v>0</v>
      </c>
      <c r="F8" s="554">
        <f t="shared" si="2"/>
        <v>0</v>
      </c>
      <c r="G8" s="554">
        <f t="shared" si="3"/>
        <v>0</v>
      </c>
      <c r="H8" s="554">
        <f t="shared" si="4"/>
        <v>0</v>
      </c>
      <c r="I8" s="554">
        <f t="shared" si="5"/>
        <v>0</v>
      </c>
      <c r="K8" s="975"/>
      <c r="L8" s="975"/>
      <c r="M8" s="976"/>
      <c r="N8" s="976"/>
      <c r="O8" s="976"/>
      <c r="P8" s="976"/>
      <c r="Q8" s="976"/>
      <c r="R8" s="976"/>
      <c r="S8" s="920">
        <f t="shared" si="6"/>
        <v>0</v>
      </c>
      <c r="X8" s="10"/>
    </row>
    <row r="9" spans="1:30" ht="16" thickBot="1" x14ac:dyDescent="0.25">
      <c r="A9" t="s">
        <v>1499</v>
      </c>
      <c r="B9" s="811" t="s">
        <v>1384</v>
      </c>
      <c r="C9" s="812">
        <f t="shared" si="0"/>
        <v>0</v>
      </c>
      <c r="D9" s="812">
        <f t="shared" si="1"/>
        <v>0</v>
      </c>
      <c r="E9" s="812">
        <f>K9*O9</f>
        <v>0</v>
      </c>
      <c r="F9" s="812">
        <f t="shared" si="2"/>
        <v>0</v>
      </c>
      <c r="G9" s="812">
        <f t="shared" si="3"/>
        <v>0</v>
      </c>
      <c r="H9" s="812">
        <f t="shared" si="4"/>
        <v>52993.5</v>
      </c>
      <c r="I9" s="812">
        <f>SUM(C9:H9)</f>
        <v>52993.5</v>
      </c>
      <c r="K9" s="975">
        <v>52993.5</v>
      </c>
      <c r="L9" s="975">
        <v>1000</v>
      </c>
      <c r="M9" s="976"/>
      <c r="N9" s="976"/>
      <c r="O9" s="976"/>
      <c r="P9" s="976"/>
      <c r="Q9" s="976"/>
      <c r="R9" s="976">
        <v>1</v>
      </c>
      <c r="S9" s="920">
        <f t="shared" si="6"/>
        <v>1</v>
      </c>
      <c r="U9" s="12"/>
      <c r="V9" s="12"/>
      <c r="W9" s="12"/>
      <c r="X9" s="13"/>
      <c r="Y9" s="12"/>
      <c r="Z9" s="12"/>
      <c r="AA9" s="12"/>
      <c r="AB9" s="12"/>
    </row>
    <row r="10" spans="1:30" x14ac:dyDescent="0.2">
      <c r="C10" s="554">
        <f>SUM(C2:C8)</f>
        <v>79224</v>
      </c>
      <c r="D10" s="554">
        <f>SUM(D3:D8)</f>
        <v>74014</v>
      </c>
      <c r="E10" s="554">
        <f>SUM(E3:E8)</f>
        <v>0</v>
      </c>
      <c r="F10" s="554">
        <f>SUM(F3:F8)</f>
        <v>94526.5</v>
      </c>
      <c r="G10" s="554">
        <f>SUM(G3:G8)</f>
        <v>75120.5</v>
      </c>
      <c r="H10" s="552">
        <f>SUM(H3:H9)</f>
        <v>89518.5</v>
      </c>
      <c r="I10" s="554">
        <f>SUM(I4:I9)</f>
        <v>317403.5</v>
      </c>
      <c r="K10" s="721">
        <f>SUM(K4:K9)</f>
        <v>412403.5</v>
      </c>
      <c r="L10" s="721">
        <f>SUM(L4:L9)</f>
        <v>12600</v>
      </c>
      <c r="M10" s="977"/>
      <c r="N10" s="977"/>
      <c r="O10" s="977"/>
      <c r="P10" s="977"/>
      <c r="Q10" s="977"/>
      <c r="R10" s="977"/>
      <c r="U10" s="1164" t="s">
        <v>101</v>
      </c>
      <c r="V10" s="1165"/>
      <c r="W10" s="1165"/>
      <c r="X10" s="1165"/>
      <c r="Y10" s="1165"/>
      <c r="Z10" s="1165"/>
      <c r="AA10" s="1165"/>
      <c r="AB10" s="1166"/>
    </row>
    <row r="11" spans="1:30" x14ac:dyDescent="0.2">
      <c r="B11" s="811" t="s">
        <v>97</v>
      </c>
      <c r="C11" s="812"/>
      <c r="D11" s="812"/>
      <c r="E11" s="812">
        <f>SUM(E4:E9)</f>
        <v>0</v>
      </c>
      <c r="F11" s="812">
        <f>L4+L5+L6</f>
        <v>10000</v>
      </c>
      <c r="G11" s="812">
        <f>L7</f>
        <v>1600</v>
      </c>
      <c r="H11" s="966">
        <f>L9</f>
        <v>1000</v>
      </c>
      <c r="I11" s="812">
        <f>SUM(C11:H11)</f>
        <v>12600</v>
      </c>
      <c r="K11" s="988" t="s">
        <v>1516</v>
      </c>
      <c r="L11" s="989">
        <f>K10+L10</f>
        <v>425003.5</v>
      </c>
      <c r="U11" s="937"/>
      <c r="V11" s="938"/>
      <c r="W11" s="938">
        <v>2015</v>
      </c>
      <c r="X11" s="939"/>
      <c r="Y11" s="938"/>
      <c r="Z11" s="938"/>
      <c r="AA11" s="938">
        <v>2016</v>
      </c>
      <c r="AB11" s="940" t="s">
        <v>57</v>
      </c>
    </row>
    <row r="12" spans="1:30" x14ac:dyDescent="0.2">
      <c r="C12" s="823">
        <f t="shared" ref="C12:I12" si="8">SUM(C10:C11)</f>
        <v>79224</v>
      </c>
      <c r="D12" s="823">
        <f t="shared" si="8"/>
        <v>74014</v>
      </c>
      <c r="E12" s="823">
        <f t="shared" si="8"/>
        <v>0</v>
      </c>
      <c r="F12" s="823">
        <f t="shared" si="8"/>
        <v>104526.5</v>
      </c>
      <c r="G12" s="990">
        <f t="shared" si="8"/>
        <v>76720.5</v>
      </c>
      <c r="H12" s="990">
        <f t="shared" si="8"/>
        <v>90518.5</v>
      </c>
      <c r="I12" s="823">
        <f t="shared" si="8"/>
        <v>330003.5</v>
      </c>
      <c r="J12" s="974"/>
      <c r="U12" s="937"/>
      <c r="V12" s="938" t="s">
        <v>218</v>
      </c>
      <c r="W12" s="938" t="s">
        <v>103</v>
      </c>
      <c r="X12" s="939">
        <v>2015</v>
      </c>
      <c r="Y12" s="938" t="s">
        <v>104</v>
      </c>
      <c r="Z12" s="938"/>
      <c r="AA12" s="938" t="s">
        <v>103</v>
      </c>
      <c r="AB12" s="940" t="s">
        <v>105</v>
      </c>
    </row>
    <row r="13" spans="1:30" x14ac:dyDescent="0.2">
      <c r="U13" s="937" t="s">
        <v>106</v>
      </c>
      <c r="V13" s="949">
        <v>294.5</v>
      </c>
      <c r="W13" s="942">
        <v>13</v>
      </c>
      <c r="X13" s="951">
        <f>V13*W13</f>
        <v>3828.5</v>
      </c>
      <c r="Y13" s="941"/>
      <c r="Z13" s="951">
        <f>(X13+(Y13*(W13*1.5)))</f>
        <v>3828.5</v>
      </c>
      <c r="AA13" s="942">
        <v>13.25</v>
      </c>
      <c r="AB13" s="943">
        <f>V13*AA13</f>
        <v>3902.125</v>
      </c>
    </row>
    <row r="14" spans="1:30" ht="19" x14ac:dyDescent="0.25">
      <c r="A14" s="985"/>
      <c r="B14" s="1168" t="s">
        <v>107</v>
      </c>
      <c r="C14" s="1168"/>
      <c r="D14" s="1168"/>
      <c r="E14" s="1168"/>
      <c r="F14" s="1168"/>
      <c r="G14" s="1168"/>
      <c r="H14" s="1168"/>
      <c r="I14" s="1168"/>
      <c r="J14" s="986"/>
      <c r="K14" s="987" t="s">
        <v>57</v>
      </c>
      <c r="U14" s="937" t="s">
        <v>108</v>
      </c>
      <c r="V14" s="949">
        <v>789</v>
      </c>
      <c r="W14" s="942">
        <v>11.5</v>
      </c>
      <c r="X14" s="951">
        <f>V14*W14</f>
        <v>9073.5</v>
      </c>
      <c r="Y14" s="941">
        <v>29.5</v>
      </c>
      <c r="Z14" s="951">
        <f>(X14+(Y14*(W14*1.5)))</f>
        <v>9582.375</v>
      </c>
      <c r="AA14" s="942">
        <v>11.75</v>
      </c>
      <c r="AB14" s="943">
        <f>V14*AA14</f>
        <v>9270.75</v>
      </c>
    </row>
    <row r="15" spans="1:30" x14ac:dyDescent="0.2">
      <c r="A15" s="978" t="s">
        <v>1509</v>
      </c>
      <c r="B15" s="978"/>
      <c r="C15" s="979">
        <f t="shared" ref="C15:H16" si="9">C4/26</f>
        <v>848.07692307692309</v>
      </c>
      <c r="D15" s="979">
        <f t="shared" si="9"/>
        <v>848.07692307692309</v>
      </c>
      <c r="E15" s="979">
        <f t="shared" si="9"/>
        <v>0</v>
      </c>
      <c r="F15" s="979">
        <f t="shared" si="9"/>
        <v>1060.0961538461538</v>
      </c>
      <c r="G15" s="979">
        <f t="shared" si="9"/>
        <v>1060.0961538461538</v>
      </c>
      <c r="H15" s="979">
        <f t="shared" si="9"/>
        <v>424.03846153846155</v>
      </c>
      <c r="I15" s="979">
        <f t="shared" ref="I15:I20" si="10">(SUM(C15:H15)*26)</f>
        <v>110250</v>
      </c>
      <c r="J15" s="979">
        <f>L4</f>
        <v>10000</v>
      </c>
      <c r="K15" s="979">
        <f>SUM(I15:J15)</f>
        <v>120250</v>
      </c>
      <c r="N15" s="1169" t="s">
        <v>1389</v>
      </c>
      <c r="O15" s="1169"/>
      <c r="P15" s="1169"/>
      <c r="Q15" s="1169"/>
      <c r="U15" s="937" t="s">
        <v>109</v>
      </c>
      <c r="V15" s="949">
        <v>85</v>
      </c>
      <c r="W15" s="942">
        <v>11.5</v>
      </c>
      <c r="X15" s="951">
        <f>V15*W15</f>
        <v>977.5</v>
      </c>
      <c r="Y15" s="941"/>
      <c r="Z15" s="951">
        <f>(X15+(Y15*(W15*1.5)))</f>
        <v>977.5</v>
      </c>
      <c r="AA15" s="942">
        <v>11.75</v>
      </c>
      <c r="AB15" s="943">
        <f>V15*AA15</f>
        <v>998.75</v>
      </c>
    </row>
    <row r="16" spans="1:30" x14ac:dyDescent="0.2">
      <c r="A16" s="978" t="s">
        <v>1510</v>
      </c>
      <c r="B16" s="978"/>
      <c r="C16" s="979">
        <f t="shared" si="9"/>
        <v>1817.3076923076924</v>
      </c>
      <c r="D16" s="979">
        <f t="shared" si="9"/>
        <v>519.23076923076928</v>
      </c>
      <c r="E16" s="979">
        <f t="shared" si="9"/>
        <v>0</v>
      </c>
      <c r="F16" s="979">
        <f t="shared" si="9"/>
        <v>1557.6923076923076</v>
      </c>
      <c r="G16" s="979">
        <f t="shared" si="9"/>
        <v>778.84615384615381</v>
      </c>
      <c r="H16" s="979">
        <f t="shared" si="9"/>
        <v>519.23076923076928</v>
      </c>
      <c r="I16" s="979">
        <f t="shared" si="10"/>
        <v>135000.00000000003</v>
      </c>
      <c r="J16" s="979">
        <f>L5</f>
        <v>0</v>
      </c>
      <c r="K16" s="979">
        <f>SUM(I16:J16)</f>
        <v>135000.00000000003</v>
      </c>
      <c r="N16" s="1170" t="s">
        <v>1390</v>
      </c>
      <c r="O16" s="1170"/>
      <c r="P16" s="1170"/>
      <c r="Q16" s="1170"/>
      <c r="U16" s="937"/>
      <c r="V16" s="949"/>
      <c r="W16" s="942"/>
      <c r="X16" s="951"/>
      <c r="Y16" s="941"/>
      <c r="Z16" s="951"/>
      <c r="AA16" s="942"/>
      <c r="AB16" s="943"/>
      <c r="AD16" t="s">
        <v>547</v>
      </c>
    </row>
    <row r="17" spans="1:32" x14ac:dyDescent="0.2">
      <c r="A17" s="978" t="s">
        <v>1511</v>
      </c>
      <c r="B17" s="978"/>
      <c r="C17" s="979">
        <f t="shared" ref="C17:H17" si="11">C6/26</f>
        <v>381.69230769230768</v>
      </c>
      <c r="D17" s="979">
        <f t="shared" si="11"/>
        <v>1017.8461538461538</v>
      </c>
      <c r="E17" s="979">
        <f t="shared" si="11"/>
        <v>0</v>
      </c>
      <c r="F17" s="979">
        <f t="shared" si="11"/>
        <v>1017.8461538461538</v>
      </c>
      <c r="G17" s="979">
        <f t="shared" si="11"/>
        <v>127.23076923076923</v>
      </c>
      <c r="H17" s="979">
        <f t="shared" si="11"/>
        <v>0</v>
      </c>
      <c r="I17" s="979">
        <f t="shared" si="10"/>
        <v>66159.999999999985</v>
      </c>
      <c r="J17" s="979">
        <f>L6</f>
        <v>0</v>
      </c>
      <c r="K17" s="979">
        <f>SUM(I17:J17)</f>
        <v>66159.999999999985</v>
      </c>
      <c r="N17" s="1171" t="s">
        <v>111</v>
      </c>
      <c r="O17" s="1171"/>
      <c r="P17" s="1171"/>
      <c r="Q17" s="1171"/>
      <c r="U17" s="937"/>
      <c r="V17" s="949"/>
      <c r="W17" s="942"/>
      <c r="X17" s="951"/>
      <c r="Y17" s="941"/>
      <c r="Z17" s="951"/>
      <c r="AA17" s="942"/>
      <c r="AB17" s="943"/>
      <c r="AD17" t="s">
        <v>92</v>
      </c>
      <c r="AE17" s="41">
        <f>D8/8</f>
        <v>0</v>
      </c>
      <c r="AF17">
        <f>AE17*8</f>
        <v>0</v>
      </c>
    </row>
    <row r="18" spans="1:32" x14ac:dyDescent="0.2">
      <c r="A18" s="978" t="s">
        <v>1515</v>
      </c>
      <c r="B18" s="978"/>
      <c r="C18" s="979">
        <f>C7/13</f>
        <v>0</v>
      </c>
      <c r="D18" s="979">
        <f t="shared" ref="D18:E20" si="12">D7/26</f>
        <v>461.53846153846155</v>
      </c>
      <c r="E18" s="979">
        <f t="shared" si="12"/>
        <v>0</v>
      </c>
      <c r="F18" s="979">
        <f>F7/13</f>
        <v>0</v>
      </c>
      <c r="G18" s="979">
        <f t="shared" ref="G18:H20" si="13">G7/26</f>
        <v>923.07692307692309</v>
      </c>
      <c r="H18" s="979">
        <f t="shared" si="13"/>
        <v>461.53846153846155</v>
      </c>
      <c r="I18" s="979">
        <f t="shared" si="10"/>
        <v>48000</v>
      </c>
      <c r="J18" s="979">
        <f>L7</f>
        <v>1600</v>
      </c>
      <c r="K18" s="979">
        <f>SUM(I18:J18)</f>
        <v>49600</v>
      </c>
      <c r="U18" s="937" t="s">
        <v>110</v>
      </c>
      <c r="V18" s="949">
        <v>76.25</v>
      </c>
      <c r="W18" s="942">
        <v>11.5</v>
      </c>
      <c r="X18" s="951">
        <f>V18*W18</f>
        <v>876.875</v>
      </c>
      <c r="Y18" s="941"/>
      <c r="Z18" s="951">
        <f>(X18+(Y18*(W18*1.5)))</f>
        <v>876.875</v>
      </c>
      <c r="AA18" s="942">
        <v>11.75</v>
      </c>
      <c r="AB18" s="943">
        <f>V18*AA18</f>
        <v>895.9375</v>
      </c>
      <c r="AD18" t="s">
        <v>94</v>
      </c>
      <c r="AE18">
        <f>G8/8</f>
        <v>0</v>
      </c>
    </row>
    <row r="19" spans="1:32" x14ac:dyDescent="0.2">
      <c r="A19" s="978"/>
      <c r="B19" s="978"/>
      <c r="C19" s="979"/>
      <c r="D19" s="979"/>
      <c r="E19" s="979"/>
      <c r="F19" s="979"/>
      <c r="G19" s="979"/>
      <c r="H19" s="979"/>
      <c r="I19" s="979"/>
      <c r="J19" s="979"/>
      <c r="K19" s="979"/>
      <c r="U19" s="937" t="s">
        <v>112</v>
      </c>
      <c r="V19" s="949">
        <v>704.75</v>
      </c>
      <c r="W19" s="942">
        <v>11.5</v>
      </c>
      <c r="X19" s="951">
        <f>V19*W19</f>
        <v>8104.625</v>
      </c>
      <c r="Y19" s="941">
        <v>14</v>
      </c>
      <c r="Z19" s="951">
        <f>(X19+(Y19*(W19*1.5)))</f>
        <v>8346.125</v>
      </c>
      <c r="AA19" s="942">
        <v>11.75</v>
      </c>
      <c r="AB19" s="943">
        <f>V19*AA19</f>
        <v>8280.8125</v>
      </c>
      <c r="AD19" t="s">
        <v>95</v>
      </c>
      <c r="AE19" s="41">
        <f>H8/8</f>
        <v>0</v>
      </c>
    </row>
    <row r="20" spans="1:32" x14ac:dyDescent="0.2">
      <c r="A20" s="978" t="s">
        <v>1499</v>
      </c>
      <c r="B20" s="978"/>
      <c r="C20" s="979">
        <f>C9/26</f>
        <v>0</v>
      </c>
      <c r="D20" s="979">
        <f t="shared" si="12"/>
        <v>0</v>
      </c>
      <c r="E20" s="979">
        <f t="shared" si="12"/>
        <v>0</v>
      </c>
      <c r="F20" s="979">
        <f>F9/26</f>
        <v>0</v>
      </c>
      <c r="G20" s="979">
        <f t="shared" si="13"/>
        <v>0</v>
      </c>
      <c r="H20" s="979">
        <f t="shared" si="13"/>
        <v>2038.2115384615386</v>
      </c>
      <c r="I20" s="979">
        <f t="shared" si="10"/>
        <v>52993.5</v>
      </c>
      <c r="J20" s="979">
        <f>L9</f>
        <v>1000</v>
      </c>
      <c r="K20" s="979">
        <f>SUM(I20:J20)</f>
        <v>53993.5</v>
      </c>
      <c r="U20" s="937" t="s">
        <v>104</v>
      </c>
      <c r="V20" s="949"/>
      <c r="W20" s="942"/>
      <c r="X20" s="951">
        <f>SUM(X13:X19)</f>
        <v>22861</v>
      </c>
      <c r="Y20" s="941"/>
      <c r="Z20" s="951">
        <f>SUM(Z13:Z19)</f>
        <v>23611.375</v>
      </c>
      <c r="AA20" s="942"/>
      <c r="AB20" s="943">
        <f>SUM(AB13:AB19)</f>
        <v>23348.375</v>
      </c>
      <c r="AE20" s="41">
        <f>SUM(AE17:AE19)</f>
        <v>0</v>
      </c>
    </row>
    <row r="21" spans="1:32" x14ac:dyDescent="0.2">
      <c r="A21" s="978"/>
      <c r="B21" s="978"/>
      <c r="C21" s="979">
        <f t="shared" ref="C21:J21" si="14">SUM(C15:C20)</f>
        <v>3047.0769230769229</v>
      </c>
      <c r="D21" s="979">
        <f t="shared" si="14"/>
        <v>2846.6923076923076</v>
      </c>
      <c r="E21" s="979">
        <f t="shared" si="14"/>
        <v>0</v>
      </c>
      <c r="F21" s="979">
        <f t="shared" si="14"/>
        <v>3635.6346153846152</v>
      </c>
      <c r="G21" s="979">
        <f t="shared" si="14"/>
        <v>2889.25</v>
      </c>
      <c r="H21" s="979">
        <f t="shared" si="14"/>
        <v>3443.0192307692309</v>
      </c>
      <c r="I21" s="979">
        <f t="shared" si="14"/>
        <v>412403.5</v>
      </c>
      <c r="J21" s="979">
        <f t="shared" si="14"/>
        <v>12600</v>
      </c>
      <c r="K21" s="979">
        <f>SUM(I21:J21)</f>
        <v>425003.5</v>
      </c>
      <c r="L21" s="35"/>
      <c r="U21" s="937"/>
      <c r="V21" s="949"/>
      <c r="W21" s="942"/>
      <c r="X21" s="951"/>
      <c r="Y21" s="941"/>
      <c r="Z21" s="951"/>
      <c r="AA21" s="942"/>
      <c r="AB21" s="944"/>
    </row>
    <row r="22" spans="1:32" x14ac:dyDescent="0.2">
      <c r="U22" s="937"/>
      <c r="V22" s="949"/>
      <c r="W22" s="942"/>
      <c r="X22" s="951"/>
      <c r="Y22" s="941"/>
      <c r="Z22" s="951"/>
      <c r="AA22" s="942"/>
      <c r="AB22" s="944"/>
    </row>
    <row r="23" spans="1:32" ht="16" x14ac:dyDescent="0.2">
      <c r="B23" s="1172" t="s">
        <v>113</v>
      </c>
      <c r="C23" s="1172"/>
      <c r="D23" s="1172"/>
      <c r="E23" s="1172"/>
      <c r="F23" s="1172"/>
      <c r="G23" s="1172"/>
      <c r="I23" s="1172" t="s">
        <v>114</v>
      </c>
      <c r="J23" s="1172"/>
      <c r="K23" s="1172"/>
      <c r="L23" s="1172"/>
      <c r="M23" s="1172"/>
      <c r="N23" s="1172"/>
      <c r="U23" s="937"/>
      <c r="V23" s="949"/>
      <c r="W23" s="942"/>
      <c r="X23" s="951"/>
      <c r="Y23" s="941"/>
      <c r="Z23" s="951"/>
      <c r="AA23" s="942"/>
      <c r="AB23" s="944"/>
    </row>
    <row r="24" spans="1:32" ht="16" thickBot="1" x14ac:dyDescent="0.25">
      <c r="B24" s="809"/>
      <c r="C24" s="991" t="s">
        <v>0</v>
      </c>
      <c r="D24" s="991" t="s">
        <v>1</v>
      </c>
      <c r="E24" s="991" t="s">
        <v>2</v>
      </c>
      <c r="F24" s="991" t="s">
        <v>3</v>
      </c>
      <c r="G24" s="991" t="s">
        <v>57</v>
      </c>
      <c r="I24" s="809"/>
      <c r="J24" s="991" t="s">
        <v>0</v>
      </c>
      <c r="K24" s="991" t="s">
        <v>1</v>
      </c>
      <c r="L24" s="991" t="s">
        <v>2</v>
      </c>
      <c r="M24" s="991" t="s">
        <v>3</v>
      </c>
      <c r="N24" s="991" t="s">
        <v>57</v>
      </c>
      <c r="U24" s="945" t="s">
        <v>115</v>
      </c>
      <c r="V24" s="950">
        <v>240.5</v>
      </c>
      <c r="W24" s="947">
        <v>10</v>
      </c>
      <c r="X24" s="952">
        <f>V24*W24</f>
        <v>2405</v>
      </c>
      <c r="Y24" s="946"/>
      <c r="Z24" s="952">
        <v>640</v>
      </c>
      <c r="AA24" s="947">
        <v>10.5</v>
      </c>
      <c r="AB24" s="948">
        <f>Z24*AA24</f>
        <v>6720</v>
      </c>
    </row>
    <row r="25" spans="1:32" x14ac:dyDescent="0.2">
      <c r="B25" s="809" t="s">
        <v>553</v>
      </c>
      <c r="C25" s="980">
        <f>C15*7</f>
        <v>5936.5384615384619</v>
      </c>
      <c r="D25" s="980">
        <f>C15*6</f>
        <v>5088.461538461539</v>
      </c>
      <c r="E25" s="980">
        <f>C15*7</f>
        <v>5936.5384615384619</v>
      </c>
      <c r="F25" s="980">
        <f>C15*6</f>
        <v>5088.461538461539</v>
      </c>
      <c r="G25" s="980">
        <f>SUM(C25:F25)</f>
        <v>22050</v>
      </c>
      <c r="I25" s="809" t="s">
        <v>553</v>
      </c>
      <c r="J25" s="980">
        <f>F15*7</f>
        <v>7420.6730769230762</v>
      </c>
      <c r="K25" s="980">
        <f>F15*6</f>
        <v>6360.5769230769229</v>
      </c>
      <c r="L25" s="980">
        <f>F15*7</f>
        <v>7420.6730769230762</v>
      </c>
      <c r="M25" s="980">
        <f>(F15*6)+L4</f>
        <v>16360.576923076922</v>
      </c>
      <c r="N25" s="980">
        <f>SUM(J25:M25)</f>
        <v>37562.5</v>
      </c>
      <c r="U25" s="12"/>
      <c r="V25" s="12"/>
      <c r="W25" s="12"/>
      <c r="X25" s="13"/>
      <c r="Y25" s="12"/>
      <c r="Z25" s="12"/>
      <c r="AA25" s="12"/>
      <c r="AB25" s="12"/>
    </row>
    <row r="26" spans="1:32" x14ac:dyDescent="0.2">
      <c r="B26" s="809" t="s">
        <v>23</v>
      </c>
      <c r="C26" s="980">
        <f>C16*7</f>
        <v>12721.153846153848</v>
      </c>
      <c r="D26" s="980">
        <f>C16*6</f>
        <v>10903.846153846154</v>
      </c>
      <c r="E26" s="980">
        <f>C16*7</f>
        <v>12721.153846153848</v>
      </c>
      <c r="F26" s="980">
        <f>C16*6</f>
        <v>10903.846153846154</v>
      </c>
      <c r="G26" s="980">
        <f>SUM(C26:F26)</f>
        <v>47250</v>
      </c>
      <c r="I26" s="809" t="s">
        <v>23</v>
      </c>
      <c r="J26" s="980">
        <f>F16*7</f>
        <v>10903.846153846152</v>
      </c>
      <c r="K26" s="980">
        <f>F16*6</f>
        <v>9346.1538461538457</v>
      </c>
      <c r="L26" s="980">
        <f>F16*7</f>
        <v>10903.846153846152</v>
      </c>
      <c r="M26" s="980">
        <f>(F16*6)+L5</f>
        <v>9346.1538461538457</v>
      </c>
      <c r="N26" s="980">
        <f>SUM(J26:M26)</f>
        <v>40500</v>
      </c>
      <c r="U26" s="12"/>
      <c r="V26" s="12"/>
      <c r="W26" s="12"/>
      <c r="X26" s="13"/>
      <c r="Y26" s="12"/>
      <c r="Z26" s="12"/>
      <c r="AA26" s="12"/>
      <c r="AB26" s="12"/>
    </row>
    <row r="27" spans="1:32" x14ac:dyDescent="0.2">
      <c r="B27" s="809" t="s">
        <v>706</v>
      </c>
      <c r="C27" s="980">
        <f>C17*7</f>
        <v>2671.8461538461538</v>
      </c>
      <c r="D27" s="980">
        <f>C17*6</f>
        <v>2290.1538461538462</v>
      </c>
      <c r="E27" s="980">
        <f>C17*7</f>
        <v>2671.8461538461538</v>
      </c>
      <c r="F27" s="980">
        <f>C17*6</f>
        <v>2290.1538461538462</v>
      </c>
      <c r="G27" s="980">
        <f>SUM(C27:F27)</f>
        <v>9924</v>
      </c>
      <c r="I27" s="809" t="s">
        <v>706</v>
      </c>
      <c r="J27" s="980">
        <f>F17*7</f>
        <v>7124.9230769230762</v>
      </c>
      <c r="K27" s="980">
        <f>F17*6</f>
        <v>6107.0769230769229</v>
      </c>
      <c r="L27" s="980">
        <f>F17*7</f>
        <v>7124.9230769230762</v>
      </c>
      <c r="M27" s="980">
        <f>(F17*6)+J17</f>
        <v>6107.0769230769229</v>
      </c>
      <c r="N27" s="980">
        <f>SUM(J27:M27)</f>
        <v>26464</v>
      </c>
      <c r="T27" s="12"/>
      <c r="U27" s="12"/>
      <c r="V27" s="12"/>
      <c r="W27" s="12"/>
      <c r="X27" s="13"/>
      <c r="Y27" s="12"/>
      <c r="Z27" s="12"/>
      <c r="AA27" s="12"/>
      <c r="AB27" s="12"/>
    </row>
    <row r="28" spans="1:32" x14ac:dyDescent="0.2">
      <c r="B28" s="809" t="s">
        <v>94</v>
      </c>
      <c r="C28" s="980">
        <f>C18*7</f>
        <v>0</v>
      </c>
      <c r="D28" s="980">
        <f>C18*6</f>
        <v>0</v>
      </c>
      <c r="E28" s="980">
        <f>C18*7</f>
        <v>0</v>
      </c>
      <c r="F28" s="980">
        <f>C18*6</f>
        <v>0</v>
      </c>
      <c r="G28" s="980">
        <f>SUM(C28:F28)</f>
        <v>0</v>
      </c>
      <c r="I28" s="809" t="s">
        <v>94</v>
      </c>
      <c r="J28" s="980">
        <f>F18*7</f>
        <v>0</v>
      </c>
      <c r="K28" s="980">
        <f>F18*6</f>
        <v>0</v>
      </c>
      <c r="L28" s="980">
        <f>F18*7</f>
        <v>0</v>
      </c>
      <c r="M28" s="980">
        <f>(F18*6)</f>
        <v>0</v>
      </c>
      <c r="N28" s="980">
        <f>SUM(J28:M28)</f>
        <v>0</v>
      </c>
      <c r="T28" s="12"/>
      <c r="U28" s="12"/>
      <c r="V28" s="12"/>
      <c r="W28" s="12"/>
      <c r="X28" s="13"/>
      <c r="Y28" s="12"/>
      <c r="Z28" s="12"/>
      <c r="AA28" s="12"/>
      <c r="AB28" s="12"/>
    </row>
    <row r="29" spans="1:32" x14ac:dyDescent="0.2">
      <c r="B29" s="809" t="s">
        <v>100</v>
      </c>
      <c r="C29" s="980">
        <f>C20*7</f>
        <v>0</v>
      </c>
      <c r="D29" s="980">
        <f>C20*6</f>
        <v>0</v>
      </c>
      <c r="E29" s="980">
        <f>D20*7</f>
        <v>0</v>
      </c>
      <c r="F29" s="980">
        <f>C19*6</f>
        <v>0</v>
      </c>
      <c r="G29" s="980">
        <f>SUM(C29:F29)</f>
        <v>0</v>
      </c>
      <c r="I29" s="809" t="s">
        <v>100</v>
      </c>
      <c r="J29" s="980">
        <f>F20*7</f>
        <v>0</v>
      </c>
      <c r="K29" s="980">
        <f>F20*6</f>
        <v>0</v>
      </c>
      <c r="L29" s="980">
        <f>F20*7</f>
        <v>0</v>
      </c>
      <c r="M29" s="980">
        <f>F20*6</f>
        <v>0</v>
      </c>
      <c r="N29" s="980">
        <f>SUM(J29:M29)</f>
        <v>0</v>
      </c>
      <c r="T29" s="1173" t="s">
        <v>116</v>
      </c>
      <c r="U29" s="1173"/>
      <c r="V29" s="1174" t="s">
        <v>117</v>
      </c>
      <c r="W29" s="1174"/>
      <c r="X29" s="1174"/>
      <c r="Y29" s="15">
        <v>20</v>
      </c>
      <c r="Z29" s="15">
        <v>2014</v>
      </c>
      <c r="AA29" s="1173" t="s">
        <v>118</v>
      </c>
      <c r="AB29" s="1173"/>
    </row>
    <row r="30" spans="1:32" x14ac:dyDescent="0.2">
      <c r="B30" s="809"/>
      <c r="C30" s="980"/>
      <c r="D30" s="980"/>
      <c r="E30" s="980"/>
      <c r="F30" s="980"/>
      <c r="G30" s="980">
        <f>SUM(G25:G29)</f>
        <v>79224</v>
      </c>
      <c r="I30" s="809"/>
      <c r="J30" s="980">
        <f>SUM(J25:J29)</f>
        <v>25449.442307692305</v>
      </c>
      <c r="K30" s="980">
        <f>SUM(K25:K29)</f>
        <v>21813.807692307691</v>
      </c>
      <c r="L30" s="980">
        <f>SUM(L25:L29)</f>
        <v>25449.442307692305</v>
      </c>
      <c r="M30" s="980">
        <f>SUM(M25:M29)</f>
        <v>31813.807692307688</v>
      </c>
      <c r="N30" s="980">
        <f>SUM(N25:N29)</f>
        <v>104526.5</v>
      </c>
      <c r="Q30" s="2"/>
      <c r="R30" s="63"/>
      <c r="S30" s="64" t="s">
        <v>102</v>
      </c>
      <c r="T30" s="15" t="s">
        <v>103</v>
      </c>
      <c r="U30" s="16" t="s">
        <v>25</v>
      </c>
      <c r="V30" s="16" t="s">
        <v>103</v>
      </c>
      <c r="W30" s="16" t="s">
        <v>25</v>
      </c>
      <c r="X30" s="16" t="s">
        <v>119</v>
      </c>
      <c r="Y30" s="15" t="s">
        <v>104</v>
      </c>
      <c r="Z30" s="15" t="s">
        <v>104</v>
      </c>
      <c r="AA30" s="15" t="s">
        <v>104</v>
      </c>
      <c r="AB30" s="15"/>
    </row>
    <row r="31" spans="1:32" x14ac:dyDescent="0.2">
      <c r="Q31" s="14"/>
      <c r="R31" s="14" t="s">
        <v>106</v>
      </c>
      <c r="S31" s="14">
        <v>221.25</v>
      </c>
      <c r="T31" s="14">
        <v>11</v>
      </c>
      <c r="U31" s="17">
        <f>S31*T31</f>
        <v>2433.75</v>
      </c>
      <c r="V31" s="17">
        <v>12</v>
      </c>
      <c r="W31" s="17">
        <f>S31*V31</f>
        <v>2655</v>
      </c>
      <c r="X31" s="17">
        <f>W31-U31</f>
        <v>221.25</v>
      </c>
      <c r="Y31" s="14"/>
      <c r="Z31" s="17">
        <f>(U31+(Y31*(T31*1.5)))</f>
        <v>2433.75</v>
      </c>
      <c r="AA31" s="17">
        <f>((V31*1.5)*Y31)+W31</f>
        <v>2655</v>
      </c>
      <c r="AB31" s="17">
        <f>AA31-W31</f>
        <v>0</v>
      </c>
    </row>
    <row r="32" spans="1:32" ht="16" x14ac:dyDescent="0.2">
      <c r="B32" s="1172" t="s">
        <v>120</v>
      </c>
      <c r="C32" s="1172"/>
      <c r="D32" s="1172"/>
      <c r="E32" s="1172"/>
      <c r="F32" s="1172"/>
      <c r="G32" s="1172"/>
      <c r="I32" s="1172" t="s">
        <v>1091</v>
      </c>
      <c r="J32" s="1172"/>
      <c r="K32" s="1172"/>
      <c r="L32" s="1172"/>
      <c r="M32" s="1172"/>
      <c r="N32" s="1172"/>
      <c r="Q32" s="14"/>
      <c r="R32" s="14" t="s">
        <v>108</v>
      </c>
      <c r="S32" s="14">
        <v>693</v>
      </c>
      <c r="T32" s="14">
        <v>10.5</v>
      </c>
      <c r="U32" s="17">
        <f>S32*T32</f>
        <v>7276.5</v>
      </c>
      <c r="V32" s="17">
        <v>11</v>
      </c>
      <c r="W32" s="17">
        <f>S32*V32</f>
        <v>7623</v>
      </c>
      <c r="X32" s="17">
        <f>W32-U32</f>
        <v>346.5</v>
      </c>
      <c r="Y32" s="14">
        <v>15.5</v>
      </c>
      <c r="Z32" s="17">
        <f>(U32+(Y32*(T32*1.5)))</f>
        <v>7520.625</v>
      </c>
      <c r="AA32" s="17">
        <f>((V32*1.5)*Y32)+W32</f>
        <v>7878.75</v>
      </c>
      <c r="AB32" s="17">
        <f>AA32-W32</f>
        <v>255.75</v>
      </c>
    </row>
    <row r="33" spans="2:28" x14ac:dyDescent="0.2">
      <c r="B33" s="809"/>
      <c r="C33" s="991" t="s">
        <v>0</v>
      </c>
      <c r="D33" s="991" t="s">
        <v>1</v>
      </c>
      <c r="E33" s="991" t="s">
        <v>2</v>
      </c>
      <c r="F33" s="991" t="s">
        <v>3</v>
      </c>
      <c r="G33" s="991" t="s">
        <v>57</v>
      </c>
      <c r="I33" s="809"/>
      <c r="J33" s="992" t="s">
        <v>0</v>
      </c>
      <c r="K33" s="992" t="s">
        <v>1</v>
      </c>
      <c r="L33" s="992" t="s">
        <v>2</v>
      </c>
      <c r="M33" s="992" t="s">
        <v>3</v>
      </c>
      <c r="N33" s="992" t="s">
        <v>57</v>
      </c>
      <c r="Q33" s="14"/>
      <c r="R33" s="14" t="s">
        <v>109</v>
      </c>
      <c r="S33" s="14">
        <v>408.25</v>
      </c>
      <c r="T33" s="14">
        <v>10</v>
      </c>
      <c r="U33" s="17">
        <f>S33*T33</f>
        <v>4082.5</v>
      </c>
      <c r="V33" s="17">
        <v>11</v>
      </c>
      <c r="W33" s="17">
        <f>S33*V33</f>
        <v>4490.75</v>
      </c>
      <c r="X33" s="17">
        <v>221.25</v>
      </c>
      <c r="Y33" s="14"/>
      <c r="Z33" s="17">
        <f>(U33+(Y33*(T33*1.5)))</f>
        <v>4082.5</v>
      </c>
      <c r="AA33" s="17">
        <f>((V33*1.5)*Y33)+W33</f>
        <v>4490.75</v>
      </c>
      <c r="AB33" s="17">
        <f>AA33-W33</f>
        <v>0</v>
      </c>
    </row>
    <row r="34" spans="2:28" x14ac:dyDescent="0.2">
      <c r="B34" s="809" t="s">
        <v>553</v>
      </c>
      <c r="C34" s="980">
        <f>D15*7</f>
        <v>5936.5384615384619</v>
      </c>
      <c r="D34" s="980">
        <f>D15*6</f>
        <v>5088.461538461539</v>
      </c>
      <c r="E34" s="980">
        <f>D15*7</f>
        <v>5936.5384615384619</v>
      </c>
      <c r="F34" s="980">
        <f>D15*6</f>
        <v>5088.461538461539</v>
      </c>
      <c r="G34" s="980">
        <f t="shared" ref="G34:G39" si="15">SUM(C34:F34)</f>
        <v>22050</v>
      </c>
      <c r="I34" s="809" t="s">
        <v>553</v>
      </c>
      <c r="J34" s="980">
        <f>G15*7</f>
        <v>7420.6730769230762</v>
      </c>
      <c r="K34" s="980">
        <f>G15*6</f>
        <v>6360.5769230769229</v>
      </c>
      <c r="L34" s="980">
        <f>G15*7</f>
        <v>7420.6730769230762</v>
      </c>
      <c r="M34" s="980">
        <f>G15*6</f>
        <v>6360.5769230769229</v>
      </c>
      <c r="N34" s="980">
        <f>SUM(J34:M34)</f>
        <v>27562.5</v>
      </c>
      <c r="Q34" s="14"/>
      <c r="R34" s="14" t="s">
        <v>110</v>
      </c>
      <c r="S34" s="14">
        <v>30</v>
      </c>
      <c r="T34" s="14">
        <v>9</v>
      </c>
      <c r="U34" s="17">
        <f>S34*T34</f>
        <v>270</v>
      </c>
      <c r="V34" s="17"/>
      <c r="W34" s="17"/>
      <c r="X34" s="17" t="s">
        <v>121</v>
      </c>
      <c r="Y34" s="14"/>
      <c r="Z34" s="17">
        <f>(U34+(Y34*(T34*1.5)))</f>
        <v>270</v>
      </c>
      <c r="AA34" s="17"/>
      <c r="AB34" s="17">
        <f>AA34-W34</f>
        <v>0</v>
      </c>
    </row>
    <row r="35" spans="2:28" x14ac:dyDescent="0.2">
      <c r="B35" s="809" t="s">
        <v>23</v>
      </c>
      <c r="C35" s="980">
        <f t="shared" ref="C35" si="16">D16*7</f>
        <v>3634.6153846153848</v>
      </c>
      <c r="D35" s="980">
        <f t="shared" ref="D35:D36" si="17">D16*6</f>
        <v>3115.3846153846157</v>
      </c>
      <c r="E35" s="980">
        <f t="shared" ref="E35" si="18">D16*7</f>
        <v>3634.6153846153848</v>
      </c>
      <c r="F35" s="980">
        <f t="shared" ref="F35" si="19">D16*6</f>
        <v>3115.3846153846157</v>
      </c>
      <c r="G35" s="980">
        <f t="shared" si="15"/>
        <v>13500</v>
      </c>
      <c r="I35" s="809" t="s">
        <v>23</v>
      </c>
      <c r="J35" s="980">
        <f>G16*7</f>
        <v>5451.9230769230762</v>
      </c>
      <c r="K35" s="980">
        <f>G16*6</f>
        <v>4673.0769230769229</v>
      </c>
      <c r="L35" s="980">
        <f>G16*7</f>
        <v>5451.9230769230762</v>
      </c>
      <c r="M35" s="980">
        <f>G16*6</f>
        <v>4673.0769230769229</v>
      </c>
      <c r="N35" s="980">
        <f>SUM(J35:M35)</f>
        <v>20250</v>
      </c>
      <c r="Q35" s="14"/>
      <c r="R35" s="14"/>
      <c r="S35" s="14"/>
      <c r="T35" s="14"/>
      <c r="U35" s="17"/>
      <c r="V35" s="17"/>
      <c r="W35" s="17"/>
      <c r="X35" s="17"/>
      <c r="Y35" s="14"/>
      <c r="Z35" s="17"/>
      <c r="AA35" s="17"/>
      <c r="AB35" s="17"/>
    </row>
    <row r="36" spans="2:28" x14ac:dyDescent="0.2">
      <c r="B36" s="809" t="s">
        <v>706</v>
      </c>
      <c r="C36" s="980">
        <f t="shared" ref="C36" si="20">D17*7</f>
        <v>7124.9230769230762</v>
      </c>
      <c r="D36" s="980">
        <f t="shared" si="17"/>
        <v>6107.0769230769229</v>
      </c>
      <c r="E36" s="980">
        <f t="shared" ref="E36" si="21">D17*7</f>
        <v>7124.9230769230762</v>
      </c>
      <c r="F36" s="980">
        <f t="shared" ref="F36" si="22">D17*6</f>
        <v>6107.0769230769229</v>
      </c>
      <c r="G36" s="980">
        <f t="shared" ref="G36" si="23">SUM(C36:F36)</f>
        <v>26464</v>
      </c>
      <c r="I36" s="809" t="s">
        <v>706</v>
      </c>
      <c r="J36" s="980">
        <f>G17*7</f>
        <v>890.61538461538453</v>
      </c>
      <c r="K36" s="980">
        <f>G17*6</f>
        <v>763.38461538461536</v>
      </c>
      <c r="L36" s="980">
        <f>G17*7</f>
        <v>890.61538461538453</v>
      </c>
      <c r="M36" s="980">
        <f>G17*6</f>
        <v>763.38461538461536</v>
      </c>
      <c r="N36" s="980">
        <f>SUM(J36:M36)</f>
        <v>3308</v>
      </c>
      <c r="Q36" s="14"/>
      <c r="R36" s="14" t="s">
        <v>112</v>
      </c>
      <c r="S36" s="14">
        <v>539.25</v>
      </c>
      <c r="T36" s="14">
        <v>10</v>
      </c>
      <c r="U36" s="17">
        <f>S36*T36</f>
        <v>5392.5</v>
      </c>
      <c r="V36" s="17">
        <v>11</v>
      </c>
      <c r="W36" s="17">
        <f>S36*V36</f>
        <v>5931.75</v>
      </c>
      <c r="X36" s="17">
        <f>W36-U36</f>
        <v>539.25</v>
      </c>
      <c r="Y36" s="14">
        <v>23.25</v>
      </c>
      <c r="Z36" s="17">
        <f>(U36+(Y36*(T36*1.5)))</f>
        <v>5741.25</v>
      </c>
      <c r="AA36" s="17">
        <f>((V36*1.5)*Y36)+W36</f>
        <v>6315.375</v>
      </c>
      <c r="AB36" s="17">
        <f>AA36-W36</f>
        <v>383.625</v>
      </c>
    </row>
    <row r="37" spans="2:28" x14ac:dyDescent="0.2">
      <c r="B37" s="809" t="s">
        <v>707</v>
      </c>
      <c r="C37" s="980">
        <f>D18*7</f>
        <v>3230.7692307692309</v>
      </c>
      <c r="D37" s="980">
        <f>D18*6</f>
        <v>2769.2307692307695</v>
      </c>
      <c r="E37" s="980">
        <f>D18*7</f>
        <v>3230.7692307692309</v>
      </c>
      <c r="F37" s="980">
        <f>D18*6+C9</f>
        <v>2769.2307692307695</v>
      </c>
      <c r="G37" s="980">
        <f t="shared" si="15"/>
        <v>12000</v>
      </c>
      <c r="I37" s="809" t="s">
        <v>94</v>
      </c>
      <c r="J37" s="980">
        <f>G18*7</f>
        <v>6461.5384615384619</v>
      </c>
      <c r="K37" s="980">
        <f>G18*6</f>
        <v>5538.461538461539</v>
      </c>
      <c r="L37" s="980">
        <f>G18*7</f>
        <v>6461.5384615384619</v>
      </c>
      <c r="M37" s="980">
        <f>(G18*6)+L7</f>
        <v>7138.461538461539</v>
      </c>
      <c r="N37" s="980">
        <f>SUM(J37:M37)</f>
        <v>25600</v>
      </c>
      <c r="Q37" s="14"/>
      <c r="R37" s="14" t="s">
        <v>104</v>
      </c>
      <c r="S37" s="14"/>
      <c r="T37" s="14"/>
      <c r="U37" s="17">
        <f>SUM(U31:U36)</f>
        <v>19455.25</v>
      </c>
      <c r="V37" s="17"/>
      <c r="W37" s="17"/>
      <c r="X37" s="17">
        <f>SUM(X31:X36)</f>
        <v>1328.25</v>
      </c>
      <c r="Y37" s="14"/>
      <c r="Z37" s="17">
        <f>SUM(Z31:Z36)</f>
        <v>20048.125</v>
      </c>
      <c r="AA37" s="17">
        <f>SUM(AA31:AA36)</f>
        <v>21339.875</v>
      </c>
      <c r="AB37" s="17">
        <f>SUM(AB30:AB36)</f>
        <v>639.375</v>
      </c>
    </row>
    <row r="38" spans="2:28" x14ac:dyDescent="0.2">
      <c r="B38" s="809" t="s">
        <v>99</v>
      </c>
      <c r="C38" s="980">
        <f>D19*7</f>
        <v>0</v>
      </c>
      <c r="D38" s="980">
        <f>D19*6</f>
        <v>0</v>
      </c>
      <c r="E38" s="980">
        <f>D19*7</f>
        <v>0</v>
      </c>
      <c r="F38" s="980">
        <f>D19*6</f>
        <v>0</v>
      </c>
      <c r="G38" s="980">
        <f t="shared" si="15"/>
        <v>0</v>
      </c>
      <c r="I38" s="809" t="s">
        <v>100</v>
      </c>
      <c r="J38" s="980">
        <f>G20*7</f>
        <v>0</v>
      </c>
      <c r="K38" s="980">
        <f>G20*6</f>
        <v>0</v>
      </c>
      <c r="L38" s="980">
        <f>G20*7</f>
        <v>0</v>
      </c>
      <c r="M38" s="980">
        <f>G20*6</f>
        <v>0</v>
      </c>
      <c r="N38" s="980">
        <f>SUM(J38:M38)</f>
        <v>0</v>
      </c>
      <c r="Q38" s="14"/>
      <c r="R38" s="14"/>
      <c r="S38" s="14"/>
      <c r="T38" s="14"/>
      <c r="U38" s="14"/>
      <c r="V38" s="14"/>
      <c r="W38" s="17"/>
      <c r="X38" s="17"/>
      <c r="Y38" s="17"/>
      <c r="Z38" s="14"/>
      <c r="AA38" s="14"/>
      <c r="AB38" s="14"/>
    </row>
    <row r="39" spans="2:28" x14ac:dyDescent="0.2">
      <c r="B39" s="809" t="s">
        <v>100</v>
      </c>
      <c r="C39" s="980">
        <f>D20*7</f>
        <v>0</v>
      </c>
      <c r="D39" s="980">
        <f>D20*6</f>
        <v>0</v>
      </c>
      <c r="E39" s="980">
        <f>D20*7</f>
        <v>0</v>
      </c>
      <c r="F39" s="980">
        <f>D20*6</f>
        <v>0</v>
      </c>
      <c r="G39" s="980">
        <f t="shared" si="15"/>
        <v>0</v>
      </c>
      <c r="I39" s="809"/>
      <c r="J39" s="980">
        <f>SUM(J34:J38)</f>
        <v>20224.75</v>
      </c>
      <c r="K39" s="980">
        <f>SUM(K34:K38)</f>
        <v>17335.5</v>
      </c>
      <c r="L39" s="980">
        <f>SUM(L34:L38)</f>
        <v>20224.75</v>
      </c>
      <c r="M39" s="980">
        <f>SUM(M34:M38)</f>
        <v>18935.5</v>
      </c>
      <c r="N39" s="980">
        <f>SUM(N34:N38)</f>
        <v>76720.5</v>
      </c>
      <c r="Q39" s="14"/>
      <c r="R39" s="14"/>
      <c r="S39" s="14"/>
      <c r="T39" s="14"/>
      <c r="U39" s="14"/>
      <c r="V39" s="14"/>
      <c r="W39" s="17"/>
      <c r="X39" s="17"/>
      <c r="Y39" s="17"/>
      <c r="Z39" s="14"/>
      <c r="AA39" s="14"/>
      <c r="AB39" s="14"/>
    </row>
    <row r="40" spans="2:28" x14ac:dyDescent="0.2">
      <c r="B40" s="809"/>
      <c r="C40" s="980"/>
      <c r="D40" s="980"/>
      <c r="E40" s="980"/>
      <c r="F40" s="980"/>
      <c r="G40" s="980">
        <f>SUM(G34:G39)</f>
        <v>74014</v>
      </c>
      <c r="R40" s="14"/>
      <c r="S40" s="14"/>
      <c r="T40" s="14"/>
      <c r="U40" s="14"/>
      <c r="V40" s="14"/>
      <c r="W40" s="14"/>
      <c r="X40" s="17"/>
      <c r="Y40" s="17"/>
      <c r="Z40" s="17"/>
      <c r="AA40" s="17"/>
      <c r="AB40" s="17"/>
    </row>
    <row r="41" spans="2:28" ht="16" x14ac:dyDescent="0.2">
      <c r="I41" s="1172" t="s">
        <v>122</v>
      </c>
      <c r="J41" s="1172"/>
      <c r="K41" s="1172"/>
      <c r="L41" s="1172"/>
      <c r="M41" s="1172"/>
      <c r="N41" s="1172"/>
      <c r="R41" s="14" t="s">
        <v>115</v>
      </c>
      <c r="S41" s="14">
        <v>240.5</v>
      </c>
      <c r="T41" s="14">
        <v>10</v>
      </c>
      <c r="U41" s="17">
        <f>S41*T41</f>
        <v>2405</v>
      </c>
      <c r="V41" s="17">
        <v>10.5</v>
      </c>
      <c r="W41" s="17">
        <f>S41*V41</f>
        <v>2525.25</v>
      </c>
      <c r="X41" s="17">
        <f>W41-U41</f>
        <v>120.25</v>
      </c>
      <c r="Y41" s="17"/>
      <c r="Z41" s="14"/>
      <c r="AA41" s="14">
        <v>640</v>
      </c>
      <c r="AB41" s="14">
        <v>10.5</v>
      </c>
    </row>
    <row r="42" spans="2:28" x14ac:dyDescent="0.2">
      <c r="I42" s="809"/>
      <c r="J42" s="992" t="s">
        <v>0</v>
      </c>
      <c r="K42" s="992" t="s">
        <v>1</v>
      </c>
      <c r="L42" s="992" t="s">
        <v>2</v>
      </c>
      <c r="M42" s="992" t="s">
        <v>3</v>
      </c>
      <c r="N42" s="992" t="s">
        <v>57</v>
      </c>
      <c r="R42" s="14"/>
      <c r="S42" s="14"/>
      <c r="T42" s="14"/>
      <c r="U42" s="17"/>
      <c r="V42" s="14"/>
      <c r="W42" s="14"/>
      <c r="X42" s="14"/>
      <c r="Y42" s="14"/>
      <c r="Z42" s="14"/>
      <c r="AA42" s="14"/>
      <c r="AB42" s="14"/>
    </row>
    <row r="43" spans="2:28" x14ac:dyDescent="0.2">
      <c r="I43" s="809" t="s">
        <v>553</v>
      </c>
      <c r="J43" s="980">
        <f>H15*7</f>
        <v>2968.2692307692309</v>
      </c>
      <c r="K43" s="980">
        <f>H15*6</f>
        <v>2544.2307692307695</v>
      </c>
      <c r="L43" s="980">
        <f>H15*7</f>
        <v>2968.2692307692309</v>
      </c>
      <c r="M43" s="980">
        <f>H15*6</f>
        <v>2544.2307692307695</v>
      </c>
      <c r="N43" s="980">
        <f>SUM(J43:M43)</f>
        <v>11025</v>
      </c>
      <c r="R43" s="14"/>
      <c r="S43" s="14"/>
      <c r="T43" s="14"/>
      <c r="U43" s="17"/>
      <c r="V43" s="14"/>
      <c r="W43" s="14"/>
      <c r="X43" s="14"/>
      <c r="Y43" s="14"/>
      <c r="Z43" s="14"/>
      <c r="AA43" s="14"/>
      <c r="AB43" s="14"/>
    </row>
    <row r="44" spans="2:28" x14ac:dyDescent="0.2">
      <c r="I44" s="809" t="s">
        <v>23</v>
      </c>
      <c r="J44" s="980">
        <f>H16*7</f>
        <v>3634.6153846153848</v>
      </c>
      <c r="K44" s="980">
        <f>H16*6</f>
        <v>3115.3846153846157</v>
      </c>
      <c r="L44" s="980">
        <f>H16*7</f>
        <v>3634.6153846153848</v>
      </c>
      <c r="M44" s="980">
        <f>H16*6</f>
        <v>3115.3846153846157</v>
      </c>
      <c r="N44" s="980">
        <f>SUM(J44:M44)</f>
        <v>13500</v>
      </c>
      <c r="R44" s="14"/>
      <c r="S44" s="14"/>
      <c r="T44" s="14"/>
      <c r="U44" s="17"/>
      <c r="V44" s="14"/>
      <c r="W44" s="14"/>
      <c r="X44" s="14"/>
      <c r="Y44" s="14"/>
      <c r="Z44" s="14"/>
      <c r="AA44" s="14"/>
      <c r="AB44" s="14"/>
    </row>
    <row r="45" spans="2:28" x14ac:dyDescent="0.2">
      <c r="I45" s="809" t="s">
        <v>706</v>
      </c>
      <c r="J45" s="980">
        <f>H17*7</f>
        <v>0</v>
      </c>
      <c r="K45" s="980">
        <f>H17*6</f>
        <v>0</v>
      </c>
      <c r="L45" s="980">
        <f>H17*7</f>
        <v>0</v>
      </c>
      <c r="M45" s="980">
        <f>H17*6</f>
        <v>0</v>
      </c>
      <c r="N45" s="980">
        <f>SUM(J45:M45)</f>
        <v>0</v>
      </c>
      <c r="R45" s="14"/>
      <c r="S45" s="14"/>
      <c r="T45" s="14"/>
      <c r="U45" s="17"/>
      <c r="V45" s="14"/>
      <c r="W45" s="14"/>
      <c r="X45" s="14"/>
      <c r="Y45" s="14"/>
      <c r="Z45" s="14"/>
      <c r="AA45" s="14"/>
      <c r="AB45" s="14"/>
    </row>
    <row r="46" spans="2:28" x14ac:dyDescent="0.2">
      <c r="I46" s="809" t="s">
        <v>707</v>
      </c>
      <c r="J46" s="980">
        <f>H18*7</f>
        <v>3230.7692307692309</v>
      </c>
      <c r="K46" s="980">
        <f>H18*6</f>
        <v>2769.2307692307695</v>
      </c>
      <c r="L46" s="980">
        <f>H18*7</f>
        <v>3230.7692307692309</v>
      </c>
      <c r="M46" s="980">
        <f>H18*6</f>
        <v>2769.2307692307695</v>
      </c>
      <c r="N46" s="980">
        <f>SUM(J46:M46)</f>
        <v>12000</v>
      </c>
      <c r="R46" s="12"/>
      <c r="S46" s="12"/>
      <c r="T46" s="12"/>
      <c r="U46" s="13"/>
      <c r="V46" s="12"/>
      <c r="W46" s="12"/>
      <c r="X46" s="12"/>
      <c r="Y46" s="12"/>
      <c r="Z46" s="12"/>
      <c r="AA46" s="12"/>
      <c r="AB46" s="12"/>
    </row>
    <row r="47" spans="2:28" x14ac:dyDescent="0.2">
      <c r="I47" s="809" t="s">
        <v>100</v>
      </c>
      <c r="J47" s="980">
        <f>H20*7</f>
        <v>14267.48076923077</v>
      </c>
      <c r="K47" s="980">
        <f>H20*6</f>
        <v>12229.26923076923</v>
      </c>
      <c r="L47" s="980">
        <f>H20*7</f>
        <v>14267.48076923077</v>
      </c>
      <c r="M47" s="980">
        <f>H20*6+J20</f>
        <v>13229.26923076923</v>
      </c>
      <c r="N47" s="980">
        <f>SUM(J47:M47)</f>
        <v>53993.5</v>
      </c>
      <c r="R47" s="12"/>
      <c r="S47" s="12"/>
      <c r="T47" s="12"/>
      <c r="U47" s="13"/>
      <c r="V47" s="12"/>
      <c r="W47" s="12"/>
      <c r="X47" s="12"/>
      <c r="Y47" s="12"/>
      <c r="Z47" s="12"/>
      <c r="AA47" s="12"/>
      <c r="AB47" s="12"/>
    </row>
    <row r="48" spans="2:28" x14ac:dyDescent="0.2">
      <c r="I48" s="809"/>
      <c r="J48" s="980">
        <f>SUM(J43:J47)</f>
        <v>24101.134615384617</v>
      </c>
      <c r="K48" s="980">
        <f>SUM(K43:K47)</f>
        <v>20658.115384615383</v>
      </c>
      <c r="L48" s="980">
        <f>SUM(L43:L47)</f>
        <v>24101.134615384617</v>
      </c>
      <c r="M48" s="980">
        <f>SUM(M43:M47)</f>
        <v>21658.115384615383</v>
      </c>
      <c r="N48" s="980">
        <f>SUM(N43:N47)</f>
        <v>90518.5</v>
      </c>
      <c r="R48" s="12"/>
      <c r="S48" s="12"/>
      <c r="T48" s="12"/>
      <c r="U48" s="13"/>
      <c r="V48" s="12"/>
      <c r="W48" s="12"/>
      <c r="X48" s="12"/>
      <c r="Y48" s="12"/>
      <c r="Z48" s="12"/>
      <c r="AA48" s="12"/>
      <c r="AB48" s="12"/>
    </row>
  </sheetData>
  <mergeCells count="16">
    <mergeCell ref="AA29:AB29"/>
    <mergeCell ref="B32:G32"/>
    <mergeCell ref="I32:N32"/>
    <mergeCell ref="I41:N41"/>
    <mergeCell ref="T29:U29"/>
    <mergeCell ref="V29:X29"/>
    <mergeCell ref="N15:Q15"/>
    <mergeCell ref="N16:Q16"/>
    <mergeCell ref="N17:Q17"/>
    <mergeCell ref="B23:G23"/>
    <mergeCell ref="I23:N23"/>
    <mergeCell ref="C2:E2"/>
    <mergeCell ref="F2:H2"/>
    <mergeCell ref="U10:AB10"/>
    <mergeCell ref="A1:R1"/>
    <mergeCell ref="B14:I14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2:V27"/>
  <sheetViews>
    <sheetView zoomScale="130" zoomScaleNormal="130" workbookViewId="0">
      <selection activeCell="B4" sqref="B4"/>
    </sheetView>
  </sheetViews>
  <sheetFormatPr baseColWidth="10" defaultColWidth="8.83203125" defaultRowHeight="15" x14ac:dyDescent="0.2"/>
  <cols>
    <col min="1" max="1" width="19.5" style="2" customWidth="1"/>
    <col min="2" max="8" width="8.83203125" style="2" customWidth="1"/>
    <col min="9" max="9" width="11.1640625" style="2" customWidth="1"/>
    <col min="10" max="10" width="10" style="2" customWidth="1"/>
    <col min="11" max="11" width="11.83203125" style="2" customWidth="1"/>
    <col min="12" max="12" width="8.83203125" style="2"/>
    <col min="13" max="13" width="9.1640625" style="2" bestFit="1" customWidth="1"/>
    <col min="14" max="14" width="11" style="2" customWidth="1"/>
    <col min="15" max="15" width="10.83203125" style="2" customWidth="1"/>
    <col min="16" max="16384" width="8.83203125" style="2"/>
  </cols>
  <sheetData>
    <row r="2" spans="1:22" x14ac:dyDescent="0.2">
      <c r="A2" s="23"/>
      <c r="B2" s="23"/>
      <c r="C2" s="23"/>
      <c r="D2" s="111"/>
      <c r="E2" s="23"/>
      <c r="F2" s="23"/>
      <c r="G2" s="23"/>
      <c r="H2" s="23"/>
    </row>
    <row r="3" spans="1:22" ht="21" x14ac:dyDescent="0.25">
      <c r="A3" s="1178" t="s">
        <v>308</v>
      </c>
      <c r="B3" s="1178"/>
      <c r="C3" s="1178"/>
      <c r="D3" s="1178"/>
      <c r="E3" s="1178"/>
      <c r="F3" s="1178"/>
      <c r="G3" s="1178"/>
      <c r="H3" s="1178"/>
      <c r="I3" s="1178"/>
      <c r="J3" s="1178"/>
      <c r="K3" s="1178"/>
    </row>
    <row r="4" spans="1:22" x14ac:dyDescent="0.2">
      <c r="A4" s="23"/>
      <c r="B4" s="112"/>
      <c r="C4" s="112">
        <v>2015</v>
      </c>
      <c r="D4" s="113"/>
      <c r="E4" s="112"/>
      <c r="F4" s="116"/>
      <c r="G4" s="116">
        <v>2016</v>
      </c>
      <c r="H4" s="116" t="s">
        <v>121</v>
      </c>
      <c r="I4" s="1181">
        <v>2017</v>
      </c>
      <c r="J4" s="1181"/>
      <c r="K4" s="1181"/>
      <c r="L4" s="1179" t="s">
        <v>314</v>
      </c>
      <c r="M4" s="1179"/>
      <c r="N4" s="1180" t="s">
        <v>316</v>
      </c>
      <c r="O4" s="1180"/>
      <c r="P4" s="1181">
        <v>2018</v>
      </c>
      <c r="Q4" s="1181"/>
      <c r="R4" s="1181"/>
      <c r="S4" s="1179" t="s">
        <v>470</v>
      </c>
      <c r="T4" s="1179"/>
      <c r="U4" s="1180" t="s">
        <v>471</v>
      </c>
      <c r="V4" s="1180"/>
    </row>
    <row r="5" spans="1:22" x14ac:dyDescent="0.2">
      <c r="A5" s="23"/>
      <c r="B5" s="112" t="s">
        <v>218</v>
      </c>
      <c r="C5" s="112" t="s">
        <v>103</v>
      </c>
      <c r="D5" s="113">
        <v>2015</v>
      </c>
      <c r="E5" s="112" t="s">
        <v>104</v>
      </c>
      <c r="F5" s="116"/>
      <c r="G5" s="116" t="s">
        <v>103</v>
      </c>
      <c r="H5" s="116" t="s">
        <v>105</v>
      </c>
      <c r="I5" s="120" t="s">
        <v>309</v>
      </c>
      <c r="J5" s="120" t="s">
        <v>312</v>
      </c>
      <c r="K5" s="120" t="s">
        <v>299</v>
      </c>
      <c r="L5" s="123" t="s">
        <v>104</v>
      </c>
      <c r="M5" s="122"/>
      <c r="N5" s="124"/>
      <c r="O5" s="124"/>
      <c r="P5" s="120" t="s">
        <v>472</v>
      </c>
      <c r="Q5" s="120" t="s">
        <v>473</v>
      </c>
      <c r="R5" s="120" t="s">
        <v>398</v>
      </c>
      <c r="S5" s="123" t="s">
        <v>104</v>
      </c>
      <c r="T5" s="122"/>
      <c r="U5" s="124"/>
      <c r="V5" s="124"/>
    </row>
    <row r="6" spans="1:22" x14ac:dyDescent="0.2">
      <c r="A6" s="23" t="s">
        <v>106</v>
      </c>
      <c r="B6" s="114">
        <v>294.5</v>
      </c>
      <c r="C6" s="114">
        <v>13</v>
      </c>
      <c r="D6" s="115">
        <f>B6*C6</f>
        <v>3828.5</v>
      </c>
      <c r="E6" s="114"/>
      <c r="F6" s="117">
        <f>(D6+(E6*(C6*1.5)))</f>
        <v>3828.5</v>
      </c>
      <c r="G6" s="118">
        <v>13.25</v>
      </c>
      <c r="H6" s="119">
        <f>B6*G6</f>
        <v>3902.125</v>
      </c>
      <c r="I6" s="120">
        <v>91</v>
      </c>
      <c r="J6" s="120">
        <v>13.5</v>
      </c>
      <c r="K6" s="129">
        <f>I6*J6</f>
        <v>1228.5</v>
      </c>
      <c r="L6" s="122"/>
      <c r="M6" s="130">
        <f>K6</f>
        <v>1228.5</v>
      </c>
      <c r="N6" s="124">
        <v>50</v>
      </c>
      <c r="O6" s="131">
        <f>M6+N6</f>
        <v>1278.5</v>
      </c>
      <c r="P6" s="120">
        <v>43</v>
      </c>
      <c r="Q6" s="120">
        <v>13.5</v>
      </c>
      <c r="R6" s="129">
        <f>P6*Q6</f>
        <v>580.5</v>
      </c>
      <c r="S6" s="122"/>
      <c r="T6" s="130">
        <f>R6</f>
        <v>580.5</v>
      </c>
      <c r="U6" s="124"/>
      <c r="V6" s="131">
        <f>T6+U6</f>
        <v>580.5</v>
      </c>
    </row>
    <row r="7" spans="1:22" x14ac:dyDescent="0.2">
      <c r="A7" s="23" t="s">
        <v>108</v>
      </c>
      <c r="B7" s="114">
        <v>789</v>
      </c>
      <c r="C7" s="114">
        <v>11.5</v>
      </c>
      <c r="D7" s="115">
        <f>B7*C7</f>
        <v>9073.5</v>
      </c>
      <c r="E7" s="114">
        <v>29.5</v>
      </c>
      <c r="F7" s="117">
        <f>(D7+(E7*(C7*1.5)))</f>
        <v>9582.375</v>
      </c>
      <c r="G7" s="118">
        <v>11.75</v>
      </c>
      <c r="H7" s="119">
        <f>B7*G7</f>
        <v>9270.75</v>
      </c>
      <c r="I7" s="120">
        <v>777.75</v>
      </c>
      <c r="J7" s="120">
        <v>12</v>
      </c>
      <c r="K7" s="129">
        <f>I7*J7</f>
        <v>9333</v>
      </c>
      <c r="L7" s="122">
        <v>20.75</v>
      </c>
      <c r="M7" s="130">
        <f>((I7-L7)*J7)+(L7*(J7*1.5))</f>
        <v>9457.5</v>
      </c>
      <c r="N7" s="124">
        <v>200</v>
      </c>
      <c r="O7" s="131">
        <f t="shared" ref="O7:O12" si="0">M7+N7</f>
        <v>9657.5</v>
      </c>
      <c r="P7" s="120">
        <v>179</v>
      </c>
      <c r="Q7" s="120">
        <v>12.25</v>
      </c>
      <c r="R7" s="129">
        <f>P7*Q7</f>
        <v>2192.75</v>
      </c>
      <c r="S7" s="122"/>
      <c r="T7" s="130">
        <f>((P7-S7)*Q7)+(S7*(Q7*1.5))</f>
        <v>2192.75</v>
      </c>
      <c r="U7" s="124">
        <v>100</v>
      </c>
      <c r="V7" s="131">
        <f t="shared" ref="V7:V12" si="1">T7+U7</f>
        <v>2292.75</v>
      </c>
    </row>
    <row r="8" spans="1:22" x14ac:dyDescent="0.2">
      <c r="A8" s="23" t="s">
        <v>109</v>
      </c>
      <c r="B8" s="114">
        <v>85</v>
      </c>
      <c r="C8" s="114">
        <v>11.5</v>
      </c>
      <c r="D8" s="115">
        <f>B8*C8</f>
        <v>977.5</v>
      </c>
      <c r="E8" s="114"/>
      <c r="F8" s="117">
        <f>(D8+(E8*(C8*1.5)))</f>
        <v>977.5</v>
      </c>
      <c r="G8" s="118">
        <v>11.75</v>
      </c>
      <c r="H8" s="119">
        <f>B8*G8</f>
        <v>998.75</v>
      </c>
      <c r="I8" s="120"/>
      <c r="J8" s="120">
        <v>12</v>
      </c>
      <c r="K8" s="129">
        <f>I8*J8</f>
        <v>0</v>
      </c>
      <c r="L8" s="122"/>
      <c r="M8" s="130"/>
      <c r="N8" s="124"/>
      <c r="O8" s="131">
        <f t="shared" si="0"/>
        <v>0</v>
      </c>
      <c r="P8" s="120"/>
      <c r="Q8" s="120">
        <v>12</v>
      </c>
      <c r="R8" s="129">
        <f>P8*Q8</f>
        <v>0</v>
      </c>
      <c r="S8" s="122"/>
      <c r="T8" s="130"/>
      <c r="U8" s="124"/>
      <c r="V8" s="131">
        <f t="shared" si="1"/>
        <v>0</v>
      </c>
    </row>
    <row r="9" spans="1:22" x14ac:dyDescent="0.2">
      <c r="A9" s="23" t="s">
        <v>310</v>
      </c>
      <c r="B9" s="114"/>
      <c r="C9" s="114"/>
      <c r="D9" s="115"/>
      <c r="E9" s="114"/>
      <c r="F9" s="117"/>
      <c r="G9" s="118"/>
      <c r="H9" s="119"/>
      <c r="I9" s="120">
        <v>180.5</v>
      </c>
      <c r="J9" s="120">
        <v>12</v>
      </c>
      <c r="K9" s="129">
        <f>I9*J9</f>
        <v>2166</v>
      </c>
      <c r="L9" s="122"/>
      <c r="M9" s="130">
        <f>K9</f>
        <v>2166</v>
      </c>
      <c r="N9" s="124"/>
      <c r="O9" s="131">
        <f t="shared" si="0"/>
        <v>2166</v>
      </c>
      <c r="P9" s="120"/>
      <c r="Q9" s="120">
        <v>12</v>
      </c>
      <c r="R9" s="129">
        <f>P9*Q9</f>
        <v>0</v>
      </c>
      <c r="S9" s="122"/>
      <c r="T9" s="130">
        <f>R9</f>
        <v>0</v>
      </c>
      <c r="U9" s="124"/>
      <c r="V9" s="131">
        <f t="shared" si="1"/>
        <v>0</v>
      </c>
    </row>
    <row r="10" spans="1:22" x14ac:dyDescent="0.2">
      <c r="A10" s="23" t="s">
        <v>467</v>
      </c>
      <c r="B10" s="114"/>
      <c r="C10" s="114"/>
      <c r="D10" s="115"/>
      <c r="E10" s="114"/>
      <c r="F10" s="117"/>
      <c r="G10" s="118"/>
      <c r="H10" s="119"/>
      <c r="I10" s="120"/>
      <c r="J10" s="120"/>
      <c r="K10" s="129">
        <f>I10*J10</f>
        <v>0</v>
      </c>
      <c r="L10" s="122"/>
      <c r="M10" s="130"/>
      <c r="N10" s="124"/>
      <c r="O10" s="131">
        <f t="shared" si="0"/>
        <v>0</v>
      </c>
      <c r="P10" s="120">
        <v>537</v>
      </c>
      <c r="Q10" s="120">
        <v>10.5</v>
      </c>
      <c r="R10" s="129">
        <f>P10*Q10</f>
        <v>5638.5</v>
      </c>
      <c r="S10" s="122">
        <v>43</v>
      </c>
      <c r="T10" s="130">
        <f>R10+((Q10*1.5)*S10)</f>
        <v>6315.75</v>
      </c>
      <c r="U10" s="124">
        <v>100</v>
      </c>
      <c r="V10" s="131">
        <f t="shared" si="1"/>
        <v>6415.75</v>
      </c>
    </row>
    <row r="11" spans="1:22" x14ac:dyDescent="0.2">
      <c r="A11" s="23" t="s">
        <v>110</v>
      </c>
      <c r="B11" s="114">
        <v>76.25</v>
      </c>
      <c r="C11" s="114">
        <v>11.5</v>
      </c>
      <c r="D11" s="115">
        <f>B11*C11</f>
        <v>876.875</v>
      </c>
      <c r="E11" s="114"/>
      <c r="F11" s="117">
        <f>(D11+(E11*(C11*1.5)))</f>
        <v>876.875</v>
      </c>
      <c r="G11" s="118">
        <v>11.75</v>
      </c>
      <c r="H11" s="119">
        <f>B11*G11</f>
        <v>895.9375</v>
      </c>
      <c r="I11" s="120">
        <v>92.5</v>
      </c>
      <c r="J11" s="120">
        <v>12</v>
      </c>
      <c r="K11" s="129">
        <f t="shared" ref="K11" si="2">I11*J11</f>
        <v>1110</v>
      </c>
      <c r="L11" s="122"/>
      <c r="M11" s="130">
        <f>K11</f>
        <v>1110</v>
      </c>
      <c r="N11" s="124">
        <v>50</v>
      </c>
      <c r="O11" s="131">
        <f t="shared" si="0"/>
        <v>1160</v>
      </c>
      <c r="P11" s="120">
        <v>59</v>
      </c>
      <c r="Q11" s="120">
        <v>12.25</v>
      </c>
      <c r="R11" s="129">
        <f t="shared" ref="R11" si="3">P11*Q11</f>
        <v>722.75</v>
      </c>
      <c r="S11" s="122"/>
      <c r="T11" s="130">
        <f>R11</f>
        <v>722.75</v>
      </c>
      <c r="U11" s="124">
        <v>50</v>
      </c>
      <c r="V11" s="131">
        <f t="shared" si="1"/>
        <v>772.75</v>
      </c>
    </row>
    <row r="12" spans="1:22" x14ac:dyDescent="0.2">
      <c r="A12" s="23" t="s">
        <v>112</v>
      </c>
      <c r="B12" s="114">
        <v>704.75</v>
      </c>
      <c r="C12" s="114">
        <v>11.5</v>
      </c>
      <c r="D12" s="115">
        <f>B12*C12</f>
        <v>8104.625</v>
      </c>
      <c r="E12" s="114">
        <v>14</v>
      </c>
      <c r="F12" s="117">
        <f>(D12+(E12*(C12*1.5)))</f>
        <v>8346.125</v>
      </c>
      <c r="G12" s="118">
        <v>11.75</v>
      </c>
      <c r="H12" s="119">
        <f>B12*G12</f>
        <v>8280.8125</v>
      </c>
      <c r="I12" s="120">
        <v>772.5</v>
      </c>
      <c r="J12" s="120">
        <v>12</v>
      </c>
      <c r="K12" s="129">
        <f>I12*J12</f>
        <v>9270</v>
      </c>
      <c r="L12" s="122">
        <v>14.25</v>
      </c>
      <c r="M12" s="130">
        <f>((I12-L12)*J12)+(L12*(J12*1.5))</f>
        <v>9355.5</v>
      </c>
      <c r="N12" s="124">
        <v>200</v>
      </c>
      <c r="O12" s="131">
        <f t="shared" si="0"/>
        <v>9555.5</v>
      </c>
      <c r="P12" s="120">
        <v>874</v>
      </c>
      <c r="Q12" s="120">
        <v>12.25</v>
      </c>
      <c r="R12" s="129">
        <f>P12*Q12</f>
        <v>10706.5</v>
      </c>
      <c r="S12" s="122">
        <v>89</v>
      </c>
      <c r="T12" s="130">
        <f>R12+((Q12*1.5)*S12)</f>
        <v>12341.875</v>
      </c>
      <c r="U12" s="124">
        <v>250</v>
      </c>
      <c r="V12" s="131">
        <f t="shared" si="1"/>
        <v>12591.875</v>
      </c>
    </row>
    <row r="13" spans="1:22" x14ac:dyDescent="0.2">
      <c r="A13" s="23" t="s">
        <v>311</v>
      </c>
      <c r="B13" s="114"/>
      <c r="C13" s="114"/>
      <c r="D13" s="115">
        <f>SUM(D6:D12)</f>
        <v>22861</v>
      </c>
      <c r="E13" s="114"/>
      <c r="F13" s="117">
        <f>SUM(F6:F12)</f>
        <v>23611.375</v>
      </c>
      <c r="G13" s="118"/>
      <c r="H13" s="119">
        <f>SUM(H6:H12)</f>
        <v>23348.375</v>
      </c>
      <c r="I13" s="121">
        <f>SUM(I6:I12)</f>
        <v>1914.25</v>
      </c>
      <c r="J13" s="120"/>
      <c r="K13" s="129">
        <f>SUM(K6:K12)</f>
        <v>23107.5</v>
      </c>
      <c r="L13" s="122"/>
      <c r="M13" s="130">
        <f>SUM(M5:M12)</f>
        <v>23317.5</v>
      </c>
      <c r="N13" s="124"/>
      <c r="O13" s="131">
        <f>SUM(O6:O12)</f>
        <v>23817.5</v>
      </c>
      <c r="P13" s="121">
        <f>SUM(P6:P12)</f>
        <v>1692</v>
      </c>
      <c r="Q13" s="120"/>
      <c r="R13" s="129">
        <f>SUM(R6:R12)</f>
        <v>19841</v>
      </c>
      <c r="S13" s="122"/>
      <c r="T13" s="130">
        <f>SUM(T5:T12)</f>
        <v>22153.625</v>
      </c>
      <c r="U13" s="124"/>
      <c r="V13" s="131">
        <f>SUM(V6:V12)</f>
        <v>22653.625</v>
      </c>
    </row>
    <row r="14" spans="1:22" x14ac:dyDescent="0.2">
      <c r="A14" s="23"/>
      <c r="B14" s="114"/>
      <c r="C14" s="114"/>
      <c r="D14" s="115"/>
      <c r="E14" s="114"/>
      <c r="F14" s="118"/>
      <c r="G14" s="118"/>
      <c r="H14" s="118"/>
      <c r="I14" s="120"/>
      <c r="J14" s="120"/>
      <c r="K14" s="129"/>
      <c r="L14" s="122"/>
      <c r="M14" s="122"/>
      <c r="N14" s="124"/>
      <c r="O14" s="131"/>
      <c r="P14" s="120"/>
      <c r="Q14" s="120"/>
      <c r="R14" s="129"/>
      <c r="S14" s="122"/>
      <c r="T14" s="122"/>
      <c r="U14" s="124"/>
      <c r="V14" s="131"/>
    </row>
    <row r="15" spans="1:22" x14ac:dyDescent="0.2">
      <c r="A15" s="23"/>
      <c r="B15" s="114"/>
      <c r="C15" s="114"/>
      <c r="D15" s="115"/>
      <c r="E15" s="114"/>
      <c r="F15" s="118"/>
      <c r="G15" s="118"/>
      <c r="H15" s="118"/>
      <c r="I15" s="120"/>
      <c r="J15" s="120"/>
      <c r="K15" s="129"/>
      <c r="L15" s="1179" t="s">
        <v>317</v>
      </c>
      <c r="M15" s="1179"/>
      <c r="N15" s="124"/>
      <c r="O15" s="131"/>
      <c r="P15" s="120"/>
      <c r="Q15" s="120"/>
      <c r="R15" s="129"/>
      <c r="S15" s="1179" t="s">
        <v>317</v>
      </c>
      <c r="T15" s="1179"/>
      <c r="U15" s="124"/>
      <c r="V15" s="131"/>
    </row>
    <row r="16" spans="1:22" x14ac:dyDescent="0.2">
      <c r="A16" s="23" t="s">
        <v>315</v>
      </c>
      <c r="B16" s="114"/>
      <c r="C16" s="114"/>
      <c r="D16" s="115"/>
      <c r="E16" s="114"/>
      <c r="F16" s="118"/>
      <c r="G16" s="118"/>
      <c r="H16" s="118"/>
      <c r="I16" s="120">
        <v>337.5</v>
      </c>
      <c r="J16" s="120">
        <v>23</v>
      </c>
      <c r="K16" s="129">
        <f>600*J16</f>
        <v>13800</v>
      </c>
      <c r="L16" s="132">
        <v>600</v>
      </c>
      <c r="M16" s="122">
        <f>L16*J16</f>
        <v>13800</v>
      </c>
      <c r="N16" s="124">
        <v>200</v>
      </c>
      <c r="O16" s="131">
        <f t="shared" ref="O16:O17" si="4">M16+N16</f>
        <v>14000</v>
      </c>
      <c r="P16" s="120">
        <v>337.5</v>
      </c>
      <c r="Q16" s="120">
        <v>23</v>
      </c>
      <c r="R16" s="129">
        <f>600*Q16</f>
        <v>13800</v>
      </c>
      <c r="S16" s="132">
        <v>600</v>
      </c>
      <c r="T16" s="122">
        <f>S16*Q16</f>
        <v>13800</v>
      </c>
      <c r="U16" s="124">
        <v>200</v>
      </c>
      <c r="V16" s="131">
        <f t="shared" ref="V16:V17" si="5">T16+U16</f>
        <v>14000</v>
      </c>
    </row>
    <row r="17" spans="1:22" x14ac:dyDescent="0.2">
      <c r="A17" s="23" t="s">
        <v>313</v>
      </c>
      <c r="B17" s="114">
        <v>240.5</v>
      </c>
      <c r="C17" s="114">
        <v>10</v>
      </c>
      <c r="D17" s="115">
        <f>B17*C17</f>
        <v>2405</v>
      </c>
      <c r="E17" s="114"/>
      <c r="F17" s="118">
        <v>640</v>
      </c>
      <c r="G17" s="118">
        <v>10.5</v>
      </c>
      <c r="H17" s="119">
        <f>F17*G17</f>
        <v>6720</v>
      </c>
      <c r="I17" s="120">
        <v>444.5</v>
      </c>
      <c r="J17" s="120">
        <v>20</v>
      </c>
      <c r="K17" s="129">
        <f>I17*J17</f>
        <v>8890</v>
      </c>
      <c r="L17" s="105">
        <v>550</v>
      </c>
      <c r="M17" s="122">
        <f>J17*L17</f>
        <v>11000</v>
      </c>
      <c r="N17" s="124">
        <v>200</v>
      </c>
      <c r="O17" s="131">
        <f t="shared" si="4"/>
        <v>11200</v>
      </c>
      <c r="P17" s="120">
        <v>444.5</v>
      </c>
      <c r="Q17" s="120">
        <v>20</v>
      </c>
      <c r="R17" s="129">
        <f>P17*Q17</f>
        <v>8890</v>
      </c>
      <c r="S17" s="105">
        <v>550</v>
      </c>
      <c r="T17" s="122">
        <f>Q17*S17</f>
        <v>11000</v>
      </c>
      <c r="U17" s="124">
        <v>200</v>
      </c>
      <c r="V17" s="131">
        <f t="shared" si="5"/>
        <v>11200</v>
      </c>
    </row>
    <row r="18" spans="1:22" x14ac:dyDescent="0.2">
      <c r="A18" s="23"/>
      <c r="B18" s="23"/>
      <c r="C18" s="23"/>
      <c r="D18" s="111"/>
      <c r="E18" s="23"/>
      <c r="F18" s="23"/>
      <c r="G18" s="23"/>
      <c r="H18" s="23"/>
    </row>
    <row r="19" spans="1:22" x14ac:dyDescent="0.2">
      <c r="A19" s="23"/>
      <c r="B19" s="23"/>
      <c r="C19" s="23"/>
      <c r="D19" s="111"/>
      <c r="E19" s="23"/>
      <c r="F19" s="23"/>
      <c r="G19" s="23"/>
      <c r="H19" s="23"/>
    </row>
    <row r="20" spans="1:22" x14ac:dyDescent="0.2">
      <c r="O20" s="1175" t="s">
        <v>326</v>
      </c>
      <c r="P20" s="1175"/>
      <c r="Q20" s="1175"/>
      <c r="R20" s="1175"/>
      <c r="S20" s="1175"/>
      <c r="T20" s="1175"/>
      <c r="U20" s="1175"/>
    </row>
    <row r="21" spans="1:22" ht="14.5" customHeight="1" x14ac:dyDescent="0.2">
      <c r="B21" s="2" t="s">
        <v>469</v>
      </c>
      <c r="C21" s="2" t="s">
        <v>104</v>
      </c>
      <c r="O21" s="1176" t="s">
        <v>327</v>
      </c>
      <c r="P21" s="1177"/>
      <c r="Q21" s="1177"/>
      <c r="R21" s="1177"/>
      <c r="S21" s="1177"/>
      <c r="T21" s="1177"/>
      <c r="U21" s="1177"/>
    </row>
    <row r="22" spans="1:22" x14ac:dyDescent="0.2">
      <c r="A22" s="2" t="s">
        <v>108</v>
      </c>
      <c r="B22" s="2">
        <v>179</v>
      </c>
      <c r="O22" s="1177"/>
      <c r="P22" s="1177"/>
      <c r="Q22" s="1177"/>
      <c r="R22" s="1177"/>
      <c r="S22" s="1177"/>
      <c r="T22" s="1177"/>
      <c r="U22" s="1177"/>
    </row>
    <row r="23" spans="1:22" x14ac:dyDescent="0.2">
      <c r="A23" s="2" t="s">
        <v>466</v>
      </c>
      <c r="B23" s="2">
        <v>874</v>
      </c>
      <c r="C23" s="2">
        <v>89</v>
      </c>
    </row>
    <row r="24" spans="1:22" x14ac:dyDescent="0.2">
      <c r="A24" s="2" t="s">
        <v>467</v>
      </c>
      <c r="B24" s="2">
        <v>537</v>
      </c>
      <c r="C24" s="2">
        <v>43</v>
      </c>
    </row>
    <row r="25" spans="1:22" x14ac:dyDescent="0.2">
      <c r="A25" s="2" t="s">
        <v>106</v>
      </c>
      <c r="B25" s="2">
        <v>43</v>
      </c>
    </row>
    <row r="26" spans="1:22" x14ac:dyDescent="0.2">
      <c r="A26" s="2" t="s">
        <v>468</v>
      </c>
      <c r="B26" s="2">
        <v>59</v>
      </c>
    </row>
    <row r="27" spans="1:22" x14ac:dyDescent="0.2">
      <c r="B27" s="2">
        <f>SUM(B22:B26)</f>
        <v>1692</v>
      </c>
      <c r="C27" s="2">
        <f>SUM(C22:C26)</f>
        <v>132</v>
      </c>
    </row>
  </sheetData>
  <mergeCells count="11">
    <mergeCell ref="O20:U20"/>
    <mergeCell ref="O21:U22"/>
    <mergeCell ref="A3:K3"/>
    <mergeCell ref="L4:M4"/>
    <mergeCell ref="N4:O4"/>
    <mergeCell ref="I4:K4"/>
    <mergeCell ref="L15:M15"/>
    <mergeCell ref="P4:R4"/>
    <mergeCell ref="S4:T4"/>
    <mergeCell ref="U4:V4"/>
    <mergeCell ref="S15:T15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X53"/>
  <sheetViews>
    <sheetView zoomScale="120" zoomScaleNormal="120" workbookViewId="0">
      <pane xSplit="20" ySplit="2" topLeftCell="U3" activePane="bottomRight" state="frozen"/>
      <selection activeCell="C5" sqref="C5"/>
      <selection pane="topRight" activeCell="C5" sqref="C5"/>
      <selection pane="bottomLeft" activeCell="C5" sqref="C5"/>
      <selection pane="bottomRight" activeCell="AB42" sqref="AB42"/>
    </sheetView>
  </sheetViews>
  <sheetFormatPr baseColWidth="10" defaultColWidth="7.83203125" defaultRowHeight="15" x14ac:dyDescent="0.2"/>
  <cols>
    <col min="1" max="1" width="29.33203125" style="613" customWidth="1"/>
    <col min="2" max="4" width="7.83203125" style="613" hidden="1" customWidth="1"/>
    <col min="5" max="5" width="0.5" style="613" hidden="1" customWidth="1"/>
    <col min="6" max="6" width="9.5" style="613" hidden="1" customWidth="1"/>
    <col min="7" max="7" width="10.1640625" style="613" hidden="1" customWidth="1"/>
    <col min="8" max="8" width="9.1640625" style="613" hidden="1" customWidth="1"/>
    <col min="9" max="13" width="8" style="613" hidden="1" customWidth="1"/>
    <col min="14" max="14" width="10.1640625" style="613" hidden="1" customWidth="1"/>
    <col min="15" max="16" width="8" style="613" hidden="1" customWidth="1"/>
    <col min="17" max="20" width="10.1640625" style="613" hidden="1" customWidth="1"/>
    <col min="21" max="25" width="8.33203125" style="613" customWidth="1"/>
    <col min="26" max="26" width="9" style="613" customWidth="1"/>
    <col min="27" max="29" width="8.33203125" style="613" customWidth="1"/>
    <col min="30" max="32" width="7.83203125" style="613" hidden="1" customWidth="1"/>
    <col min="33" max="33" width="0.5" style="613" hidden="1" customWidth="1"/>
    <col min="34" max="34" width="8" style="625" hidden="1" customWidth="1"/>
    <col min="35" max="35" width="12.1640625" style="613" hidden="1" customWidth="1"/>
    <col min="36" max="36" width="8" style="625" hidden="1" customWidth="1"/>
    <col min="37" max="37" width="11.1640625" style="625" hidden="1" customWidth="1"/>
    <col min="38" max="48" width="8" style="625" hidden="1" customWidth="1"/>
    <col min="49" max="57" width="8.33203125" style="625" customWidth="1"/>
    <col min="58" max="60" width="7.83203125" style="613" hidden="1" customWidth="1"/>
    <col min="61" max="61" width="0.83203125" style="613" hidden="1" customWidth="1"/>
    <col min="62" max="62" width="8.1640625" style="625" hidden="1" customWidth="1"/>
    <col min="63" max="63" width="7.83203125" style="613" hidden="1" customWidth="1"/>
    <col min="64" max="65" width="9.1640625" style="625" hidden="1" customWidth="1"/>
    <col min="66" max="67" width="10.1640625" style="625" hidden="1" customWidth="1"/>
    <col min="68" max="69" width="10.1640625" style="624" hidden="1" customWidth="1"/>
    <col min="70" max="70" width="9.1640625" style="624" hidden="1" customWidth="1"/>
    <col min="71" max="72" width="10.1640625" style="624" hidden="1" customWidth="1"/>
    <col min="73" max="76" width="9.1640625" style="624" hidden="1" customWidth="1"/>
    <col min="77" max="79" width="8.33203125" style="625" customWidth="1"/>
    <col min="80" max="85" width="8.33203125" style="626" customWidth="1"/>
    <col min="86" max="88" width="7.83203125" style="613" hidden="1" customWidth="1"/>
    <col min="89" max="89" width="8" style="625" hidden="1" customWidth="1"/>
    <col min="90" max="90" width="7.83203125" style="613" hidden="1" customWidth="1"/>
    <col min="91" max="92" width="8" style="625" hidden="1" customWidth="1"/>
    <col min="93" max="93" width="9.5" style="625" hidden="1" customWidth="1"/>
    <col min="94" max="100" width="8" style="625" hidden="1" customWidth="1"/>
    <col min="101" max="101" width="10.5" style="624" hidden="1" customWidth="1"/>
    <col min="102" max="102" width="8.83203125" style="624" hidden="1" customWidth="1"/>
    <col min="103" max="103" width="8" style="624" hidden="1" customWidth="1"/>
    <col min="104" max="112" width="8.33203125" style="625" customWidth="1"/>
    <col min="113" max="115" width="7.83203125" style="613" hidden="1" customWidth="1"/>
    <col min="116" max="116" width="8.1640625" style="625" hidden="1" customWidth="1"/>
    <col min="117" max="117" width="12.83203125" style="613" hidden="1" customWidth="1"/>
    <col min="118" max="118" width="8.1640625" style="625" hidden="1" customWidth="1"/>
    <col min="119" max="119" width="10" style="613" hidden="1" customWidth="1"/>
    <col min="120" max="120" width="8.83203125" style="613" hidden="1" customWidth="1"/>
    <col min="121" max="121" width="7.83203125" style="613" hidden="1" customWidth="1"/>
    <col min="122" max="122" width="10" style="613" hidden="1" customWidth="1"/>
    <col min="123" max="123" width="7.83203125" style="613" hidden="1" customWidth="1"/>
    <col min="124" max="124" width="9.5" style="613" hidden="1" customWidth="1"/>
    <col min="125" max="125" width="10" style="613" hidden="1" customWidth="1"/>
    <col min="126" max="126" width="7.83203125" style="613" hidden="1" customWidth="1"/>
    <col min="127" max="127" width="9.5" style="613" hidden="1" customWidth="1"/>
    <col min="128" max="130" width="9.5" style="627" hidden="1" customWidth="1"/>
    <col min="131" max="139" width="8.33203125" style="613" customWidth="1"/>
    <col min="140" max="140" width="18.83203125" style="613" customWidth="1"/>
    <col min="141" max="141" width="10.83203125" style="613" customWidth="1"/>
    <col min="142" max="144" width="7.83203125" style="613"/>
    <col min="145" max="145" width="13.5" style="613" customWidth="1"/>
    <col min="146" max="148" width="7.83203125" style="613"/>
    <col min="149" max="149" width="9" style="613" bestFit="1" customWidth="1"/>
    <col min="150" max="150" width="10" style="613" bestFit="1" customWidth="1"/>
    <col min="151" max="16384" width="7.83203125" style="613"/>
  </cols>
  <sheetData>
    <row r="1" spans="1:154" x14ac:dyDescent="0.2">
      <c r="A1" s="898"/>
      <c r="C1" s="614"/>
      <c r="D1" s="615"/>
      <c r="E1" s="615"/>
      <c r="F1"/>
      <c r="G1"/>
      <c r="H1"/>
      <c r="I1" s="616"/>
      <c r="J1" s="616"/>
      <c r="K1" s="616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6"/>
      <c r="Y1" s="616"/>
      <c r="Z1" s="616"/>
      <c r="AA1" s="616"/>
      <c r="AB1" s="616"/>
      <c r="AC1" s="616"/>
      <c r="AH1" s="618"/>
      <c r="AI1" s="619"/>
      <c r="AJ1" s="618"/>
      <c r="AK1" s="618"/>
      <c r="AL1" s="618"/>
      <c r="AM1" s="618"/>
      <c r="AN1" s="620"/>
      <c r="AO1" s="620"/>
      <c r="AP1" s="620"/>
      <c r="AQ1" s="620"/>
      <c r="AR1" s="620"/>
      <c r="AS1" s="620"/>
      <c r="AT1" s="621"/>
      <c r="AU1" s="621"/>
      <c r="AV1" s="621"/>
      <c r="AW1" s="620"/>
      <c r="AX1" s="620"/>
      <c r="AY1" s="620"/>
      <c r="AZ1" s="618"/>
      <c r="BA1" s="618"/>
      <c r="BB1" s="618"/>
      <c r="BC1" s="618"/>
      <c r="BD1" s="618"/>
      <c r="BE1" s="618"/>
      <c r="BG1" s="614"/>
      <c r="BH1" s="615"/>
      <c r="BI1" s="615"/>
      <c r="BJ1" s="622"/>
      <c r="BK1" s="623"/>
      <c r="BL1" s="622"/>
      <c r="BM1" s="622"/>
      <c r="BN1" s="622"/>
      <c r="BO1" s="622"/>
      <c r="CI1" s="614"/>
      <c r="CJ1" s="615"/>
      <c r="CK1" s="622"/>
      <c r="CL1" s="623"/>
      <c r="CM1" s="622"/>
      <c r="CN1" s="622"/>
      <c r="CO1" s="622"/>
      <c r="CP1" s="622"/>
      <c r="DC1" s="622"/>
      <c r="DD1" s="622"/>
      <c r="DE1" s="622"/>
      <c r="DF1" s="622"/>
      <c r="DG1" s="622"/>
      <c r="DH1" s="622"/>
      <c r="DJ1" s="614"/>
      <c r="DK1" s="615"/>
      <c r="DL1" s="622"/>
      <c r="DM1" s="623"/>
      <c r="DN1" s="622"/>
    </row>
    <row r="2" spans="1:154" ht="24" x14ac:dyDescent="0.2">
      <c r="B2" s="1187" t="s">
        <v>4</v>
      </c>
      <c r="C2" s="1187"/>
      <c r="D2" s="1187"/>
      <c r="E2" s="1187"/>
      <c r="F2" s="1187"/>
      <c r="G2" s="1187"/>
      <c r="H2" s="1187"/>
      <c r="I2" s="1187"/>
      <c r="J2" s="1187"/>
      <c r="K2" s="1187"/>
      <c r="L2" s="1187"/>
      <c r="M2" s="1187"/>
      <c r="N2" s="1187"/>
      <c r="O2" s="1187"/>
      <c r="P2" s="1187"/>
      <c r="Q2" s="1187"/>
      <c r="R2" s="1187"/>
      <c r="S2" s="1187"/>
      <c r="T2" s="1187"/>
      <c r="U2" s="1187"/>
      <c r="V2" s="1187"/>
      <c r="W2" s="1187"/>
      <c r="X2" s="1187"/>
      <c r="Y2" s="1187"/>
      <c r="Z2" s="1187"/>
      <c r="AA2" s="1187"/>
      <c r="AB2" s="1187"/>
      <c r="AC2" s="1187"/>
      <c r="AD2" s="1187"/>
      <c r="AE2" s="1187"/>
      <c r="AF2" s="1187"/>
      <c r="AG2" s="1187"/>
      <c r="AH2" s="1187"/>
      <c r="AI2" s="1187"/>
      <c r="AJ2" s="1187"/>
      <c r="AK2" s="1187"/>
      <c r="AL2" s="1187"/>
      <c r="AM2" s="1187"/>
      <c r="AN2" s="1187"/>
      <c r="AO2" s="1187"/>
      <c r="AP2" s="1187"/>
      <c r="AQ2" s="1187"/>
      <c r="AR2" s="1187"/>
      <c r="AS2" s="1187"/>
      <c r="AT2" s="1187"/>
      <c r="AU2" s="1187"/>
      <c r="AV2" s="1187"/>
      <c r="AW2" s="1187"/>
      <c r="AX2" s="1187"/>
      <c r="AY2" s="1187"/>
      <c r="AZ2" s="1187"/>
      <c r="BA2" s="1187"/>
      <c r="BB2" s="1187"/>
      <c r="BC2" s="1187"/>
      <c r="BD2" s="1187"/>
      <c r="BE2" s="1187"/>
      <c r="BF2" s="1187"/>
      <c r="BG2" s="1187"/>
      <c r="BH2" s="1187"/>
      <c r="BI2" s="1187"/>
      <c r="BJ2" s="1187"/>
      <c r="BK2" s="1187"/>
      <c r="BL2" s="1187"/>
      <c r="BM2" s="1187"/>
      <c r="BN2" s="1187"/>
      <c r="BO2" s="1187"/>
      <c r="BP2" s="1187"/>
      <c r="BQ2" s="1187"/>
      <c r="BR2" s="1187"/>
      <c r="BS2" s="1187"/>
      <c r="BT2" s="1187"/>
      <c r="BU2" s="1187"/>
      <c r="BV2" s="1187"/>
      <c r="BW2" s="1187"/>
      <c r="BX2" s="1187"/>
      <c r="BY2" s="1187"/>
      <c r="BZ2" s="1187"/>
      <c r="CA2" s="1187"/>
      <c r="CB2" s="1187"/>
      <c r="CC2" s="1187"/>
      <c r="CD2" s="1187"/>
      <c r="CE2" s="1187"/>
      <c r="CF2" s="1187"/>
      <c r="CG2" s="1187"/>
      <c r="CH2" s="632"/>
      <c r="CI2" s="632"/>
      <c r="CJ2" s="632"/>
      <c r="CK2" s="1188" t="s">
        <v>1494</v>
      </c>
      <c r="CL2" s="1188"/>
      <c r="CM2" s="1188"/>
      <c r="CN2" s="1188"/>
      <c r="CO2" s="1188"/>
      <c r="CP2" s="1188"/>
      <c r="CQ2" s="1188"/>
      <c r="CR2" s="1188"/>
      <c r="CS2" s="1188"/>
      <c r="CT2" s="1188"/>
      <c r="CU2" s="1188"/>
      <c r="CV2" s="1188"/>
      <c r="CW2" s="1188"/>
      <c r="CX2" s="1188"/>
      <c r="CY2" s="1188"/>
      <c r="CZ2" s="1188"/>
      <c r="DA2" s="1188"/>
      <c r="DB2" s="1188"/>
      <c r="DC2" s="1188"/>
      <c r="DD2" s="1188"/>
      <c r="DE2" s="1188"/>
      <c r="DF2" s="1188"/>
      <c r="DG2" s="1188"/>
      <c r="DH2" s="1188"/>
      <c r="DI2" s="1188"/>
      <c r="DJ2" s="1188"/>
      <c r="DK2" s="1188"/>
      <c r="DL2" s="1188"/>
      <c r="DM2" s="1188"/>
      <c r="DN2" s="1188"/>
      <c r="DO2" s="1188"/>
      <c r="DP2" s="1188"/>
      <c r="DQ2" s="1188"/>
      <c r="DR2" s="1188"/>
      <c r="DS2" s="1188"/>
      <c r="DT2" s="1188"/>
      <c r="DU2" s="1188"/>
      <c r="DV2" s="1188"/>
      <c r="DW2" s="1188"/>
      <c r="DX2" s="1188"/>
      <c r="DY2" s="1188"/>
      <c r="DZ2" s="1188"/>
      <c r="EA2" s="1188"/>
      <c r="EB2" s="1188"/>
      <c r="EC2" s="1188"/>
      <c r="ED2" s="1188"/>
      <c r="EE2" s="1188"/>
      <c r="EF2" s="1188"/>
      <c r="EG2" s="1188"/>
      <c r="EH2" s="1188"/>
      <c r="EI2" s="1188"/>
    </row>
    <row r="3" spans="1:154" x14ac:dyDescent="0.2">
      <c r="A3" s="899" t="s">
        <v>70</v>
      </c>
      <c r="B3" s="1189" t="s">
        <v>71</v>
      </c>
      <c r="C3" s="1189"/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635"/>
      <c r="Y3" s="635"/>
      <c r="Z3" s="635"/>
      <c r="AA3" s="635"/>
      <c r="AB3" s="635"/>
      <c r="AC3" s="635"/>
      <c r="AD3" s="1189" t="s">
        <v>726</v>
      </c>
      <c r="AE3" s="1189"/>
      <c r="AF3" s="1189"/>
      <c r="AG3" s="1189"/>
      <c r="AH3" s="1189"/>
      <c r="AI3" s="1189"/>
      <c r="AJ3" s="1189"/>
      <c r="AK3" s="1189"/>
      <c r="AL3" s="1189"/>
      <c r="AM3" s="1189"/>
      <c r="AN3" s="1189"/>
      <c r="AO3" s="1189"/>
      <c r="AP3" s="1189"/>
      <c r="AQ3" s="1189"/>
      <c r="AR3" s="1189"/>
      <c r="AS3" s="1189"/>
      <c r="AT3" s="1189"/>
      <c r="AU3" s="1189"/>
      <c r="AV3" s="1189"/>
      <c r="AW3" s="1189"/>
      <c r="AX3" s="1189"/>
      <c r="AY3" s="1189"/>
      <c r="AZ3" s="635"/>
      <c r="BA3" s="635"/>
      <c r="BB3" s="635"/>
      <c r="BC3" s="635"/>
      <c r="BD3" s="635"/>
      <c r="BE3" s="635"/>
      <c r="BF3" s="1189" t="s">
        <v>95</v>
      </c>
      <c r="BG3" s="1189"/>
      <c r="BH3" s="1189"/>
      <c r="BI3" s="1189"/>
      <c r="BJ3" s="1189"/>
      <c r="BK3" s="1189"/>
      <c r="BL3" s="1189"/>
      <c r="BM3" s="1189"/>
      <c r="BN3" s="1189"/>
      <c r="BO3" s="1189"/>
      <c r="BP3" s="1189"/>
      <c r="BQ3" s="1189"/>
      <c r="BR3" s="1189"/>
      <c r="BS3" s="1189"/>
      <c r="BT3" s="1189"/>
      <c r="BU3" s="1189"/>
      <c r="BV3" s="1189"/>
      <c r="BW3" s="1189"/>
      <c r="BX3" s="1189"/>
      <c r="BY3" s="1189"/>
      <c r="BZ3" s="1189"/>
      <c r="CA3" s="1189"/>
      <c r="CB3" s="635"/>
      <c r="CC3" s="635"/>
      <c r="CD3" s="635"/>
      <c r="CE3" s="635"/>
      <c r="CF3" s="635"/>
      <c r="CG3" s="635"/>
      <c r="CH3" s="1186" t="s">
        <v>19</v>
      </c>
      <c r="CI3" s="1186"/>
      <c r="CJ3" s="1186"/>
      <c r="CK3" s="1186"/>
      <c r="CL3" s="1186"/>
      <c r="CM3" s="1186"/>
      <c r="CN3" s="1186"/>
      <c r="CO3" s="1186"/>
      <c r="CP3" s="1186"/>
      <c r="CQ3" s="1186"/>
      <c r="CR3" s="1186"/>
      <c r="CS3" s="1186"/>
      <c r="CT3" s="1186"/>
      <c r="CU3" s="1186"/>
      <c r="CV3" s="1186"/>
      <c r="CW3" s="1186"/>
      <c r="CX3" s="1186"/>
      <c r="CY3" s="1186"/>
      <c r="CZ3" s="1186"/>
      <c r="DA3" s="1186"/>
      <c r="DB3" s="1186"/>
      <c r="DC3" s="636"/>
      <c r="DD3" s="636"/>
      <c r="DE3" s="636"/>
      <c r="DF3" s="636"/>
      <c r="DG3" s="636"/>
      <c r="DH3" s="636"/>
      <c r="DI3" s="1186" t="s">
        <v>21</v>
      </c>
      <c r="DJ3" s="1186"/>
      <c r="DK3" s="1186"/>
      <c r="DL3" s="1186"/>
      <c r="DM3" s="1186"/>
      <c r="DN3" s="1186"/>
      <c r="DO3" s="1186"/>
      <c r="DP3" s="1186"/>
      <c r="DQ3" s="1186"/>
      <c r="DR3" s="1186"/>
      <c r="DS3" s="1186"/>
      <c r="DT3" s="1186"/>
      <c r="DU3" s="1186"/>
      <c r="DV3" s="1186"/>
      <c r="DW3" s="1186"/>
      <c r="DX3" s="1186"/>
      <c r="DY3" s="1186"/>
      <c r="DZ3" s="633"/>
      <c r="EA3" s="634"/>
      <c r="EB3" s="634"/>
      <c r="EC3" s="634"/>
      <c r="ED3" s="636"/>
      <c r="EE3" s="636"/>
      <c r="EF3" s="636"/>
      <c r="EG3" s="636"/>
      <c r="EH3" s="636"/>
      <c r="EI3" s="636"/>
      <c r="EJ3" s="625">
        <f>W5+W6+AY5+AY6+CA5+CA6+DB5+DB6+EC5+EC6</f>
        <v>77272</v>
      </c>
    </row>
    <row r="4" spans="1:154" s="652" customFormat="1" ht="32" x14ac:dyDescent="0.2">
      <c r="A4" s="900"/>
      <c r="B4" s="637" t="s">
        <v>11</v>
      </c>
      <c r="C4" s="638" t="s">
        <v>73</v>
      </c>
      <c r="D4" s="637" t="s">
        <v>74</v>
      </c>
      <c r="E4" s="639"/>
      <c r="F4" s="640" t="s">
        <v>17</v>
      </c>
      <c r="G4" s="640" t="s">
        <v>186</v>
      </c>
      <c r="H4" s="640" t="s">
        <v>187</v>
      </c>
      <c r="I4" s="640" t="s">
        <v>299</v>
      </c>
      <c r="J4" s="640" t="s">
        <v>300</v>
      </c>
      <c r="K4" s="640" t="s">
        <v>301</v>
      </c>
      <c r="L4" s="640" t="s">
        <v>398</v>
      </c>
      <c r="M4" s="640" t="s">
        <v>399</v>
      </c>
      <c r="N4" s="640" t="s">
        <v>400</v>
      </c>
      <c r="O4" s="640" t="s">
        <v>511</v>
      </c>
      <c r="P4" s="640" t="s">
        <v>512</v>
      </c>
      <c r="Q4" s="640" t="s">
        <v>513</v>
      </c>
      <c r="R4" s="641" t="s">
        <v>592</v>
      </c>
      <c r="S4" s="641" t="s">
        <v>671</v>
      </c>
      <c r="T4" s="641" t="s">
        <v>672</v>
      </c>
      <c r="U4" s="640" t="s">
        <v>689</v>
      </c>
      <c r="V4" s="640" t="s">
        <v>717</v>
      </c>
      <c r="W4" s="640" t="s">
        <v>718</v>
      </c>
      <c r="X4" s="642" t="s">
        <v>1197</v>
      </c>
      <c r="Y4" s="641" t="s">
        <v>1209</v>
      </c>
      <c r="Z4" s="641" t="s">
        <v>1210</v>
      </c>
      <c r="AA4" s="642" t="s">
        <v>1414</v>
      </c>
      <c r="AB4" s="641" t="s">
        <v>1495</v>
      </c>
      <c r="AC4" s="641" t="s">
        <v>1435</v>
      </c>
      <c r="AD4" s="639" t="s">
        <v>11</v>
      </c>
      <c r="AE4" s="639" t="s">
        <v>75</v>
      </c>
      <c r="AF4" s="639" t="s">
        <v>76</v>
      </c>
      <c r="AG4" s="639"/>
      <c r="AH4" s="643" t="s">
        <v>17</v>
      </c>
      <c r="AI4" s="640" t="s">
        <v>186</v>
      </c>
      <c r="AJ4" s="643" t="s">
        <v>187</v>
      </c>
      <c r="AK4" s="643" t="s">
        <v>270</v>
      </c>
      <c r="AL4" s="640" t="s">
        <v>300</v>
      </c>
      <c r="AM4" s="643" t="s">
        <v>301</v>
      </c>
      <c r="AN4" s="643" t="s">
        <v>397</v>
      </c>
      <c r="AO4" s="640" t="s">
        <v>399</v>
      </c>
      <c r="AP4" s="643" t="s">
        <v>400</v>
      </c>
      <c r="AQ4" s="643" t="s">
        <v>497</v>
      </c>
      <c r="AR4" s="640" t="s">
        <v>512</v>
      </c>
      <c r="AS4" s="643" t="s">
        <v>513</v>
      </c>
      <c r="AT4" s="644" t="s">
        <v>667</v>
      </c>
      <c r="AU4" s="641" t="s">
        <v>671</v>
      </c>
      <c r="AV4" s="644" t="s">
        <v>672</v>
      </c>
      <c r="AW4" s="643" t="s">
        <v>719</v>
      </c>
      <c r="AX4" s="640" t="s">
        <v>717</v>
      </c>
      <c r="AY4" s="643" t="s">
        <v>718</v>
      </c>
      <c r="AZ4" s="645" t="s">
        <v>1211</v>
      </c>
      <c r="BA4" s="641" t="s">
        <v>1209</v>
      </c>
      <c r="BB4" s="644" t="s">
        <v>1210</v>
      </c>
      <c r="BC4" s="645" t="s">
        <v>1416</v>
      </c>
      <c r="BD4" s="641" t="s">
        <v>1495</v>
      </c>
      <c r="BE4" s="644" t="s">
        <v>1435</v>
      </c>
      <c r="BF4" s="639" t="s">
        <v>11</v>
      </c>
      <c r="BG4" s="639" t="s">
        <v>73</v>
      </c>
      <c r="BH4" s="639" t="s">
        <v>74</v>
      </c>
      <c r="BI4" s="639"/>
      <c r="BJ4" s="643" t="s">
        <v>17</v>
      </c>
      <c r="BK4" s="640" t="s">
        <v>186</v>
      </c>
      <c r="BL4" s="643" t="s">
        <v>187</v>
      </c>
      <c r="BM4" s="643" t="s">
        <v>270</v>
      </c>
      <c r="BN4" s="640" t="s">
        <v>300</v>
      </c>
      <c r="BO4" s="643" t="s">
        <v>301</v>
      </c>
      <c r="BP4" s="644" t="s">
        <v>397</v>
      </c>
      <c r="BQ4" s="641" t="s">
        <v>399</v>
      </c>
      <c r="BR4" s="644" t="s">
        <v>400</v>
      </c>
      <c r="BS4" s="644" t="s">
        <v>497</v>
      </c>
      <c r="BT4" s="641" t="s">
        <v>512</v>
      </c>
      <c r="BU4" s="644" t="s">
        <v>513</v>
      </c>
      <c r="BV4" s="644" t="s">
        <v>592</v>
      </c>
      <c r="BW4" s="644" t="s">
        <v>671</v>
      </c>
      <c r="BX4" s="644" t="s">
        <v>672</v>
      </c>
      <c r="BY4" s="643" t="s">
        <v>689</v>
      </c>
      <c r="BZ4" s="643" t="s">
        <v>717</v>
      </c>
      <c r="CA4" s="643" t="s">
        <v>718</v>
      </c>
      <c r="CB4" s="645" t="s">
        <v>1197</v>
      </c>
      <c r="CC4" s="644" t="s">
        <v>1209</v>
      </c>
      <c r="CD4" s="644" t="s">
        <v>1210</v>
      </c>
      <c r="CE4" s="645" t="s">
        <v>1414</v>
      </c>
      <c r="CF4" s="641" t="s">
        <v>1495</v>
      </c>
      <c r="CG4" s="644" t="s">
        <v>1435</v>
      </c>
      <c r="CH4" s="646" t="s">
        <v>11</v>
      </c>
      <c r="CI4" s="646" t="s">
        <v>75</v>
      </c>
      <c r="CJ4" s="646" t="s">
        <v>77</v>
      </c>
      <c r="CK4" s="647" t="s">
        <v>17</v>
      </c>
      <c r="CL4" s="648" t="s">
        <v>186</v>
      </c>
      <c r="CM4" s="647" t="s">
        <v>187</v>
      </c>
      <c r="CN4" s="647" t="s">
        <v>270</v>
      </c>
      <c r="CO4" s="648" t="s">
        <v>300</v>
      </c>
      <c r="CP4" s="647" t="s">
        <v>301</v>
      </c>
      <c r="CQ4" s="647" t="s">
        <v>397</v>
      </c>
      <c r="CR4" s="648" t="s">
        <v>399</v>
      </c>
      <c r="CS4" s="647" t="s">
        <v>400</v>
      </c>
      <c r="CT4" s="647" t="s">
        <v>497</v>
      </c>
      <c r="CU4" s="648" t="s">
        <v>512</v>
      </c>
      <c r="CV4" s="647" t="s">
        <v>513</v>
      </c>
      <c r="CW4" s="649" t="s">
        <v>667</v>
      </c>
      <c r="CX4" s="650" t="s">
        <v>671</v>
      </c>
      <c r="CY4" s="649" t="s">
        <v>672</v>
      </c>
      <c r="CZ4" s="647" t="s">
        <v>719</v>
      </c>
      <c r="DA4" s="648" t="s">
        <v>717</v>
      </c>
      <c r="DB4" s="647" t="s">
        <v>718</v>
      </c>
      <c r="DC4" s="903" t="s">
        <v>1211</v>
      </c>
      <c r="DD4" s="650" t="s">
        <v>1209</v>
      </c>
      <c r="DE4" s="649" t="s">
        <v>1210</v>
      </c>
      <c r="DF4" s="903" t="s">
        <v>1416</v>
      </c>
      <c r="DG4" s="650" t="s">
        <v>1495</v>
      </c>
      <c r="DH4" s="649" t="s">
        <v>1435</v>
      </c>
      <c r="DI4" s="646" t="s">
        <v>11</v>
      </c>
      <c r="DJ4" s="646" t="s">
        <v>75</v>
      </c>
      <c r="DK4" s="646" t="s">
        <v>77</v>
      </c>
      <c r="DL4" s="647" t="s">
        <v>17</v>
      </c>
      <c r="DM4" s="648" t="s">
        <v>186</v>
      </c>
      <c r="DN4" s="647" t="s">
        <v>187</v>
      </c>
      <c r="DO4" s="647" t="s">
        <v>270</v>
      </c>
      <c r="DP4" s="648" t="s">
        <v>300</v>
      </c>
      <c r="DQ4" s="647" t="s">
        <v>301</v>
      </c>
      <c r="DR4" s="647" t="s">
        <v>397</v>
      </c>
      <c r="DS4" s="648" t="s">
        <v>399</v>
      </c>
      <c r="DT4" s="647" t="s">
        <v>400</v>
      </c>
      <c r="DU4" s="647" t="s">
        <v>497</v>
      </c>
      <c r="DV4" s="648" t="s">
        <v>512</v>
      </c>
      <c r="DW4" s="647" t="s">
        <v>513</v>
      </c>
      <c r="DX4" s="649" t="s">
        <v>667</v>
      </c>
      <c r="DY4" s="650" t="s">
        <v>671</v>
      </c>
      <c r="DZ4" s="649" t="s">
        <v>672</v>
      </c>
      <c r="EA4" s="647" t="s">
        <v>719</v>
      </c>
      <c r="EB4" s="648" t="s">
        <v>717</v>
      </c>
      <c r="EC4" s="647" t="s">
        <v>718</v>
      </c>
      <c r="ED4" s="903" t="s">
        <v>1211</v>
      </c>
      <c r="EE4" s="650" t="s">
        <v>1209</v>
      </c>
      <c r="EF4" s="649" t="s">
        <v>1210</v>
      </c>
      <c r="EG4" s="903" t="s">
        <v>1416</v>
      </c>
      <c r="EH4" s="650" t="s">
        <v>1495</v>
      </c>
      <c r="EI4" s="649" t="s">
        <v>1435</v>
      </c>
      <c r="EJ4" s="651">
        <f>X5+X6+AZ5+AZ6+CB5+CB6+DC5+DC6+ED5+ED6</f>
        <v>63703.02</v>
      </c>
    </row>
    <row r="5" spans="1:154" ht="16" x14ac:dyDescent="0.2">
      <c r="A5" s="901" t="s">
        <v>677</v>
      </c>
      <c r="B5" s="628"/>
      <c r="C5" s="653"/>
      <c r="D5" s="628"/>
      <c r="E5" s="654"/>
      <c r="F5" s="1183">
        <f>D6*$H$1</f>
        <v>0</v>
      </c>
      <c r="G5" s="653">
        <v>11428</v>
      </c>
      <c r="H5" s="629">
        <v>7895</v>
      </c>
      <c r="I5" s="1183">
        <f>BJ26+BR26</f>
        <v>10466.957738925361</v>
      </c>
      <c r="J5" s="663" t="s">
        <v>367</v>
      </c>
      <c r="K5" s="629">
        <v>8672.32</v>
      </c>
      <c r="L5" s="629">
        <f>K5*1.05</f>
        <v>9105.9359999999997</v>
      </c>
      <c r="M5" s="663" t="s">
        <v>488</v>
      </c>
      <c r="N5" s="629">
        <v>8332.2199999999993</v>
      </c>
      <c r="O5" s="629">
        <v>7087</v>
      </c>
      <c r="P5" s="663" t="s">
        <v>673</v>
      </c>
      <c r="Q5" s="664">
        <v>7087</v>
      </c>
      <c r="R5" s="630">
        <v>7390</v>
      </c>
      <c r="S5" s="665" t="s">
        <v>709</v>
      </c>
      <c r="T5" s="630">
        <v>7087</v>
      </c>
      <c r="U5" s="664">
        <v>7711</v>
      </c>
      <c r="V5" s="663" t="s">
        <v>1204</v>
      </c>
      <c r="W5" s="629">
        <v>7712</v>
      </c>
      <c r="X5" s="904">
        <f>63703.02*(W5/EJ3)</f>
        <v>6357.7711233046894</v>
      </c>
      <c r="Y5" s="657"/>
      <c r="Z5" s="657"/>
      <c r="AA5" s="904">
        <f>X5*1.1</f>
        <v>6993.5482356351586</v>
      </c>
      <c r="AB5" s="657"/>
      <c r="AC5" s="657"/>
      <c r="AD5" s="658">
        <v>6290</v>
      </c>
      <c r="AE5" s="658">
        <v>11176</v>
      </c>
      <c r="AF5" s="658">
        <v>5851</v>
      </c>
      <c r="AG5" s="658"/>
      <c r="AH5" s="1183">
        <f>AF5*$H$1</f>
        <v>0</v>
      </c>
      <c r="AI5" s="628">
        <v>11428</v>
      </c>
      <c r="AJ5" s="629">
        <v>5263</v>
      </c>
      <c r="AK5" s="1183">
        <f>BJ27+BR27</f>
        <v>6976.8551494195835</v>
      </c>
      <c r="AL5" s="663" t="s">
        <v>367</v>
      </c>
      <c r="AM5" s="629">
        <v>5781.55</v>
      </c>
      <c r="AN5" s="629">
        <f>AM5*1.05</f>
        <v>6070.6275000000005</v>
      </c>
      <c r="AO5" s="663" t="s">
        <v>489</v>
      </c>
      <c r="AP5" s="629">
        <v>5554.81</v>
      </c>
      <c r="AQ5" s="629">
        <v>4725</v>
      </c>
      <c r="AR5" s="629"/>
      <c r="AS5" s="629">
        <v>4725</v>
      </c>
      <c r="AT5" s="630">
        <v>4927</v>
      </c>
      <c r="AU5" s="665" t="s">
        <v>709</v>
      </c>
      <c r="AV5" s="630">
        <v>4725</v>
      </c>
      <c r="AW5" s="629">
        <v>5129</v>
      </c>
      <c r="AX5" s="663" t="s">
        <v>1198</v>
      </c>
      <c r="AY5" s="629">
        <v>5129</v>
      </c>
      <c r="AZ5" s="904">
        <f>63703.02*(AY5/EJ3)</f>
        <v>4228.3464848845633</v>
      </c>
      <c r="BA5" s="657"/>
      <c r="BB5" s="657"/>
      <c r="BC5" s="904">
        <f>AZ5*1.1</f>
        <v>4651.1811333730202</v>
      </c>
      <c r="BD5" s="657"/>
      <c r="BE5" s="657"/>
      <c r="BF5" s="658">
        <v>12580</v>
      </c>
      <c r="BG5" s="666">
        <v>11176</v>
      </c>
      <c r="BH5" s="667">
        <v>10490</v>
      </c>
      <c r="BI5" s="667"/>
      <c r="BJ5" s="1183">
        <f>BH5*$H$1</f>
        <v>0</v>
      </c>
      <c r="BK5" s="628">
        <v>11428</v>
      </c>
      <c r="BL5" s="629">
        <v>10526</v>
      </c>
      <c r="BM5" s="1183">
        <f>BJ28+BR28</f>
        <v>13953.710298839167</v>
      </c>
      <c r="BN5" s="663" t="s">
        <v>367</v>
      </c>
      <c r="BO5" s="629">
        <v>11563.09</v>
      </c>
      <c r="BP5" s="630">
        <f>BO5*1.05</f>
        <v>12141.244500000001</v>
      </c>
      <c r="BQ5" s="665" t="s">
        <v>489</v>
      </c>
      <c r="BR5" s="630">
        <v>11109.62</v>
      </c>
      <c r="BS5" s="630">
        <v>9449</v>
      </c>
      <c r="BT5" s="665" t="s">
        <v>673</v>
      </c>
      <c r="BU5" s="630">
        <v>9449</v>
      </c>
      <c r="BV5" s="630">
        <v>9854</v>
      </c>
      <c r="BW5" s="665" t="s">
        <v>709</v>
      </c>
      <c r="BX5" s="630">
        <v>9449</v>
      </c>
      <c r="BY5" s="629">
        <v>10281</v>
      </c>
      <c r="BZ5" s="663" t="s">
        <v>1204</v>
      </c>
      <c r="CA5" s="629">
        <v>10281</v>
      </c>
      <c r="CB5" s="904">
        <f>63703.02*(CA5/EJ3)</f>
        <v>8475.6541647686099</v>
      </c>
      <c r="CC5" s="630"/>
      <c r="CD5" s="630"/>
      <c r="CE5" s="904">
        <f>CB5*1.1</f>
        <v>9323.219581245472</v>
      </c>
      <c r="CF5" s="630"/>
      <c r="CG5" s="630"/>
      <c r="CH5" s="634"/>
      <c r="CI5" s="634"/>
      <c r="CJ5" s="634"/>
      <c r="CK5" s="1184">
        <f>CJ6*$H$1</f>
        <v>0</v>
      </c>
      <c r="CL5" s="634">
        <v>5594</v>
      </c>
      <c r="CM5" s="659">
        <v>7895</v>
      </c>
      <c r="CN5" s="1184">
        <f>BJ29+BR29</f>
        <v>10466.957738925361</v>
      </c>
      <c r="CO5" s="668" t="s">
        <v>369</v>
      </c>
      <c r="CP5" s="659">
        <v>8672.32</v>
      </c>
      <c r="CQ5" s="659">
        <f>CP5*1.05</f>
        <v>9105.9359999999997</v>
      </c>
      <c r="CR5" s="668" t="s">
        <v>490</v>
      </c>
      <c r="CS5" s="659">
        <v>8332.2199999999993</v>
      </c>
      <c r="CT5" s="659">
        <v>7087</v>
      </c>
      <c r="CU5" s="668" t="s">
        <v>550</v>
      </c>
      <c r="CV5" s="659">
        <v>7087</v>
      </c>
      <c r="CW5" s="660">
        <v>7390</v>
      </c>
      <c r="CX5" s="669" t="s">
        <v>715</v>
      </c>
      <c r="CY5" s="660">
        <v>7087</v>
      </c>
      <c r="CZ5" s="659">
        <v>7711</v>
      </c>
      <c r="DA5" s="668" t="s">
        <v>1198</v>
      </c>
      <c r="DB5" s="659">
        <v>7711</v>
      </c>
      <c r="DC5" s="908">
        <f>63703.02*(DB5/EJ3)</f>
        <v>6356.9467235221036</v>
      </c>
      <c r="DD5" s="661"/>
      <c r="DE5" s="661"/>
      <c r="DF5" s="908">
        <f>DC5*1.1</f>
        <v>6992.6413958743142</v>
      </c>
      <c r="DG5" s="661"/>
      <c r="DH5" s="661"/>
      <c r="DI5" s="634"/>
      <c r="DJ5" s="634"/>
      <c r="DK5" s="634"/>
      <c r="DL5" s="1184">
        <f>DK6*$H$1</f>
        <v>0</v>
      </c>
      <c r="DM5" s="634">
        <v>5594</v>
      </c>
      <c r="DN5" s="659">
        <v>21053</v>
      </c>
      <c r="DO5" s="1184">
        <f>BJ30+BR30</f>
        <v>27908.519073890529</v>
      </c>
      <c r="DP5" s="668" t="s">
        <v>369</v>
      </c>
      <c r="DQ5" s="659">
        <v>23126.19</v>
      </c>
      <c r="DR5" s="659">
        <f>DQ5*1.05</f>
        <v>24282.499499999998</v>
      </c>
      <c r="DS5" s="668" t="s">
        <v>490</v>
      </c>
      <c r="DT5" s="659">
        <v>22219.24</v>
      </c>
      <c r="DU5" s="659">
        <v>18899</v>
      </c>
      <c r="DV5" s="668" t="s">
        <v>549</v>
      </c>
      <c r="DW5" s="659">
        <v>18899</v>
      </c>
      <c r="DX5" s="660">
        <v>19708</v>
      </c>
      <c r="DY5" s="669" t="s">
        <v>715</v>
      </c>
      <c r="DZ5" s="660">
        <v>18899</v>
      </c>
      <c r="EA5" s="659">
        <v>20564</v>
      </c>
      <c r="EB5" s="668" t="s">
        <v>1198</v>
      </c>
      <c r="EC5" s="659">
        <v>20564</v>
      </c>
      <c r="ED5" s="908">
        <f>63703.02*(EC5/EJ3)</f>
        <v>16952.957129102389</v>
      </c>
      <c r="EE5" s="661"/>
      <c r="EF5" s="661"/>
      <c r="EG5" s="908">
        <f>ED5*1.1</f>
        <v>18648.252842012629</v>
      </c>
      <c r="EH5" s="661"/>
      <c r="EI5" s="661"/>
      <c r="EJ5"/>
      <c r="EK5"/>
    </row>
    <row r="6" spans="1:154" ht="16" x14ac:dyDescent="0.2">
      <c r="A6" s="901" t="s">
        <v>537</v>
      </c>
      <c r="B6" s="671">
        <v>9434</v>
      </c>
      <c r="C6" s="672">
        <v>11176</v>
      </c>
      <c r="D6" s="671">
        <v>8777</v>
      </c>
      <c r="E6" s="667"/>
      <c r="F6" s="1183"/>
      <c r="G6" s="628" t="s">
        <v>219</v>
      </c>
      <c r="H6" s="629">
        <v>797</v>
      </c>
      <c r="I6" s="1183"/>
      <c r="J6" s="663" t="s">
        <v>366</v>
      </c>
      <c r="K6" s="629">
        <v>1793.76</v>
      </c>
      <c r="L6" s="629">
        <f>K6*1.05</f>
        <v>1883.4480000000001</v>
      </c>
      <c r="M6" s="663" t="s">
        <v>490</v>
      </c>
      <c r="N6" s="629">
        <v>2263.08</v>
      </c>
      <c r="O6" s="629">
        <v>2606</v>
      </c>
      <c r="P6" s="663" t="s">
        <v>673</v>
      </c>
      <c r="Q6" s="664">
        <v>2606</v>
      </c>
      <c r="R6" s="673">
        <v>2717</v>
      </c>
      <c r="S6" s="665" t="s">
        <v>708</v>
      </c>
      <c r="T6" s="630">
        <v>3021</v>
      </c>
      <c r="U6" s="664">
        <v>3030</v>
      </c>
      <c r="V6" s="663" t="s">
        <v>1205</v>
      </c>
      <c r="W6" s="629">
        <v>3881</v>
      </c>
      <c r="X6" s="904">
        <f>63703.02*(W6/EJ3)</f>
        <v>3199.4955562169994</v>
      </c>
      <c r="Y6" s="657"/>
      <c r="Z6" s="657"/>
      <c r="AA6" s="904">
        <f>X6*1.1</f>
        <v>3519.4451118386996</v>
      </c>
      <c r="AB6" s="657"/>
      <c r="AC6" s="657"/>
      <c r="AD6" s="628"/>
      <c r="AE6" s="628"/>
      <c r="AF6" s="628"/>
      <c r="AG6" s="628"/>
      <c r="AH6" s="1183"/>
      <c r="AI6" s="628" t="s">
        <v>219</v>
      </c>
      <c r="AJ6" s="664">
        <v>531</v>
      </c>
      <c r="AK6" s="1183"/>
      <c r="AL6" s="663" t="s">
        <v>365</v>
      </c>
      <c r="AM6" s="664">
        <v>1195.8399999999999</v>
      </c>
      <c r="AN6" s="629">
        <f>AM6*1.05</f>
        <v>1255.6320000000001</v>
      </c>
      <c r="AO6" s="663" t="s">
        <v>490</v>
      </c>
      <c r="AP6" s="664">
        <v>1508.72</v>
      </c>
      <c r="AQ6" s="629">
        <v>1737</v>
      </c>
      <c r="AR6" s="629"/>
      <c r="AS6" s="629">
        <v>1737</v>
      </c>
      <c r="AT6" s="630">
        <v>1812</v>
      </c>
      <c r="AU6" s="665" t="s">
        <v>708</v>
      </c>
      <c r="AV6" s="673">
        <v>2014</v>
      </c>
      <c r="AW6" s="629">
        <v>2716</v>
      </c>
      <c r="AX6" s="663" t="s">
        <v>1205</v>
      </c>
      <c r="AY6" s="664">
        <v>2587</v>
      </c>
      <c r="AZ6" s="904">
        <f>63703.02*(AY6/EJ3)</f>
        <v>2132.7222375504707</v>
      </c>
      <c r="BA6" s="674"/>
      <c r="BB6" s="674"/>
      <c r="BC6" s="904">
        <f>AZ6*1.1</f>
        <v>2345.9944613055181</v>
      </c>
      <c r="BD6" s="674"/>
      <c r="BE6" s="674"/>
      <c r="BF6" s="628"/>
      <c r="BG6" s="628"/>
      <c r="BH6" s="628"/>
      <c r="BI6" s="628"/>
      <c r="BJ6" s="1183"/>
      <c r="BK6" s="628" t="s">
        <v>219</v>
      </c>
      <c r="BL6" s="664">
        <v>1062</v>
      </c>
      <c r="BM6" s="1183"/>
      <c r="BN6" s="675" t="s">
        <v>365</v>
      </c>
      <c r="BO6" s="664">
        <v>2391.67</v>
      </c>
      <c r="BP6" s="630">
        <f>BO6*1.05</f>
        <v>2511.2535000000003</v>
      </c>
      <c r="BQ6" s="676" t="s">
        <v>490</v>
      </c>
      <c r="BR6" s="630">
        <v>3017.45</v>
      </c>
      <c r="BS6" s="630">
        <v>3474</v>
      </c>
      <c r="BT6" s="665" t="s">
        <v>673</v>
      </c>
      <c r="BU6" s="630">
        <v>3474</v>
      </c>
      <c r="BV6" s="630">
        <v>3623</v>
      </c>
      <c r="BW6" s="665" t="s">
        <v>708</v>
      </c>
      <c r="BX6" s="630">
        <v>4028</v>
      </c>
      <c r="BY6" s="629">
        <v>8457</v>
      </c>
      <c r="BZ6" s="663" t="s">
        <v>1205</v>
      </c>
      <c r="CA6" s="629">
        <v>5176</v>
      </c>
      <c r="CB6" s="904">
        <f>63703.02*(CA6/EJ3)</f>
        <v>4267.0932746661138</v>
      </c>
      <c r="CC6" s="630"/>
      <c r="CD6" s="630"/>
      <c r="CE6" s="904">
        <f>CB6*1.1</f>
        <v>4693.802602132726</v>
      </c>
      <c r="CF6" s="630"/>
      <c r="CG6" s="630"/>
      <c r="CH6" s="677">
        <v>9434</v>
      </c>
      <c r="CI6" s="677">
        <v>5213</v>
      </c>
      <c r="CJ6" s="677">
        <v>8776</v>
      </c>
      <c r="CK6" s="1184"/>
      <c r="CL6" s="678" t="s">
        <v>219</v>
      </c>
      <c r="CM6" s="659">
        <v>797</v>
      </c>
      <c r="CN6" s="1184"/>
      <c r="CO6" s="668" t="s">
        <v>368</v>
      </c>
      <c r="CP6" s="659">
        <v>1793.75</v>
      </c>
      <c r="CQ6" s="659">
        <f>CP6*1.05</f>
        <v>1883.4375</v>
      </c>
      <c r="CR6" s="659" t="s">
        <v>490</v>
      </c>
      <c r="CS6" s="659">
        <v>2263.08</v>
      </c>
      <c r="CT6" s="659">
        <v>2606</v>
      </c>
      <c r="CU6" s="668" t="s">
        <v>548</v>
      </c>
      <c r="CV6" s="659">
        <v>2606</v>
      </c>
      <c r="CW6" s="660">
        <v>2717</v>
      </c>
      <c r="CX6" s="669" t="s">
        <v>714</v>
      </c>
      <c r="CY6" s="660">
        <v>3021</v>
      </c>
      <c r="CZ6" s="659">
        <v>3172</v>
      </c>
      <c r="DA6" s="668" t="s">
        <v>1199</v>
      </c>
      <c r="DB6" s="659">
        <v>3881</v>
      </c>
      <c r="DC6" s="908">
        <f>63703.02*(DB6/EJ3)</f>
        <v>3199.4955562169994</v>
      </c>
      <c r="DD6" s="661"/>
      <c r="DE6" s="661"/>
      <c r="DF6" s="908">
        <f>DC6*1.1</f>
        <v>3519.4451118386996</v>
      </c>
      <c r="DG6" s="661"/>
      <c r="DH6" s="661"/>
      <c r="DI6" s="677">
        <v>25158</v>
      </c>
      <c r="DJ6" s="677">
        <v>5213</v>
      </c>
      <c r="DK6" s="677">
        <v>23403</v>
      </c>
      <c r="DL6" s="1184"/>
      <c r="DM6" s="634"/>
      <c r="DN6" s="659">
        <v>2124</v>
      </c>
      <c r="DO6" s="1184"/>
      <c r="DP6" s="668" t="s">
        <v>368</v>
      </c>
      <c r="DQ6" s="659">
        <v>4783.3500000000004</v>
      </c>
      <c r="DR6" s="659">
        <f>DQ6*1.05</f>
        <v>5022.5175000000008</v>
      </c>
      <c r="DS6" s="668" t="s">
        <v>490</v>
      </c>
      <c r="DT6" s="659">
        <v>6034.89</v>
      </c>
      <c r="DU6" s="659">
        <v>6949</v>
      </c>
      <c r="DV6" s="668" t="s">
        <v>548</v>
      </c>
      <c r="DW6" s="659">
        <v>6949</v>
      </c>
      <c r="DX6" s="660">
        <v>7246</v>
      </c>
      <c r="DY6" s="669" t="s">
        <v>714</v>
      </c>
      <c r="DZ6" s="660">
        <v>8056</v>
      </c>
      <c r="EA6" s="659">
        <v>8459</v>
      </c>
      <c r="EB6" s="668" t="s">
        <v>1199</v>
      </c>
      <c r="EC6" s="659">
        <v>10350</v>
      </c>
      <c r="ED6" s="908">
        <f>63703.02*(EC6/EJ3)</f>
        <v>8532.5377497670561</v>
      </c>
      <c r="EE6" s="661"/>
      <c r="EF6" s="661"/>
      <c r="EG6" s="908">
        <f>ED6*1.1</f>
        <v>9385.7915247437631</v>
      </c>
      <c r="EH6" s="661"/>
      <c r="EI6" s="661"/>
      <c r="EJ6"/>
      <c r="EK6"/>
    </row>
    <row r="7" spans="1:154" ht="16" x14ac:dyDescent="0.2">
      <c r="A7" s="901" t="s">
        <v>297</v>
      </c>
      <c r="B7" s="671"/>
      <c r="C7" s="672"/>
      <c r="D7" s="671"/>
      <c r="E7" s="667"/>
      <c r="F7" s="629"/>
      <c r="G7" s="628"/>
      <c r="H7" s="629"/>
      <c r="I7" s="629"/>
      <c r="J7" s="629"/>
      <c r="K7" s="629"/>
      <c r="L7" s="629"/>
      <c r="M7" s="629"/>
      <c r="N7" s="628"/>
      <c r="O7" s="629"/>
      <c r="P7" s="629"/>
      <c r="Q7" s="628"/>
      <c r="R7" s="630"/>
      <c r="S7" s="655"/>
      <c r="T7" s="630"/>
      <c r="U7" s="628"/>
      <c r="V7" s="628"/>
      <c r="W7" s="628"/>
      <c r="X7" s="905"/>
      <c r="Y7" s="655"/>
      <c r="Z7" s="655"/>
      <c r="AA7" s="905"/>
      <c r="AB7" s="655"/>
      <c r="AC7" s="655"/>
      <c r="AD7" s="628"/>
      <c r="AE7" s="628"/>
      <c r="AF7" s="628"/>
      <c r="AG7" s="628"/>
      <c r="AH7" s="629"/>
      <c r="AI7" s="628"/>
      <c r="AJ7" s="664"/>
      <c r="AK7" s="664"/>
      <c r="AL7" s="664"/>
      <c r="AM7" s="664"/>
      <c r="AN7" s="664"/>
      <c r="AO7" s="664"/>
      <c r="AP7" s="664"/>
      <c r="AQ7" s="664"/>
      <c r="AR7" s="664"/>
      <c r="AS7" s="664"/>
      <c r="AT7" s="673"/>
      <c r="AU7" s="673"/>
      <c r="AV7" s="673"/>
      <c r="AW7" s="664"/>
      <c r="AX7" s="664"/>
      <c r="AY7" s="664"/>
      <c r="AZ7" s="906"/>
      <c r="BA7" s="673"/>
      <c r="BB7" s="673"/>
      <c r="BC7" s="906"/>
      <c r="BD7" s="673"/>
      <c r="BE7" s="673"/>
      <c r="BF7" s="628"/>
      <c r="BG7" s="628"/>
      <c r="BH7" s="628"/>
      <c r="BI7" s="628"/>
      <c r="BJ7" s="629"/>
      <c r="BK7" s="628"/>
      <c r="BL7" s="664"/>
      <c r="BM7" s="664"/>
      <c r="BN7" s="664"/>
      <c r="BO7" s="664"/>
      <c r="BP7" s="673"/>
      <c r="BQ7" s="673"/>
      <c r="BR7" s="630"/>
      <c r="BS7" s="673"/>
      <c r="BT7" s="673"/>
      <c r="BU7" s="630"/>
      <c r="BV7" s="630"/>
      <c r="BW7" s="630"/>
      <c r="BX7" s="630"/>
      <c r="BY7" s="629"/>
      <c r="BZ7" s="629"/>
      <c r="CA7" s="629"/>
      <c r="CB7" s="905"/>
      <c r="CC7" s="630"/>
      <c r="CD7" s="630"/>
      <c r="CE7" s="905"/>
      <c r="CF7" s="630"/>
      <c r="CG7" s="630"/>
      <c r="CH7" s="677"/>
      <c r="CI7" s="677"/>
      <c r="CJ7" s="677"/>
      <c r="CK7" s="659"/>
      <c r="CL7" s="678" t="s">
        <v>298</v>
      </c>
      <c r="CM7" s="659">
        <v>1624.16</v>
      </c>
      <c r="CN7" s="679">
        <f>CM7*1.05</f>
        <v>1705.3680000000002</v>
      </c>
      <c r="CO7" s="659"/>
      <c r="CP7" s="659"/>
      <c r="CQ7" s="659"/>
      <c r="CR7" s="659"/>
      <c r="CS7" s="659"/>
      <c r="CT7" s="659"/>
      <c r="CU7" s="659"/>
      <c r="CV7" s="659"/>
      <c r="CW7" s="660"/>
      <c r="CX7" s="660"/>
      <c r="CY7" s="660"/>
      <c r="CZ7" s="659"/>
      <c r="DA7" s="659"/>
      <c r="DB7" s="659"/>
      <c r="DC7" s="908"/>
      <c r="DD7" s="661"/>
      <c r="DE7" s="661"/>
      <c r="DF7" s="908"/>
      <c r="DG7" s="661"/>
      <c r="DH7" s="661"/>
      <c r="DI7" s="677"/>
      <c r="DJ7" s="677"/>
      <c r="DK7" s="677"/>
      <c r="DL7" s="659"/>
      <c r="DM7" s="634"/>
      <c r="DN7" s="659"/>
      <c r="DO7" s="659"/>
      <c r="DP7" s="659"/>
      <c r="DQ7" s="659"/>
      <c r="DR7" s="659"/>
      <c r="DS7" s="659"/>
      <c r="DT7" s="659"/>
      <c r="DU7" s="659"/>
      <c r="DV7" s="659"/>
      <c r="DW7" s="659"/>
      <c r="DX7" s="660"/>
      <c r="DY7" s="660"/>
      <c r="DZ7" s="660"/>
      <c r="EA7" s="659"/>
      <c r="EB7" s="659"/>
      <c r="EC7" s="659"/>
      <c r="ED7" s="908"/>
      <c r="EE7" s="661"/>
      <c r="EF7" s="661"/>
      <c r="EG7" s="908"/>
      <c r="EH7" s="661"/>
      <c r="EI7" s="661"/>
      <c r="EJ7"/>
      <c r="EK7"/>
    </row>
    <row r="8" spans="1:154" ht="17.5" customHeight="1" x14ac:dyDescent="0.2">
      <c r="A8" s="901" t="s">
        <v>710</v>
      </c>
      <c r="B8" s="671"/>
      <c r="C8" s="672"/>
      <c r="D8" s="671"/>
      <c r="E8" s="667"/>
      <c r="F8" s="664"/>
      <c r="G8" s="653"/>
      <c r="H8" s="629"/>
      <c r="I8" s="629"/>
      <c r="J8" s="629"/>
      <c r="K8" s="629"/>
      <c r="L8" s="629"/>
      <c r="M8" s="629"/>
      <c r="N8" s="628"/>
      <c r="O8" s="629"/>
      <c r="P8" s="629"/>
      <c r="Q8" s="628"/>
      <c r="R8" s="655"/>
      <c r="S8" s="655"/>
      <c r="T8" s="655"/>
      <c r="U8" s="628"/>
      <c r="V8" s="628"/>
      <c r="W8" s="628"/>
      <c r="X8" s="905"/>
      <c r="Y8" s="655"/>
      <c r="Z8" s="655"/>
      <c r="AA8" s="905"/>
      <c r="AB8" s="655"/>
      <c r="AC8" s="655"/>
      <c r="AD8" s="656"/>
      <c r="AE8" s="656"/>
      <c r="AF8" s="656"/>
      <c r="AG8" s="656"/>
      <c r="AH8" s="664"/>
      <c r="AI8" s="628"/>
      <c r="AJ8" s="629"/>
      <c r="AK8" s="629"/>
      <c r="AL8" s="629"/>
      <c r="AM8" s="629"/>
      <c r="AN8" s="629"/>
      <c r="AO8" s="629"/>
      <c r="AP8" s="629"/>
      <c r="AQ8" s="629"/>
      <c r="AR8" s="629"/>
      <c r="AS8" s="629"/>
      <c r="AT8" s="630"/>
      <c r="AU8" s="630"/>
      <c r="AV8" s="630"/>
      <c r="AW8" s="629"/>
      <c r="AX8" s="629"/>
      <c r="AY8" s="629"/>
      <c r="AZ8" s="904"/>
      <c r="BA8" s="657"/>
      <c r="BB8" s="657"/>
      <c r="BC8" s="904"/>
      <c r="BD8" s="657"/>
      <c r="BE8" s="657"/>
      <c r="BF8" s="658">
        <v>8063</v>
      </c>
      <c r="BG8" s="666">
        <v>11175</v>
      </c>
      <c r="BH8" s="667">
        <v>10000</v>
      </c>
      <c r="BI8" s="667"/>
      <c r="BJ8" s="629">
        <f>BH8*$H$1</f>
        <v>0</v>
      </c>
      <c r="BK8" s="628">
        <v>11423</v>
      </c>
      <c r="BL8" s="629">
        <v>10000</v>
      </c>
      <c r="BM8" s="629">
        <f>BL8*1.05</f>
        <v>10500</v>
      </c>
      <c r="BN8" s="680" t="s">
        <v>375</v>
      </c>
      <c r="BO8" s="681" t="s">
        <v>376</v>
      </c>
      <c r="BP8" s="682">
        <f>18255*1.05</f>
        <v>19167.75</v>
      </c>
      <c r="BQ8" s="683" t="s">
        <v>493</v>
      </c>
      <c r="BR8" s="682" t="s">
        <v>494</v>
      </c>
      <c r="BS8" s="682">
        <v>15930</v>
      </c>
      <c r="BT8" s="683" t="s">
        <v>670</v>
      </c>
      <c r="BU8" s="682">
        <v>15327</v>
      </c>
      <c r="BV8" s="682">
        <v>16860</v>
      </c>
      <c r="BW8" s="684" t="s">
        <v>711</v>
      </c>
      <c r="BX8" s="682">
        <v>15242</v>
      </c>
      <c r="BY8" s="681">
        <f>BX8*1.05</f>
        <v>16004.1</v>
      </c>
      <c r="BZ8" s="685" t="s">
        <v>1208</v>
      </c>
      <c r="CA8" s="681">
        <v>16176</v>
      </c>
      <c r="CB8" s="907">
        <f>CA8*1.1</f>
        <v>17793.600000000002</v>
      </c>
      <c r="CC8" s="682"/>
      <c r="CD8" s="682"/>
      <c r="CE8" s="904">
        <f>CB8*1.1</f>
        <v>19572.960000000003</v>
      </c>
      <c r="CF8" s="682"/>
      <c r="CG8" s="682"/>
      <c r="CH8" s="677"/>
      <c r="CI8" s="677"/>
      <c r="CJ8" s="677"/>
      <c r="CK8" s="659"/>
      <c r="CL8" s="634"/>
      <c r="CM8" s="659"/>
      <c r="CN8" s="659"/>
      <c r="CO8" s="659"/>
      <c r="CP8" s="659"/>
      <c r="CQ8" s="659"/>
      <c r="CR8" s="659"/>
      <c r="CS8" s="659"/>
      <c r="CT8" s="659"/>
      <c r="CU8" s="659"/>
      <c r="CV8" s="659"/>
      <c r="CW8" s="660"/>
      <c r="CX8" s="660"/>
      <c r="CY8" s="660"/>
      <c r="CZ8" s="659"/>
      <c r="DA8" s="659"/>
      <c r="DB8" s="659"/>
      <c r="DC8" s="908"/>
      <c r="DD8" s="661"/>
      <c r="DE8" s="661"/>
      <c r="DF8" s="908"/>
      <c r="DG8" s="661"/>
      <c r="DH8" s="661"/>
      <c r="DI8" s="677"/>
      <c r="DJ8" s="677"/>
      <c r="DK8" s="677"/>
      <c r="DL8" s="659"/>
      <c r="DM8" s="634"/>
      <c r="DN8" s="659"/>
      <c r="DO8" s="659"/>
      <c r="DP8" s="659"/>
      <c r="DQ8" s="659"/>
      <c r="DR8" s="659"/>
      <c r="DS8" s="659"/>
      <c r="DT8" s="659"/>
      <c r="DU8" s="659"/>
      <c r="DV8" s="659"/>
      <c r="DW8" s="659"/>
      <c r="DX8" s="660"/>
      <c r="DY8" s="660"/>
      <c r="DZ8" s="660"/>
      <c r="EA8" s="659"/>
      <c r="EB8" s="659"/>
      <c r="EC8" s="659"/>
      <c r="ED8" s="908"/>
      <c r="EE8" s="661"/>
      <c r="EF8" s="661"/>
      <c r="EG8" s="908"/>
      <c r="EH8" s="661"/>
      <c r="EI8" s="661"/>
      <c r="EJ8"/>
      <c r="EK8"/>
    </row>
    <row r="9" spans="1:154" x14ac:dyDescent="0.2">
      <c r="A9" s="902" t="s">
        <v>474</v>
      </c>
      <c r="B9" s="686">
        <v>2500</v>
      </c>
      <c r="C9" s="687">
        <v>11177</v>
      </c>
      <c r="D9" s="686">
        <v>2884</v>
      </c>
      <c r="E9" s="686"/>
      <c r="F9" s="688">
        <f>D9*$H$1</f>
        <v>0</v>
      </c>
      <c r="G9" s="689" t="s">
        <v>296</v>
      </c>
      <c r="H9" s="690">
        <v>2500</v>
      </c>
      <c r="I9" s="690">
        <f>H9*1.05</f>
        <v>2625</v>
      </c>
      <c r="J9" s="691" t="s">
        <v>364</v>
      </c>
      <c r="K9" s="690">
        <v>2500</v>
      </c>
      <c r="L9" s="663"/>
      <c r="M9" s="663"/>
      <c r="N9" s="628"/>
      <c r="O9" s="663"/>
      <c r="P9" s="663"/>
      <c r="Q9" s="628"/>
      <c r="R9" s="655"/>
      <c r="S9" s="655"/>
      <c r="T9" s="655"/>
      <c r="U9" s="628"/>
      <c r="V9" s="628"/>
      <c r="W9" s="628"/>
      <c r="X9" s="905"/>
      <c r="Y9" s="655"/>
      <c r="Z9" s="655"/>
      <c r="AA9" s="905"/>
      <c r="AB9" s="655"/>
      <c r="AC9" s="655"/>
      <c r="AD9" s="656"/>
      <c r="AE9" s="656"/>
      <c r="AF9" s="656"/>
      <c r="AG9" s="656"/>
      <c r="AH9" s="664"/>
      <c r="AI9" s="628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30"/>
      <c r="AU9" s="630"/>
      <c r="AV9" s="630"/>
      <c r="AW9" s="629">
        <v>2706</v>
      </c>
      <c r="AX9" s="629"/>
      <c r="AY9" s="629"/>
      <c r="AZ9" s="904"/>
      <c r="BA9" s="657"/>
      <c r="BB9" s="657"/>
      <c r="BC9" s="904"/>
      <c r="BD9" s="657"/>
      <c r="BE9" s="657"/>
      <c r="BF9" s="658"/>
      <c r="BG9" s="666"/>
      <c r="BH9" s="667"/>
      <c r="BI9" s="667"/>
      <c r="BJ9" s="629"/>
      <c r="BK9" s="628"/>
      <c r="BL9" s="629"/>
      <c r="BM9" s="629"/>
      <c r="BN9" s="629"/>
      <c r="BO9" s="629"/>
      <c r="BP9" s="630"/>
      <c r="BQ9" s="630"/>
      <c r="BR9" s="630"/>
      <c r="BS9" s="630"/>
      <c r="BT9" s="630"/>
      <c r="BU9" s="630"/>
      <c r="BV9" s="630"/>
      <c r="BW9" s="630"/>
      <c r="BX9" s="630"/>
      <c r="BY9" s="629"/>
      <c r="BZ9" s="629"/>
      <c r="CA9" s="629"/>
      <c r="CB9" s="905"/>
      <c r="CC9" s="630"/>
      <c r="CD9" s="630"/>
      <c r="CE9" s="905"/>
      <c r="CF9" s="630"/>
      <c r="CG9" s="630"/>
      <c r="CH9" s="677"/>
      <c r="CI9" s="677"/>
      <c r="CJ9" s="677"/>
      <c r="CK9" s="692"/>
      <c r="CL9" s="634"/>
      <c r="CM9" s="659"/>
      <c r="CN9" s="659"/>
      <c r="CO9" s="659"/>
      <c r="CP9" s="659"/>
      <c r="CQ9" s="659"/>
      <c r="CR9" s="659"/>
      <c r="CS9" s="659"/>
      <c r="CT9" s="659"/>
      <c r="CU9" s="659"/>
      <c r="CV9" s="659"/>
      <c r="CW9" s="660"/>
      <c r="CX9" s="660"/>
      <c r="CY9" s="660"/>
      <c r="CZ9" s="659"/>
      <c r="DA9" s="659"/>
      <c r="DB9" s="659"/>
      <c r="DC9" s="908"/>
      <c r="DD9" s="661"/>
      <c r="DE9" s="661"/>
      <c r="DF9" s="908"/>
      <c r="DG9" s="661"/>
      <c r="DH9" s="661"/>
      <c r="DI9" s="677"/>
      <c r="DJ9" s="677"/>
      <c r="DK9" s="677"/>
      <c r="DL9" s="692"/>
      <c r="DM9" s="634"/>
      <c r="DN9" s="659"/>
      <c r="DO9" s="659"/>
      <c r="DP9" s="659"/>
      <c r="DQ9" s="659"/>
      <c r="DR9" s="659"/>
      <c r="DS9" s="659"/>
      <c r="DT9" s="659"/>
      <c r="DU9" s="659"/>
      <c r="DV9" s="659"/>
      <c r="DW9" s="659"/>
      <c r="DX9" s="660"/>
      <c r="DY9" s="660"/>
      <c r="DZ9" s="660"/>
      <c r="EA9" s="659"/>
      <c r="EB9" s="659"/>
      <c r="EC9" s="659"/>
      <c r="ED9" s="908"/>
      <c r="EE9" s="661"/>
      <c r="EF9" s="661"/>
      <c r="EG9" s="908"/>
      <c r="EH9" s="661"/>
      <c r="EI9" s="661"/>
      <c r="EJ9"/>
      <c r="EK9"/>
    </row>
    <row r="10" spans="1:154" x14ac:dyDescent="0.2">
      <c r="A10" s="899" t="s">
        <v>78</v>
      </c>
      <c r="B10" s="671">
        <v>3874</v>
      </c>
      <c r="C10" s="672">
        <v>11234</v>
      </c>
      <c r="D10" s="671">
        <v>3604</v>
      </c>
      <c r="E10" s="667"/>
      <c r="F10" s="664">
        <f>D10*$H$1</f>
        <v>0</v>
      </c>
      <c r="G10" s="653"/>
      <c r="H10" s="629">
        <v>3491</v>
      </c>
      <c r="I10" s="629">
        <f>H10*1.05</f>
        <v>3665.55</v>
      </c>
      <c r="J10" s="663" t="s">
        <v>388</v>
      </c>
      <c r="K10" s="629">
        <v>3347.67</v>
      </c>
      <c r="L10" s="629">
        <f>K10*1.05</f>
        <v>3515.0535000000004</v>
      </c>
      <c r="M10" s="663" t="s">
        <v>495</v>
      </c>
      <c r="N10" s="693">
        <v>3515</v>
      </c>
      <c r="O10" s="629">
        <f>N10*1.05</f>
        <v>3690.75</v>
      </c>
      <c r="P10" s="663"/>
      <c r="Q10" s="693">
        <v>3755</v>
      </c>
      <c r="R10" s="694">
        <f>N10*1.1</f>
        <v>3866.5000000000005</v>
      </c>
      <c r="S10" s="695" t="s">
        <v>712</v>
      </c>
      <c r="T10" s="694">
        <v>4036</v>
      </c>
      <c r="U10" s="696">
        <v>2119</v>
      </c>
      <c r="V10" s="697" t="s">
        <v>1206</v>
      </c>
      <c r="W10" s="693">
        <v>2289</v>
      </c>
      <c r="X10" s="904">
        <f>W10*1.1</f>
        <v>2517.9</v>
      </c>
      <c r="Y10" s="698"/>
      <c r="Z10" s="698"/>
      <c r="AA10" s="904">
        <f>X10*1.1</f>
        <v>2769.6900000000005</v>
      </c>
      <c r="AB10" s="698"/>
      <c r="AC10" s="698"/>
      <c r="AD10" s="656"/>
      <c r="AE10" s="656"/>
      <c r="AF10" s="656"/>
      <c r="AG10" s="656"/>
      <c r="AH10" s="664"/>
      <c r="AI10" s="628"/>
      <c r="AJ10" s="629"/>
      <c r="AK10" s="629"/>
      <c r="AL10" s="629"/>
      <c r="AM10" s="629"/>
      <c r="AN10" s="629"/>
      <c r="AO10" s="629"/>
      <c r="AP10" s="629"/>
      <c r="AQ10" s="629"/>
      <c r="AR10" s="629"/>
      <c r="AS10" s="629"/>
      <c r="AT10" s="630"/>
      <c r="AU10" s="630"/>
      <c r="AV10" s="630"/>
      <c r="AW10" s="629">
        <v>2119</v>
      </c>
      <c r="AX10" s="663" t="s">
        <v>1206</v>
      </c>
      <c r="AY10" s="629">
        <v>2289</v>
      </c>
      <c r="AZ10" s="904">
        <f>AY10*1.1</f>
        <v>2517.9</v>
      </c>
      <c r="BA10" s="657"/>
      <c r="BB10" s="657"/>
      <c r="BC10" s="904">
        <f>AZ10*1.1</f>
        <v>2769.6900000000005</v>
      </c>
      <c r="BD10" s="657"/>
      <c r="BE10" s="657"/>
      <c r="BF10" s="658"/>
      <c r="BG10" s="666"/>
      <c r="BH10" s="667"/>
      <c r="BI10" s="667"/>
      <c r="BJ10" s="629"/>
      <c r="BK10" s="628"/>
      <c r="BL10" s="629"/>
      <c r="BM10" s="629"/>
      <c r="BN10" s="629"/>
      <c r="BO10" s="629"/>
      <c r="BP10" s="630"/>
      <c r="BQ10" s="630"/>
      <c r="BR10" s="630"/>
      <c r="BS10" s="630"/>
      <c r="BT10" s="630"/>
      <c r="BU10" s="630"/>
      <c r="BV10" s="630"/>
      <c r="BW10" s="630"/>
      <c r="BX10" s="630"/>
      <c r="BY10" s="629"/>
      <c r="BZ10" s="629"/>
      <c r="CA10" s="629"/>
      <c r="CB10" s="905"/>
      <c r="CC10" s="630"/>
      <c r="CD10" s="630"/>
      <c r="CE10" s="905"/>
      <c r="CF10" s="630"/>
      <c r="CG10" s="630"/>
      <c r="CH10" s="677"/>
      <c r="CI10" s="677"/>
      <c r="CJ10" s="677"/>
      <c r="CK10" s="692"/>
      <c r="CL10" s="634"/>
      <c r="CM10" s="659"/>
      <c r="CN10" s="659"/>
      <c r="CO10" s="659"/>
      <c r="CP10" s="659"/>
      <c r="CQ10" s="659"/>
      <c r="CR10" s="659"/>
      <c r="CS10" s="659"/>
      <c r="CT10" s="659"/>
      <c r="CU10" s="659"/>
      <c r="CV10" s="659"/>
      <c r="CW10" s="660"/>
      <c r="CX10" s="660"/>
      <c r="CY10" s="660"/>
      <c r="CZ10" s="659"/>
      <c r="DA10" s="659"/>
      <c r="DB10" s="659"/>
      <c r="DC10" s="908"/>
      <c r="DD10" s="661"/>
      <c r="DE10" s="661"/>
      <c r="DF10" s="908"/>
      <c r="DG10" s="661"/>
      <c r="DH10" s="661"/>
      <c r="DI10" s="677">
        <v>21952</v>
      </c>
      <c r="DJ10" s="677">
        <v>5253</v>
      </c>
      <c r="DK10" s="677">
        <v>20420</v>
      </c>
      <c r="DL10" s="692">
        <f>DK10*$H$1</f>
        <v>0</v>
      </c>
      <c r="DM10" s="634" t="s">
        <v>372</v>
      </c>
      <c r="DN10" s="659">
        <v>19779</v>
      </c>
      <c r="DO10" s="659">
        <f>DN10*1.05</f>
        <v>20767.95</v>
      </c>
      <c r="DP10" s="668" t="s">
        <v>389</v>
      </c>
      <c r="DQ10" s="659">
        <v>18970.14</v>
      </c>
      <c r="DR10" s="659">
        <f t="shared" ref="DR10:DR11" si="0">DQ10*1.05</f>
        <v>19918.647000000001</v>
      </c>
      <c r="DS10" s="668" t="s">
        <v>496</v>
      </c>
      <c r="DT10" s="659">
        <v>19918</v>
      </c>
      <c r="DU10" s="659">
        <f t="shared" ref="DU10:DU11" si="1">DT10*1.05</f>
        <v>20913.900000000001</v>
      </c>
      <c r="DV10" s="668"/>
      <c r="DW10" s="659">
        <v>21278</v>
      </c>
      <c r="DX10" s="660">
        <f>DW10*1.1</f>
        <v>23405.800000000003</v>
      </c>
      <c r="DY10" s="669" t="s">
        <v>714</v>
      </c>
      <c r="DZ10" s="660">
        <v>22871</v>
      </c>
      <c r="EA10" s="659">
        <v>24015</v>
      </c>
      <c r="EB10" s="668" t="s">
        <v>1202</v>
      </c>
      <c r="EC10" s="659">
        <v>25941</v>
      </c>
      <c r="ED10" s="908">
        <f>EC10*1.1</f>
        <v>28535.100000000002</v>
      </c>
      <c r="EE10" s="661"/>
      <c r="EF10" s="661"/>
      <c r="EG10" s="908">
        <f t="shared" ref="EG10:EG12" si="2">ED10*1.1</f>
        <v>31388.610000000004</v>
      </c>
      <c r="EH10" s="661"/>
      <c r="EI10" s="661"/>
    </row>
    <row r="11" spans="1:154" x14ac:dyDescent="0.2">
      <c r="A11" s="899" t="s">
        <v>79</v>
      </c>
      <c r="B11" s="671"/>
      <c r="C11" s="672"/>
      <c r="D11" s="671"/>
      <c r="E11" s="667"/>
      <c r="F11" s="664"/>
      <c r="G11" s="653"/>
      <c r="H11" s="629"/>
      <c r="I11" s="629"/>
      <c r="J11" s="629"/>
      <c r="K11" s="629"/>
      <c r="L11" s="629"/>
      <c r="M11" s="629"/>
      <c r="N11" s="628"/>
      <c r="O11" s="629"/>
      <c r="P11" s="629"/>
      <c r="Q11" s="628"/>
      <c r="R11" s="655"/>
      <c r="S11" s="655"/>
      <c r="T11" s="655"/>
      <c r="U11" s="628"/>
      <c r="V11" s="628"/>
      <c r="W11" s="628"/>
      <c r="X11" s="905"/>
      <c r="Y11" s="655"/>
      <c r="Z11" s="655"/>
      <c r="AA11" s="905"/>
      <c r="AB11" s="655"/>
      <c r="AC11" s="655"/>
      <c r="AD11" s="656"/>
      <c r="AE11" s="656"/>
      <c r="AF11" s="656"/>
      <c r="AG11" s="656"/>
      <c r="AH11" s="664"/>
      <c r="AI11" s="628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30"/>
      <c r="AU11" s="630"/>
      <c r="AV11" s="630"/>
      <c r="AW11" s="629"/>
      <c r="AX11" s="629"/>
      <c r="AY11" s="629"/>
      <c r="AZ11" s="904"/>
      <c r="BA11" s="657"/>
      <c r="BB11" s="657"/>
      <c r="BC11" s="904"/>
      <c r="BD11" s="657"/>
      <c r="BE11" s="657"/>
      <c r="BF11" s="658"/>
      <c r="BG11" s="666"/>
      <c r="BH11" s="667"/>
      <c r="BI11" s="667"/>
      <c r="BJ11" s="629"/>
      <c r="BK11" s="628"/>
      <c r="BL11" s="629"/>
      <c r="BM11" s="629"/>
      <c r="BN11" s="629"/>
      <c r="BO11" s="629"/>
      <c r="BP11" s="630"/>
      <c r="BQ11" s="630"/>
      <c r="BR11" s="630"/>
      <c r="BS11" s="630"/>
      <c r="BT11" s="630"/>
      <c r="BU11" s="630"/>
      <c r="BV11" s="630"/>
      <c r="BW11" s="630"/>
      <c r="BX11" s="630"/>
      <c r="BY11" s="629"/>
      <c r="BZ11" s="629"/>
      <c r="CA11" s="629"/>
      <c r="CB11" s="905"/>
      <c r="CC11" s="630"/>
      <c r="CD11" s="630"/>
      <c r="CE11" s="905"/>
      <c r="CF11" s="630"/>
      <c r="CG11" s="630"/>
      <c r="CH11" s="677"/>
      <c r="CI11" s="677"/>
      <c r="CJ11" s="677"/>
      <c r="CK11" s="692"/>
      <c r="CL11" s="634"/>
      <c r="CM11" s="659"/>
      <c r="CN11" s="659"/>
      <c r="CO11" s="659"/>
      <c r="CP11" s="659"/>
      <c r="CQ11" s="659"/>
      <c r="CR11" s="659"/>
      <c r="CS11" s="659"/>
      <c r="CT11" s="659"/>
      <c r="CU11" s="659"/>
      <c r="CV11" s="659"/>
      <c r="CW11" s="660"/>
      <c r="CX11" s="660"/>
      <c r="CY11" s="660"/>
      <c r="CZ11" s="659"/>
      <c r="DA11" s="659"/>
      <c r="DB11" s="659"/>
      <c r="DC11" s="908"/>
      <c r="DD11" s="661"/>
      <c r="DE11" s="661"/>
      <c r="DF11" s="908"/>
      <c r="DG11" s="661"/>
      <c r="DH11" s="661"/>
      <c r="DI11" s="677">
        <v>1737</v>
      </c>
      <c r="DJ11" s="677">
        <v>5231</v>
      </c>
      <c r="DK11" s="677">
        <v>2042</v>
      </c>
      <c r="DL11" s="692">
        <f>DK11*$H$1</f>
        <v>0</v>
      </c>
      <c r="DM11" s="634">
        <v>5616</v>
      </c>
      <c r="DN11" s="659">
        <v>2073</v>
      </c>
      <c r="DO11" s="659">
        <f>DN11*1.05</f>
        <v>2176.65</v>
      </c>
      <c r="DP11" s="699" t="s">
        <v>373</v>
      </c>
      <c r="DQ11" s="659">
        <v>2102</v>
      </c>
      <c r="DR11" s="659">
        <f t="shared" si="0"/>
        <v>2207.1</v>
      </c>
      <c r="DS11" s="677">
        <v>6157</v>
      </c>
      <c r="DT11" s="659">
        <v>2118</v>
      </c>
      <c r="DU11" s="659">
        <f t="shared" si="1"/>
        <v>2223.9</v>
      </c>
      <c r="DV11" s="677">
        <v>6505</v>
      </c>
      <c r="DW11" s="659">
        <v>2119</v>
      </c>
      <c r="DX11" s="700">
        <f>DW11*1.1</f>
        <v>2330.9</v>
      </c>
      <c r="DY11" s="701">
        <v>6797</v>
      </c>
      <c r="DZ11" s="700">
        <v>2167</v>
      </c>
      <c r="EA11" s="659">
        <f>DZ11*1.05</f>
        <v>2275.35</v>
      </c>
      <c r="EB11" s="702" t="s">
        <v>1201</v>
      </c>
      <c r="EC11" s="659">
        <v>2167</v>
      </c>
      <c r="ED11" s="908">
        <f>EC11*1.1</f>
        <v>2383.7000000000003</v>
      </c>
      <c r="EE11" s="661"/>
      <c r="EF11" s="661"/>
      <c r="EG11" s="908">
        <f t="shared" si="2"/>
        <v>2622.0700000000006</v>
      </c>
      <c r="EH11" s="661"/>
      <c r="EI11" s="661"/>
    </row>
    <row r="12" spans="1:154" x14ac:dyDescent="0.2">
      <c r="A12" s="899" t="s">
        <v>80</v>
      </c>
      <c r="B12" s="671"/>
      <c r="C12" s="672"/>
      <c r="D12" s="671"/>
      <c r="E12" s="667"/>
      <c r="F12" s="664"/>
      <c r="G12" s="653"/>
      <c r="H12" s="629"/>
      <c r="I12" s="629"/>
      <c r="J12" s="629"/>
      <c r="K12" s="629"/>
      <c r="L12" s="629"/>
      <c r="M12" s="629"/>
      <c r="N12" s="628"/>
      <c r="O12" s="629"/>
      <c r="P12" s="629"/>
      <c r="Q12" s="628"/>
      <c r="R12" s="655"/>
      <c r="S12" s="655"/>
      <c r="T12" s="655"/>
      <c r="U12" s="628"/>
      <c r="V12" s="628"/>
      <c r="W12" s="628"/>
      <c r="X12" s="905"/>
      <c r="Y12" s="655"/>
      <c r="Z12" s="655"/>
      <c r="AA12" s="905"/>
      <c r="AB12" s="655"/>
      <c r="AC12" s="655"/>
      <c r="AD12" s="656"/>
      <c r="AE12" s="656"/>
      <c r="AF12" s="656"/>
      <c r="AG12" s="656"/>
      <c r="AH12" s="664"/>
      <c r="AI12" s="628"/>
      <c r="AJ12" s="629"/>
      <c r="AK12" s="629"/>
      <c r="AL12" s="629"/>
      <c r="AM12" s="629"/>
      <c r="AN12" s="629"/>
      <c r="AO12" s="629"/>
      <c r="AP12" s="629"/>
      <c r="AQ12" s="629"/>
      <c r="AR12" s="629"/>
      <c r="AS12" s="629"/>
      <c r="AT12" s="630"/>
      <c r="AU12" s="630"/>
      <c r="AV12" s="630"/>
      <c r="AW12" s="629"/>
      <c r="AX12" s="629"/>
      <c r="AY12" s="629"/>
      <c r="AZ12" s="904"/>
      <c r="BA12" s="657"/>
      <c r="BB12" s="657"/>
      <c r="BC12" s="904"/>
      <c r="BD12" s="657"/>
      <c r="BE12" s="657"/>
      <c r="BF12" s="658"/>
      <c r="BG12" s="666"/>
      <c r="BH12" s="667"/>
      <c r="BI12" s="667"/>
      <c r="BJ12" s="629"/>
      <c r="BK12" s="628"/>
      <c r="BL12" s="629"/>
      <c r="BM12" s="629"/>
      <c r="BN12" s="629"/>
      <c r="BO12" s="629"/>
      <c r="BP12" s="630"/>
      <c r="BQ12" s="630"/>
      <c r="BR12" s="630"/>
      <c r="BS12" s="630"/>
      <c r="BT12" s="630"/>
      <c r="BU12" s="630"/>
      <c r="BV12" s="630"/>
      <c r="BW12" s="630"/>
      <c r="BX12" s="630"/>
      <c r="BY12" s="629"/>
      <c r="BZ12" s="629"/>
      <c r="CA12" s="629"/>
      <c r="CB12" s="905"/>
      <c r="CC12" s="630"/>
      <c r="CD12" s="630"/>
      <c r="CE12" s="905"/>
      <c r="CF12" s="630"/>
      <c r="CG12" s="630"/>
      <c r="CH12" s="677"/>
      <c r="CI12" s="677"/>
      <c r="CJ12" s="677"/>
      <c r="CK12" s="692"/>
      <c r="CL12" s="634"/>
      <c r="CM12" s="659"/>
      <c r="CN12" s="659"/>
      <c r="CO12" s="659"/>
      <c r="CP12" s="659"/>
      <c r="CQ12" s="659"/>
      <c r="CR12" s="659"/>
      <c r="CS12" s="659"/>
      <c r="CT12" s="659"/>
      <c r="CU12" s="659"/>
      <c r="CV12" s="659"/>
      <c r="CW12" s="660"/>
      <c r="CX12" s="660"/>
      <c r="CY12" s="660"/>
      <c r="CZ12" s="659"/>
      <c r="DA12" s="659"/>
      <c r="DB12" s="659"/>
      <c r="DC12" s="908"/>
      <c r="DD12" s="661"/>
      <c r="DE12" s="661"/>
      <c r="DF12" s="908"/>
      <c r="DG12" s="661"/>
      <c r="DH12" s="661"/>
      <c r="DI12" s="677">
        <v>618</v>
      </c>
      <c r="DJ12" s="677" t="s">
        <v>81</v>
      </c>
      <c r="DK12" s="677">
        <v>521</v>
      </c>
      <c r="DL12" s="692">
        <f>DK12*$H$1</f>
        <v>0</v>
      </c>
      <c r="DM12" s="678" t="s">
        <v>362</v>
      </c>
      <c r="DN12" s="659">
        <v>0</v>
      </c>
      <c r="DO12" s="659">
        <f>DN12*1.05</f>
        <v>0</v>
      </c>
      <c r="DP12" s="659"/>
      <c r="DQ12" s="659"/>
      <c r="DR12" s="659"/>
      <c r="DS12" s="659"/>
      <c r="DT12" s="659"/>
      <c r="DU12" s="659"/>
      <c r="DV12" s="659"/>
      <c r="DW12" s="659">
        <v>919</v>
      </c>
      <c r="DX12" s="660">
        <f>DW12*1.1</f>
        <v>1010.9000000000001</v>
      </c>
      <c r="DY12" s="660"/>
      <c r="DZ12" s="660"/>
      <c r="EA12" s="659"/>
      <c r="EB12" s="668" t="s">
        <v>1203</v>
      </c>
      <c r="EC12" s="659">
        <v>936</v>
      </c>
      <c r="ED12" s="908">
        <f>EC12*1.1</f>
        <v>1029.6000000000001</v>
      </c>
      <c r="EE12" s="661"/>
      <c r="EF12" s="661"/>
      <c r="EG12" s="908">
        <f t="shared" si="2"/>
        <v>1132.5600000000002</v>
      </c>
      <c r="EH12" s="661"/>
      <c r="EI12" s="661"/>
      <c r="EJ12"/>
      <c r="EK12"/>
      <c r="EL12"/>
      <c r="EN12"/>
      <c r="EO12"/>
      <c r="EP12"/>
      <c r="EQ12"/>
      <c r="ER12"/>
      <c r="ES12"/>
      <c r="ET12"/>
      <c r="EU12"/>
      <c r="EV12"/>
      <c r="EW12"/>
      <c r="EX12"/>
    </row>
    <row r="13" spans="1:154" x14ac:dyDescent="0.2">
      <c r="A13" s="899" t="s">
        <v>82</v>
      </c>
      <c r="B13" s="671"/>
      <c r="C13" s="672"/>
      <c r="D13" s="671"/>
      <c r="E13" s="667"/>
      <c r="F13" s="664"/>
      <c r="G13" s="653"/>
      <c r="H13" s="629"/>
      <c r="I13" s="629"/>
      <c r="J13" s="629"/>
      <c r="K13" s="629"/>
      <c r="L13" s="629"/>
      <c r="M13" s="629"/>
      <c r="N13" s="628"/>
      <c r="O13" s="629"/>
      <c r="P13" s="629"/>
      <c r="Q13" s="628"/>
      <c r="R13" s="655"/>
      <c r="S13" s="655"/>
      <c r="T13" s="655"/>
      <c r="U13" s="628"/>
      <c r="V13" s="628"/>
      <c r="W13" s="628"/>
      <c r="X13" s="905"/>
      <c r="Y13" s="655"/>
      <c r="Z13" s="655"/>
      <c r="AA13" s="905"/>
      <c r="AB13" s="655"/>
      <c r="AC13" s="655"/>
      <c r="AD13" s="656"/>
      <c r="AE13" s="656"/>
      <c r="AF13" s="656"/>
      <c r="AG13" s="656"/>
      <c r="AH13" s="664"/>
      <c r="AI13" s="628"/>
      <c r="AJ13" s="629"/>
      <c r="AK13" s="629"/>
      <c r="AL13" s="629"/>
      <c r="AM13" s="629"/>
      <c r="AN13" s="629"/>
      <c r="AO13" s="629"/>
      <c r="AP13" s="629"/>
      <c r="AQ13" s="629"/>
      <c r="AR13" s="629"/>
      <c r="AS13" s="629"/>
      <c r="AT13" s="630"/>
      <c r="AU13" s="630"/>
      <c r="AV13" s="630"/>
      <c r="AW13" s="629"/>
      <c r="AX13" s="629"/>
      <c r="AY13" s="629"/>
      <c r="AZ13" s="904"/>
      <c r="BA13" s="657"/>
      <c r="BB13" s="657"/>
      <c r="BC13" s="904"/>
      <c r="BD13" s="657"/>
      <c r="BE13" s="657"/>
      <c r="BF13" s="658"/>
      <c r="BG13" s="666"/>
      <c r="BH13" s="667"/>
      <c r="BI13" s="667"/>
      <c r="BJ13" s="629"/>
      <c r="BK13" s="628"/>
      <c r="BL13" s="629"/>
      <c r="BM13" s="629"/>
      <c r="BN13" s="629"/>
      <c r="BO13" s="629"/>
      <c r="BP13" s="630"/>
      <c r="BQ13" s="630"/>
      <c r="BR13" s="630"/>
      <c r="BS13" s="630"/>
      <c r="BT13" s="630"/>
      <c r="BU13" s="630"/>
      <c r="BV13" s="630"/>
      <c r="BW13" s="630"/>
      <c r="BX13" s="630"/>
      <c r="BY13" s="629"/>
      <c r="BZ13" s="629"/>
      <c r="CA13" s="629"/>
      <c r="CB13" s="905"/>
      <c r="CC13" s="630"/>
      <c r="CD13" s="630"/>
      <c r="CE13" s="905"/>
      <c r="CF13" s="630"/>
      <c r="CG13" s="630"/>
      <c r="CH13" s="677"/>
      <c r="CI13" s="677"/>
      <c r="CJ13" s="677"/>
      <c r="CK13" s="692"/>
      <c r="CL13" s="634"/>
      <c r="CM13" s="659"/>
      <c r="CN13" s="659"/>
      <c r="CO13" s="659"/>
      <c r="CP13" s="659"/>
      <c r="CQ13" s="659"/>
      <c r="CR13" s="659"/>
      <c r="CS13" s="659"/>
      <c r="CT13" s="659"/>
      <c r="CU13" s="659"/>
      <c r="CV13" s="659"/>
      <c r="CW13" s="660"/>
      <c r="CX13" s="660"/>
      <c r="CY13" s="660"/>
      <c r="CZ13" s="659"/>
      <c r="DA13" s="659"/>
      <c r="DB13" s="659"/>
      <c r="DC13" s="908"/>
      <c r="DD13" s="661"/>
      <c r="DE13" s="661"/>
      <c r="DF13" s="908"/>
      <c r="DG13" s="661"/>
      <c r="DH13" s="661"/>
      <c r="DI13" s="677">
        <v>543</v>
      </c>
      <c r="DJ13" s="677"/>
      <c r="DK13" s="677"/>
      <c r="DL13" s="692"/>
      <c r="DM13" s="634"/>
      <c r="DN13" s="659"/>
      <c r="DO13" s="659"/>
      <c r="DP13" s="659"/>
      <c r="DQ13" s="659"/>
      <c r="DR13" s="659"/>
      <c r="DS13" s="659"/>
      <c r="DT13" s="659"/>
      <c r="DU13" s="659"/>
      <c r="DV13" s="659"/>
      <c r="DW13" s="659"/>
      <c r="DX13" s="660"/>
      <c r="DY13" s="660"/>
      <c r="DZ13" s="660"/>
      <c r="EA13" s="659"/>
      <c r="EB13" s="659"/>
      <c r="EC13" s="659"/>
      <c r="ED13" s="908"/>
      <c r="EE13" s="661"/>
      <c r="EF13" s="661"/>
      <c r="EG13" s="908"/>
      <c r="EH13" s="661"/>
      <c r="EI13" s="661"/>
      <c r="EJ13"/>
      <c r="EK13"/>
      <c r="EL13"/>
      <c r="EN13"/>
      <c r="EO13"/>
      <c r="EP13"/>
      <c r="EQ13"/>
      <c r="ER13"/>
      <c r="ES13"/>
      <c r="ET13"/>
      <c r="EU13"/>
      <c r="EV13"/>
      <c r="EW13"/>
      <c r="EX13"/>
    </row>
    <row r="14" spans="1:154" x14ac:dyDescent="0.2">
      <c r="A14" s="899" t="s">
        <v>83</v>
      </c>
      <c r="B14" s="671"/>
      <c r="C14" s="672"/>
      <c r="D14" s="671"/>
      <c r="E14" s="667"/>
      <c r="F14" s="664"/>
      <c r="G14" s="653"/>
      <c r="H14" s="629"/>
      <c r="I14" s="629"/>
      <c r="J14" s="629"/>
      <c r="K14" s="629"/>
      <c r="L14" s="629"/>
      <c r="M14" s="629"/>
      <c r="N14" s="628"/>
      <c r="O14" s="629"/>
      <c r="P14" s="629"/>
      <c r="Q14" s="628"/>
      <c r="R14" s="655"/>
      <c r="S14" s="655"/>
      <c r="T14" s="655"/>
      <c r="U14" s="628"/>
      <c r="V14" s="628"/>
      <c r="W14" s="628"/>
      <c r="X14" s="905"/>
      <c r="Y14" s="655"/>
      <c r="Z14" s="655"/>
      <c r="AA14" s="905"/>
      <c r="AB14" s="655"/>
      <c r="AC14" s="655"/>
      <c r="AD14" s="656"/>
      <c r="AE14" s="656"/>
      <c r="AF14" s="656"/>
      <c r="AG14" s="656"/>
      <c r="AH14" s="664"/>
      <c r="AI14" s="628"/>
      <c r="AJ14" s="629"/>
      <c r="AK14" s="629"/>
      <c r="AL14" s="629"/>
      <c r="AM14" s="629"/>
      <c r="AN14" s="629"/>
      <c r="AO14" s="629"/>
      <c r="AP14" s="629"/>
      <c r="AQ14" s="629"/>
      <c r="AR14" s="629"/>
      <c r="AS14" s="629"/>
      <c r="AT14" s="630"/>
      <c r="AU14" s="630"/>
      <c r="AV14" s="630"/>
      <c r="AW14" s="629"/>
      <c r="AX14" s="629"/>
      <c r="AY14" s="629"/>
      <c r="AZ14" s="904"/>
      <c r="BA14" s="657"/>
      <c r="BB14" s="657"/>
      <c r="BC14" s="904"/>
      <c r="BD14" s="657"/>
      <c r="BE14" s="657"/>
      <c r="BF14" s="658"/>
      <c r="BG14" s="666"/>
      <c r="BH14" s="667"/>
      <c r="BI14" s="667"/>
      <c r="BJ14" s="629"/>
      <c r="BK14" s="628"/>
      <c r="BL14" s="629"/>
      <c r="BM14" s="629"/>
      <c r="BN14" s="629"/>
      <c r="BO14" s="629"/>
      <c r="BP14" s="630"/>
      <c r="BQ14" s="630"/>
      <c r="BR14" s="630"/>
      <c r="BS14" s="630"/>
      <c r="BT14" s="630"/>
      <c r="BU14" s="630"/>
      <c r="BV14" s="630"/>
      <c r="BW14" s="630"/>
      <c r="BX14" s="630"/>
      <c r="BY14" s="629"/>
      <c r="BZ14" s="629"/>
      <c r="CA14" s="629"/>
      <c r="CB14" s="905"/>
      <c r="CC14" s="630"/>
      <c r="CD14" s="630"/>
      <c r="CE14" s="905"/>
      <c r="CF14" s="630"/>
      <c r="CG14" s="630"/>
      <c r="CH14" s="677"/>
      <c r="CI14" s="677"/>
      <c r="CJ14" s="677"/>
      <c r="CK14" s="692"/>
      <c r="CL14" s="634"/>
      <c r="CM14" s="659"/>
      <c r="CN14" s="659"/>
      <c r="CO14" s="659"/>
      <c r="CP14" s="659"/>
      <c r="CQ14" s="659"/>
      <c r="CR14" s="659"/>
      <c r="CS14" s="659"/>
      <c r="CT14" s="659"/>
      <c r="CU14" s="659"/>
      <c r="CV14" s="659"/>
      <c r="CW14" s="660"/>
      <c r="CX14" s="660"/>
      <c r="CY14" s="660"/>
      <c r="CZ14" s="659"/>
      <c r="DA14" s="659"/>
      <c r="DB14" s="659"/>
      <c r="DC14" s="908"/>
      <c r="DD14" s="661"/>
      <c r="DE14" s="661"/>
      <c r="DF14" s="908"/>
      <c r="DG14" s="661"/>
      <c r="DH14" s="661"/>
      <c r="DI14" s="677"/>
      <c r="DJ14" s="677"/>
      <c r="DK14" s="677"/>
      <c r="DL14" s="692"/>
      <c r="DM14" s="634"/>
      <c r="DN14" s="659"/>
      <c r="DO14" s="659"/>
      <c r="DP14" s="659"/>
      <c r="DQ14" s="659"/>
      <c r="DR14" s="659"/>
      <c r="DS14" s="659"/>
      <c r="DT14" s="659"/>
      <c r="DU14" s="659"/>
      <c r="DV14" s="659"/>
      <c r="DW14" s="659"/>
      <c r="DX14" s="660"/>
      <c r="DY14" s="660"/>
      <c r="DZ14" s="660"/>
      <c r="EA14" s="659"/>
      <c r="EB14" s="659"/>
      <c r="EC14" s="659"/>
      <c r="ED14" s="908"/>
      <c r="EE14" s="661"/>
      <c r="EF14" s="661"/>
      <c r="EG14" s="908"/>
      <c r="EH14" s="661"/>
      <c r="EI14" s="661"/>
      <c r="EJ14"/>
      <c r="EK14"/>
      <c r="EL14"/>
      <c r="EN14"/>
      <c r="EO14"/>
      <c r="EP14"/>
      <c r="EQ14"/>
      <c r="ER14"/>
      <c r="ES14"/>
      <c r="ET14"/>
      <c r="EU14"/>
      <c r="EV14"/>
      <c r="EW14"/>
      <c r="EX14"/>
    </row>
    <row r="15" spans="1:154" x14ac:dyDescent="0.2">
      <c r="A15" s="899" t="s">
        <v>84</v>
      </c>
      <c r="B15" s="671"/>
      <c r="C15" s="672"/>
      <c r="D15" s="671"/>
      <c r="E15" s="667"/>
      <c r="F15" s="664"/>
      <c r="G15" s="653"/>
      <c r="H15" s="629"/>
      <c r="I15" s="629"/>
      <c r="J15" s="629"/>
      <c r="K15" s="629"/>
      <c r="L15" s="629"/>
      <c r="M15" s="629"/>
      <c r="N15" s="628"/>
      <c r="O15" s="629"/>
      <c r="P15" s="629"/>
      <c r="Q15" s="628"/>
      <c r="R15" s="655"/>
      <c r="S15" s="655"/>
      <c r="T15" s="655"/>
      <c r="U15" s="628"/>
      <c r="V15" s="628"/>
      <c r="W15" s="628"/>
      <c r="X15" s="905"/>
      <c r="Y15" s="655"/>
      <c r="Z15" s="655"/>
      <c r="AA15" s="905"/>
      <c r="AB15" s="655"/>
      <c r="AC15" s="655"/>
      <c r="AD15" s="656"/>
      <c r="AE15" s="656"/>
      <c r="AF15" s="656"/>
      <c r="AG15" s="656"/>
      <c r="AH15" s="664"/>
      <c r="AI15" s="628"/>
      <c r="AJ15" s="629"/>
      <c r="AK15" s="629"/>
      <c r="AL15" s="629"/>
      <c r="AM15" s="629"/>
      <c r="AN15" s="629"/>
      <c r="AO15" s="629"/>
      <c r="AP15" s="629"/>
      <c r="AQ15" s="629"/>
      <c r="AR15" s="629"/>
      <c r="AS15" s="629"/>
      <c r="AT15" s="630"/>
      <c r="AU15" s="630"/>
      <c r="AV15" s="630"/>
      <c r="AW15" s="629"/>
      <c r="AX15" s="629"/>
      <c r="AY15" s="629"/>
      <c r="AZ15" s="904"/>
      <c r="BA15" s="657"/>
      <c r="BB15" s="657"/>
      <c r="BC15" s="904"/>
      <c r="BD15" s="657"/>
      <c r="BE15" s="657"/>
      <c r="BF15" s="658"/>
      <c r="BG15" s="666"/>
      <c r="BH15" s="667"/>
      <c r="BI15" s="667"/>
      <c r="BJ15" s="629"/>
      <c r="BK15" s="628"/>
      <c r="BL15" s="629"/>
      <c r="BM15" s="629"/>
      <c r="BN15" s="629"/>
      <c r="BO15" s="629"/>
      <c r="BP15" s="630"/>
      <c r="BQ15" s="630"/>
      <c r="BR15" s="630"/>
      <c r="BS15" s="630"/>
      <c r="BT15" s="630"/>
      <c r="BU15" s="630"/>
      <c r="BV15" s="630"/>
      <c r="BW15" s="630"/>
      <c r="BX15" s="630"/>
      <c r="BY15" s="629"/>
      <c r="BZ15" s="629"/>
      <c r="CA15" s="629"/>
      <c r="CB15" s="905"/>
      <c r="CC15" s="630"/>
      <c r="CD15" s="630"/>
      <c r="CE15" s="905"/>
      <c r="CF15" s="630"/>
      <c r="CG15" s="630"/>
      <c r="CH15" s="677">
        <v>376</v>
      </c>
      <c r="CI15" s="677"/>
      <c r="CJ15" s="677"/>
      <c r="CK15" s="692">
        <f>CJ15*$H$1</f>
        <v>0</v>
      </c>
      <c r="CL15" s="634"/>
      <c r="CM15" s="659"/>
      <c r="CN15" s="659"/>
      <c r="CO15" s="659"/>
      <c r="CP15" s="659"/>
      <c r="CQ15" s="659"/>
      <c r="CR15" s="659"/>
      <c r="CS15" s="659"/>
      <c r="CT15" s="659"/>
      <c r="CU15" s="659"/>
      <c r="CV15" s="659"/>
      <c r="CW15" s="660"/>
      <c r="CX15" s="660"/>
      <c r="CY15" s="660"/>
      <c r="CZ15" s="659"/>
      <c r="DA15" s="659"/>
      <c r="DB15" s="659"/>
      <c r="DC15" s="908"/>
      <c r="DD15" s="661"/>
      <c r="DE15" s="661"/>
      <c r="DF15" s="908"/>
      <c r="DG15" s="661"/>
      <c r="DH15" s="661"/>
      <c r="DI15" s="677"/>
      <c r="DJ15" s="677"/>
      <c r="DK15" s="677"/>
      <c r="DL15" s="692"/>
      <c r="DM15" s="634"/>
      <c r="DN15" s="659"/>
      <c r="DO15" s="659"/>
      <c r="DP15" s="659"/>
      <c r="DQ15" s="659"/>
      <c r="DR15" s="659"/>
      <c r="DS15" s="659"/>
      <c r="DT15" s="659"/>
      <c r="DU15" s="659"/>
      <c r="DV15" s="659"/>
      <c r="DW15" s="659"/>
      <c r="DX15" s="660"/>
      <c r="DY15" s="660"/>
      <c r="DZ15" s="660"/>
      <c r="EA15" s="659"/>
      <c r="EB15" s="659"/>
      <c r="EC15" s="659"/>
      <c r="ED15" s="908"/>
      <c r="EE15" s="661"/>
      <c r="EF15" s="661"/>
      <c r="EG15" s="908"/>
      <c r="EH15" s="661"/>
      <c r="EI15" s="661"/>
      <c r="EJ15"/>
      <c r="EK15"/>
      <c r="EL15"/>
      <c r="EN15"/>
      <c r="EO15"/>
      <c r="EP15"/>
      <c r="EQ15"/>
      <c r="ER15"/>
      <c r="ES15"/>
      <c r="ET15"/>
      <c r="EU15"/>
      <c r="EV15"/>
      <c r="EW15"/>
      <c r="EX15"/>
    </row>
    <row r="16" spans="1:154" x14ac:dyDescent="0.2">
      <c r="A16" s="899" t="s">
        <v>85</v>
      </c>
      <c r="B16" s="671"/>
      <c r="C16" s="672"/>
      <c r="D16" s="671"/>
      <c r="E16" s="667"/>
      <c r="F16" s="664"/>
      <c r="G16" s="653"/>
      <c r="H16" s="629"/>
      <c r="I16" s="629"/>
      <c r="J16" s="629"/>
      <c r="K16" s="629"/>
      <c r="L16" s="629"/>
      <c r="M16" s="629"/>
      <c r="N16" s="628"/>
      <c r="O16" s="629"/>
      <c r="P16" s="629"/>
      <c r="Q16" s="628"/>
      <c r="R16" s="655"/>
      <c r="S16" s="655"/>
      <c r="T16" s="655"/>
      <c r="U16" s="628"/>
      <c r="V16" s="628"/>
      <c r="W16" s="628"/>
      <c r="X16" s="905"/>
      <c r="Y16" s="655"/>
      <c r="Z16" s="655"/>
      <c r="AA16" s="905"/>
      <c r="AB16" s="655"/>
      <c r="AC16" s="655"/>
      <c r="AD16" s="656"/>
      <c r="AE16" s="656"/>
      <c r="AF16" s="656"/>
      <c r="AG16" s="656"/>
      <c r="AH16" s="664"/>
      <c r="AI16" s="628"/>
      <c r="AJ16" s="629"/>
      <c r="AK16" s="629"/>
      <c r="AL16" s="629"/>
      <c r="AM16" s="629"/>
      <c r="AN16" s="629"/>
      <c r="AO16" s="629"/>
      <c r="AP16" s="629"/>
      <c r="AQ16" s="629"/>
      <c r="AR16" s="629"/>
      <c r="AS16" s="629"/>
      <c r="AT16" s="630"/>
      <c r="AU16" s="630"/>
      <c r="AV16" s="630"/>
      <c r="AW16" s="629"/>
      <c r="AX16" s="629"/>
      <c r="AY16" s="629"/>
      <c r="AZ16" s="904"/>
      <c r="BA16" s="657"/>
      <c r="BB16" s="657"/>
      <c r="BC16" s="904"/>
      <c r="BD16" s="657"/>
      <c r="BE16" s="657"/>
      <c r="BF16" s="658"/>
      <c r="BG16" s="666"/>
      <c r="BH16" s="667"/>
      <c r="BI16" s="667"/>
      <c r="BJ16" s="629"/>
      <c r="BK16" s="628"/>
      <c r="BL16" s="629"/>
      <c r="BM16" s="629"/>
      <c r="BN16" s="629"/>
      <c r="BO16" s="629"/>
      <c r="BP16" s="630"/>
      <c r="BQ16" s="630"/>
      <c r="BR16" s="630"/>
      <c r="BS16" s="630"/>
      <c r="BT16" s="630"/>
      <c r="BU16" s="630"/>
      <c r="BV16" s="630"/>
      <c r="BW16" s="630"/>
      <c r="BX16" s="630"/>
      <c r="BY16" s="629"/>
      <c r="BZ16" s="629"/>
      <c r="CA16" s="629"/>
      <c r="CB16" s="905"/>
      <c r="CC16" s="630"/>
      <c r="CD16" s="630"/>
      <c r="CE16" s="905"/>
      <c r="CF16" s="630"/>
      <c r="CG16" s="630"/>
      <c r="CH16" s="677"/>
      <c r="CI16" s="677"/>
      <c r="CJ16" s="677"/>
      <c r="CK16" s="692"/>
      <c r="CL16" s="634"/>
      <c r="CM16" s="659"/>
      <c r="CN16" s="659"/>
      <c r="CO16" s="659"/>
      <c r="CP16" s="659"/>
      <c r="CQ16" s="659"/>
      <c r="CR16" s="659"/>
      <c r="CS16" s="659"/>
      <c r="CT16" s="659"/>
      <c r="CU16" s="659"/>
      <c r="CV16" s="659"/>
      <c r="CW16" s="660"/>
      <c r="CX16" s="660"/>
      <c r="CY16" s="660"/>
      <c r="CZ16" s="659"/>
      <c r="DA16" s="659"/>
      <c r="DB16" s="659"/>
      <c r="DC16" s="908"/>
      <c r="DD16" s="661"/>
      <c r="DE16" s="661"/>
      <c r="DF16" s="908"/>
      <c r="DG16" s="661"/>
      <c r="DH16" s="661"/>
      <c r="DI16" s="677"/>
      <c r="DJ16" s="677"/>
      <c r="DK16" s="677"/>
      <c r="DL16" s="692"/>
      <c r="DM16" s="634"/>
      <c r="DN16" s="659"/>
      <c r="DO16" s="659"/>
      <c r="DP16" s="659"/>
      <c r="DQ16" s="659"/>
      <c r="DR16" s="659"/>
      <c r="DS16" s="659"/>
      <c r="DT16" s="659"/>
      <c r="DU16" s="659"/>
      <c r="DV16" s="659"/>
      <c r="DW16" s="659"/>
      <c r="DX16" s="660"/>
      <c r="DY16" s="660"/>
      <c r="DZ16" s="660"/>
      <c r="EA16" s="659"/>
      <c r="EB16" s="659"/>
      <c r="EC16" s="659"/>
      <c r="ED16" s="908"/>
      <c r="EE16" s="661"/>
      <c r="EF16" s="661"/>
      <c r="EG16" s="908"/>
      <c r="EH16" s="661"/>
      <c r="EI16" s="661"/>
      <c r="EN16"/>
      <c r="EO16"/>
      <c r="EP16"/>
      <c r="EQ16"/>
      <c r="ER16"/>
      <c r="ES16"/>
      <c r="ET16"/>
      <c r="EU16"/>
      <c r="EV16"/>
      <c r="EW16"/>
      <c r="EX16"/>
    </row>
    <row r="17" spans="1:154" x14ac:dyDescent="0.2">
      <c r="A17" s="899" t="s">
        <v>86</v>
      </c>
      <c r="B17" s="671">
        <v>10039</v>
      </c>
      <c r="C17" s="672">
        <v>11358</v>
      </c>
      <c r="D17" s="671">
        <v>15421</v>
      </c>
      <c r="E17" s="667"/>
      <c r="F17" s="664">
        <f>D17*$H$1</f>
        <v>0</v>
      </c>
      <c r="G17" s="653">
        <v>11538</v>
      </c>
      <c r="H17" s="629">
        <v>24274.75</v>
      </c>
      <c r="I17" s="629">
        <f>H17*1.05</f>
        <v>25488.487499999999</v>
      </c>
      <c r="J17" s="663" t="s">
        <v>401</v>
      </c>
      <c r="K17" s="629">
        <v>24368</v>
      </c>
      <c r="L17" s="629">
        <f>K17*1.05</f>
        <v>25586.400000000001</v>
      </c>
      <c r="M17" s="663" t="s">
        <v>510</v>
      </c>
      <c r="N17" s="628">
        <v>24368</v>
      </c>
      <c r="O17" s="629">
        <f>N17*1.05</f>
        <v>25586.400000000001</v>
      </c>
      <c r="P17" s="703" t="s">
        <v>551</v>
      </c>
      <c r="Q17" s="629">
        <v>28370</v>
      </c>
      <c r="R17" s="630">
        <f>N17*1.1</f>
        <v>26804.800000000003</v>
      </c>
      <c r="S17" s="704" t="s">
        <v>713</v>
      </c>
      <c r="T17" s="694">
        <v>22344</v>
      </c>
      <c r="U17" s="664">
        <v>23461</v>
      </c>
      <c r="V17" s="703" t="s">
        <v>1187</v>
      </c>
      <c r="W17" s="693">
        <v>25450</v>
      </c>
      <c r="X17" s="904">
        <f>W17*1.1</f>
        <v>27995.000000000004</v>
      </c>
      <c r="Y17" s="698"/>
      <c r="Z17" s="698"/>
      <c r="AA17" s="904">
        <f>X17*1.1</f>
        <v>30794.500000000007</v>
      </c>
      <c r="AB17" s="698"/>
      <c r="AC17" s="698"/>
      <c r="AD17" s="656"/>
      <c r="AE17" s="656"/>
      <c r="AF17" s="656"/>
      <c r="AG17" s="656"/>
      <c r="AH17" s="664"/>
      <c r="AI17" s="628"/>
      <c r="AJ17" s="629"/>
      <c r="AK17" s="629"/>
      <c r="AL17" s="629"/>
      <c r="AM17" s="629"/>
      <c r="AN17" s="629"/>
      <c r="AO17" s="629"/>
      <c r="AP17" s="629"/>
      <c r="AQ17" s="629"/>
      <c r="AR17" s="629"/>
      <c r="AS17" s="629"/>
      <c r="AT17" s="630"/>
      <c r="AU17" s="630"/>
      <c r="AV17" s="630"/>
      <c r="AW17" s="629"/>
      <c r="AX17" s="629"/>
      <c r="AY17" s="629"/>
      <c r="AZ17" s="904"/>
      <c r="BA17" s="657"/>
      <c r="BB17" s="657"/>
      <c r="BC17" s="904"/>
      <c r="BD17" s="657"/>
      <c r="BE17" s="657"/>
      <c r="BF17" s="658"/>
      <c r="BG17" s="666"/>
      <c r="BH17" s="667"/>
      <c r="BI17" s="667"/>
      <c r="BJ17" s="629"/>
      <c r="BK17" s="628"/>
      <c r="BL17" s="629"/>
      <c r="BM17" s="629"/>
      <c r="BN17" s="629"/>
      <c r="BO17" s="629"/>
      <c r="BP17" s="630"/>
      <c r="BQ17" s="630"/>
      <c r="BR17" s="630"/>
      <c r="BS17" s="630"/>
      <c r="BT17" s="630"/>
      <c r="BU17" s="630"/>
      <c r="BV17" s="630"/>
      <c r="BW17" s="630"/>
      <c r="BX17" s="630"/>
      <c r="BY17" s="629"/>
      <c r="BZ17" s="629"/>
      <c r="CA17" s="629"/>
      <c r="CB17" s="905"/>
      <c r="CC17" s="630"/>
      <c r="CD17" s="630"/>
      <c r="CE17" s="905"/>
      <c r="CF17" s="630"/>
      <c r="CG17" s="630"/>
      <c r="CH17" s="677">
        <v>5404</v>
      </c>
      <c r="CI17" s="677">
        <v>5524</v>
      </c>
      <c r="CJ17" s="677">
        <v>8304</v>
      </c>
      <c r="CK17" s="692">
        <f>CJ17*$H$1</f>
        <v>0</v>
      </c>
      <c r="CL17" s="634">
        <v>5823</v>
      </c>
      <c r="CM17" s="659">
        <v>13070.75</v>
      </c>
      <c r="CN17" s="659">
        <f>CM17*1.05</f>
        <v>13724.2875</v>
      </c>
      <c r="CO17" s="668" t="s">
        <v>403</v>
      </c>
      <c r="CP17" s="659">
        <v>13121</v>
      </c>
      <c r="CQ17" s="659">
        <f>CP17*1.05</f>
        <v>13777.050000000001</v>
      </c>
      <c r="CR17" s="668" t="s">
        <v>509</v>
      </c>
      <c r="CS17" s="659">
        <v>13121</v>
      </c>
      <c r="CT17" s="659">
        <f>CS17*1.05</f>
        <v>13777.050000000001</v>
      </c>
      <c r="CU17" s="659">
        <v>15275</v>
      </c>
      <c r="CV17" s="668" t="s">
        <v>552</v>
      </c>
      <c r="CW17" s="705">
        <v>16803</v>
      </c>
      <c r="CX17" s="669" t="s">
        <v>716</v>
      </c>
      <c r="CY17" s="660">
        <v>12031</v>
      </c>
      <c r="CZ17" s="706">
        <v>12633</v>
      </c>
      <c r="DA17" s="668" t="s">
        <v>1186</v>
      </c>
      <c r="DB17" s="659">
        <v>13704</v>
      </c>
      <c r="DC17" s="908">
        <f>DB17*1.1</f>
        <v>15074.400000000001</v>
      </c>
      <c r="DD17" s="661"/>
      <c r="DE17" s="661"/>
      <c r="DF17" s="908">
        <f>DC17*1.1</f>
        <v>16581.840000000004</v>
      </c>
      <c r="DG17" s="661"/>
      <c r="DH17" s="661"/>
      <c r="DI17" s="677"/>
      <c r="DJ17" s="677"/>
      <c r="DK17" s="677"/>
      <c r="DL17" s="692"/>
      <c r="DM17" s="634"/>
      <c r="DN17" s="659"/>
      <c r="DO17" s="659"/>
      <c r="DP17" s="659"/>
      <c r="DQ17" s="659"/>
      <c r="DR17" s="659"/>
      <c r="DS17" s="659"/>
      <c r="DT17" s="659"/>
      <c r="DU17" s="659"/>
      <c r="DV17" s="659"/>
      <c r="DW17" s="659"/>
      <c r="DX17" s="660"/>
      <c r="DY17" s="660"/>
      <c r="DZ17" s="660"/>
      <c r="EA17" s="659"/>
      <c r="EB17" s="659"/>
      <c r="EC17" s="659"/>
      <c r="ED17" s="908"/>
      <c r="EE17" s="661"/>
      <c r="EF17" s="661"/>
      <c r="EG17" s="908">
        <f>ED17*1.1</f>
        <v>0</v>
      </c>
      <c r="EH17" s="661"/>
      <c r="EI17" s="661"/>
      <c r="EN17"/>
      <c r="EO17"/>
      <c r="EP17"/>
      <c r="EQ17"/>
      <c r="ER17"/>
      <c r="ES17"/>
      <c r="ET17"/>
      <c r="EU17"/>
      <c r="EV17"/>
      <c r="EW17"/>
      <c r="EX17"/>
    </row>
    <row r="18" spans="1:154" x14ac:dyDescent="0.2">
      <c r="A18" s="899" t="s">
        <v>87</v>
      </c>
      <c r="B18" s="671"/>
      <c r="C18" s="672"/>
      <c r="D18" s="671"/>
      <c r="E18" s="667"/>
      <c r="F18" s="664"/>
      <c r="G18" s="653"/>
      <c r="H18" s="629"/>
      <c r="I18" s="629"/>
      <c r="J18" s="629"/>
      <c r="K18" s="629"/>
      <c r="L18" s="629"/>
      <c r="M18" s="629"/>
      <c r="N18" s="628"/>
      <c r="O18" s="629"/>
      <c r="P18" s="628"/>
      <c r="Q18" s="628"/>
      <c r="R18" s="655"/>
      <c r="S18" s="655"/>
      <c r="T18" s="655"/>
      <c r="U18" s="628"/>
      <c r="V18" s="628"/>
      <c r="W18" s="628"/>
      <c r="X18" s="905"/>
      <c r="Y18" s="655"/>
      <c r="Z18" s="655"/>
      <c r="AA18" s="905"/>
      <c r="AB18" s="655"/>
      <c r="AC18" s="655"/>
      <c r="AD18" s="656"/>
      <c r="AE18" s="656"/>
      <c r="AF18" s="656"/>
      <c r="AG18" s="656"/>
      <c r="AH18" s="664"/>
      <c r="AI18" s="628"/>
      <c r="AJ18" s="629"/>
      <c r="AK18" s="629"/>
      <c r="AL18" s="629"/>
      <c r="AM18" s="629"/>
      <c r="AN18" s="629"/>
      <c r="AO18" s="629"/>
      <c r="AP18" s="629"/>
      <c r="AQ18" s="629"/>
      <c r="AR18" s="629"/>
      <c r="AS18" s="629"/>
      <c r="AT18" s="631"/>
      <c r="AU18" s="631"/>
      <c r="AV18" s="631"/>
      <c r="AW18" s="629"/>
      <c r="AX18" s="629"/>
      <c r="AY18" s="629"/>
      <c r="AZ18" s="904"/>
      <c r="BA18" s="657"/>
      <c r="BB18" s="657"/>
      <c r="BC18" s="904"/>
      <c r="BD18" s="657"/>
      <c r="BE18" s="657"/>
      <c r="BF18" s="658"/>
      <c r="BG18" s="666"/>
      <c r="BH18" s="667"/>
      <c r="BI18" s="667"/>
      <c r="BJ18" s="629"/>
      <c r="BK18" s="628"/>
      <c r="BL18" s="629"/>
      <c r="BM18" s="629"/>
      <c r="BN18" s="629"/>
      <c r="BO18" s="629"/>
      <c r="BP18" s="630"/>
      <c r="BQ18" s="630"/>
      <c r="BR18" s="630"/>
      <c r="BS18" s="630"/>
      <c r="BT18" s="630"/>
      <c r="BU18" s="630"/>
      <c r="BV18" s="630"/>
      <c r="BW18" s="630"/>
      <c r="BX18" s="630"/>
      <c r="BY18" s="629"/>
      <c r="BZ18" s="629"/>
      <c r="CA18" s="629"/>
      <c r="CB18" s="905"/>
      <c r="CC18" s="630"/>
      <c r="CD18" s="630"/>
      <c r="CE18" s="905"/>
      <c r="CF18" s="630"/>
      <c r="CG18" s="630"/>
      <c r="CH18" s="677"/>
      <c r="CI18" s="677"/>
      <c r="CJ18" s="677"/>
      <c r="CK18" s="692"/>
      <c r="CL18" s="634"/>
      <c r="CM18" s="659"/>
      <c r="CN18" s="659"/>
      <c r="CO18" s="659"/>
      <c r="CP18" s="659"/>
      <c r="CQ18" s="659"/>
      <c r="CR18" s="659"/>
      <c r="CS18" s="659"/>
      <c r="CT18" s="659"/>
      <c r="CU18" s="659"/>
      <c r="CV18" s="659"/>
      <c r="CW18" s="660"/>
      <c r="CX18" s="660"/>
      <c r="CY18" s="660"/>
      <c r="CZ18" s="659"/>
      <c r="DA18" s="659"/>
      <c r="DB18" s="659"/>
      <c r="DC18" s="908"/>
      <c r="DD18" s="661"/>
      <c r="DE18" s="661"/>
      <c r="DF18" s="908"/>
      <c r="DG18" s="661"/>
      <c r="DH18" s="661"/>
      <c r="DI18" s="677"/>
      <c r="DJ18" s="677"/>
      <c r="DK18" s="677"/>
      <c r="DL18" s="692"/>
      <c r="DM18" s="634"/>
      <c r="DN18" s="659"/>
      <c r="DO18" s="659"/>
      <c r="DP18" s="659"/>
      <c r="DQ18" s="659"/>
      <c r="DR18" s="659"/>
      <c r="DS18" s="659"/>
      <c r="DT18" s="659"/>
      <c r="DU18" s="659"/>
      <c r="DV18" s="659"/>
      <c r="DW18" s="659"/>
      <c r="DX18" s="660"/>
      <c r="DY18" s="660"/>
      <c r="DZ18" s="660"/>
      <c r="EA18" s="659"/>
      <c r="EB18" s="659"/>
      <c r="EC18" s="659"/>
      <c r="ED18" s="908"/>
      <c r="EE18" s="661"/>
      <c r="EF18" s="661"/>
      <c r="EG18" s="908"/>
      <c r="EH18" s="661"/>
      <c r="EI18" s="661"/>
      <c r="EN18"/>
      <c r="EO18"/>
      <c r="EP18"/>
      <c r="EQ18"/>
      <c r="ER18"/>
      <c r="ES18"/>
      <c r="ET18"/>
      <c r="EU18"/>
      <c r="EV18"/>
      <c r="EW18"/>
      <c r="EX18"/>
    </row>
    <row r="19" spans="1:154" x14ac:dyDescent="0.2">
      <c r="A19" s="899" t="s">
        <v>402</v>
      </c>
      <c r="B19" s="671"/>
      <c r="C19" s="672"/>
      <c r="D19" s="671"/>
      <c r="E19" s="667"/>
      <c r="F19" s="664"/>
      <c r="G19" s="653"/>
      <c r="H19" s="629"/>
      <c r="I19" s="629"/>
      <c r="J19" s="629"/>
      <c r="K19" s="629"/>
      <c r="L19" s="629"/>
      <c r="M19" s="629"/>
      <c r="N19" s="628"/>
      <c r="O19" s="629"/>
      <c r="P19" s="629"/>
      <c r="Q19" s="628"/>
      <c r="R19" s="655"/>
      <c r="S19" s="655"/>
      <c r="T19" s="655"/>
      <c r="U19" s="628"/>
      <c r="V19" s="628"/>
      <c r="W19" s="628"/>
      <c r="X19" s="905"/>
      <c r="Y19" s="655"/>
      <c r="Z19" s="655"/>
      <c r="AA19" s="905"/>
      <c r="AB19" s="655"/>
      <c r="AC19" s="655"/>
      <c r="AD19" s="656"/>
      <c r="AE19" s="656"/>
      <c r="AF19" s="656"/>
      <c r="AG19" s="656"/>
      <c r="AH19" s="664"/>
      <c r="AI19" s="628"/>
      <c r="AJ19" s="629"/>
      <c r="AK19" s="629"/>
      <c r="AL19" s="629"/>
      <c r="AM19" s="629"/>
      <c r="AN19" s="629"/>
      <c r="AO19" s="629"/>
      <c r="AP19" s="629"/>
      <c r="AQ19" s="629"/>
      <c r="AR19" s="629"/>
      <c r="AS19" s="629"/>
      <c r="AT19" s="631"/>
      <c r="AU19" s="631"/>
      <c r="AV19" s="631"/>
      <c r="AW19" s="629"/>
      <c r="AX19" s="629"/>
      <c r="AY19" s="629"/>
      <c r="AZ19" s="904"/>
      <c r="BA19" s="657"/>
      <c r="BB19" s="657"/>
      <c r="BC19" s="904"/>
      <c r="BD19" s="657"/>
      <c r="BE19" s="657"/>
      <c r="BF19" s="658">
        <v>10154</v>
      </c>
      <c r="BG19" s="666"/>
      <c r="BH19" s="667">
        <v>10154</v>
      </c>
      <c r="BI19" s="667"/>
      <c r="BJ19" s="629">
        <f>BH19*$H$1</f>
        <v>0</v>
      </c>
      <c r="BK19" s="628">
        <v>11370</v>
      </c>
      <c r="BL19" s="629">
        <v>9446</v>
      </c>
      <c r="BM19" s="629">
        <f>BL19*1.05</f>
        <v>9918.3000000000011</v>
      </c>
      <c r="BN19" s="629"/>
      <c r="BO19" s="629"/>
      <c r="BP19" s="630"/>
      <c r="BQ19" s="630"/>
      <c r="BR19" s="630"/>
      <c r="BS19" s="630"/>
      <c r="BT19" s="630"/>
      <c r="BU19" s="630"/>
      <c r="BV19" s="630"/>
      <c r="BW19" s="630"/>
      <c r="BX19" s="630"/>
      <c r="BY19" s="629"/>
      <c r="BZ19" s="629"/>
      <c r="CA19" s="629"/>
      <c r="CB19" s="905"/>
      <c r="CC19" s="630"/>
      <c r="CD19" s="630"/>
      <c r="CE19" s="905"/>
      <c r="CF19" s="630"/>
      <c r="CG19" s="630"/>
      <c r="CH19" s="677"/>
      <c r="CI19" s="677"/>
      <c r="CJ19" s="677"/>
      <c r="CK19" s="692"/>
      <c r="CL19" s="634"/>
      <c r="CM19" s="659"/>
      <c r="CN19" s="659"/>
      <c r="CO19" s="659"/>
      <c r="CP19" s="659"/>
      <c r="CQ19" s="659"/>
      <c r="CR19" s="659"/>
      <c r="CS19" s="659"/>
      <c r="CT19" s="659"/>
      <c r="CU19" s="659"/>
      <c r="CV19" s="659"/>
      <c r="CW19" s="660"/>
      <c r="CX19" s="660"/>
      <c r="CY19" s="660"/>
      <c r="CZ19" s="659"/>
      <c r="DA19" s="659"/>
      <c r="DB19" s="659"/>
      <c r="DC19" s="908"/>
      <c r="DD19" s="661"/>
      <c r="DE19" s="661"/>
      <c r="DF19" s="908"/>
      <c r="DG19" s="661"/>
      <c r="DH19" s="661"/>
      <c r="DI19" s="677"/>
      <c r="DJ19" s="677"/>
      <c r="DK19" s="677"/>
      <c r="DL19" s="692"/>
      <c r="DM19" s="634"/>
      <c r="DN19" s="659"/>
      <c r="DO19" s="659"/>
      <c r="DP19" s="659"/>
      <c r="DQ19" s="659"/>
      <c r="DR19" s="659"/>
      <c r="DS19" s="659"/>
      <c r="DT19" s="659"/>
      <c r="DU19" s="659"/>
      <c r="DV19" s="659"/>
      <c r="DW19" s="659"/>
      <c r="DX19" s="660"/>
      <c r="DY19" s="660"/>
      <c r="DZ19" s="660"/>
      <c r="EA19" s="659"/>
      <c r="EB19" s="659"/>
      <c r="EC19" s="659"/>
      <c r="ED19" s="908"/>
      <c r="EE19" s="661"/>
      <c r="EF19" s="661"/>
      <c r="EG19" s="908"/>
      <c r="EH19" s="661"/>
      <c r="EI19" s="661"/>
    </row>
    <row r="20" spans="1:154" x14ac:dyDescent="0.2">
      <c r="A20" s="899" t="s">
        <v>88</v>
      </c>
      <c r="B20" s="671"/>
      <c r="C20" s="672"/>
      <c r="D20" s="671"/>
      <c r="E20" s="667"/>
      <c r="F20" s="664"/>
      <c r="G20" s="653"/>
      <c r="H20" s="629"/>
      <c r="I20" s="629"/>
      <c r="J20" s="629"/>
      <c r="K20" s="629"/>
      <c r="L20" s="629"/>
      <c r="M20" s="629"/>
      <c r="N20" s="628"/>
      <c r="O20" s="629"/>
      <c r="P20" s="629"/>
      <c r="Q20" s="628"/>
      <c r="R20" s="655"/>
      <c r="S20" s="655"/>
      <c r="T20" s="655"/>
      <c r="U20" s="628"/>
      <c r="V20" s="628"/>
      <c r="W20" s="628"/>
      <c r="X20" s="905"/>
      <c r="Y20" s="655"/>
      <c r="Z20" s="655"/>
      <c r="AA20" s="905"/>
      <c r="AB20" s="655"/>
      <c r="AC20" s="655"/>
      <c r="AD20" s="656"/>
      <c r="AE20" s="656"/>
      <c r="AF20" s="656"/>
      <c r="AG20" s="656"/>
      <c r="AH20" s="664"/>
      <c r="AI20" s="628"/>
      <c r="AJ20" s="629"/>
      <c r="AK20" s="629"/>
      <c r="AL20" s="629"/>
      <c r="AM20" s="629"/>
      <c r="AN20" s="629"/>
      <c r="AO20" s="629"/>
      <c r="AP20" s="629"/>
      <c r="AQ20" s="629"/>
      <c r="AR20" s="629"/>
      <c r="AS20" s="629"/>
      <c r="AT20" s="631"/>
      <c r="AU20" s="631"/>
      <c r="AV20" s="631"/>
      <c r="AW20" s="629"/>
      <c r="AX20" s="629"/>
      <c r="AY20" s="629"/>
      <c r="AZ20" s="904"/>
      <c r="BA20" s="657"/>
      <c r="BB20" s="657"/>
      <c r="BC20" s="904"/>
      <c r="BD20" s="657"/>
      <c r="BE20" s="657"/>
      <c r="BF20" s="658"/>
      <c r="BG20" s="666"/>
      <c r="BH20" s="667"/>
      <c r="BI20" s="667"/>
      <c r="BJ20" s="629"/>
      <c r="BK20" s="628"/>
      <c r="BL20" s="629"/>
      <c r="BM20" s="629"/>
      <c r="BN20" s="629"/>
      <c r="BO20" s="629"/>
      <c r="BP20" s="630"/>
      <c r="BQ20" s="630"/>
      <c r="BR20" s="630"/>
      <c r="BS20" s="630"/>
      <c r="BT20" s="630"/>
      <c r="BU20" s="630"/>
      <c r="BV20" s="630"/>
      <c r="BW20" s="630"/>
      <c r="BX20" s="630"/>
      <c r="BY20" s="629"/>
      <c r="BZ20" s="629"/>
      <c r="CA20" s="629"/>
      <c r="CB20" s="905"/>
      <c r="CC20" s="630"/>
      <c r="CD20" s="630"/>
      <c r="CE20" s="905"/>
      <c r="CF20" s="630"/>
      <c r="CG20" s="630"/>
      <c r="CH20" s="677"/>
      <c r="CI20" s="677"/>
      <c r="CJ20" s="677"/>
      <c r="CK20" s="692"/>
      <c r="CL20" s="634"/>
      <c r="CM20" s="659"/>
      <c r="CN20" s="659"/>
      <c r="CO20" s="659"/>
      <c r="CP20" s="659"/>
      <c r="CQ20" s="659"/>
      <c r="CR20" s="659"/>
      <c r="CS20" s="659"/>
      <c r="CT20" s="659"/>
      <c r="CU20" s="659"/>
      <c r="CV20" s="659"/>
      <c r="CW20" s="660"/>
      <c r="CX20" s="660"/>
      <c r="CY20" s="660"/>
      <c r="CZ20" s="659"/>
      <c r="DA20" s="659"/>
      <c r="DB20" s="659"/>
      <c r="DC20" s="908"/>
      <c r="DD20" s="661"/>
      <c r="DE20" s="661"/>
      <c r="DF20" s="908"/>
      <c r="DG20" s="661"/>
      <c r="DH20" s="661"/>
      <c r="DI20" s="677"/>
      <c r="DJ20" s="677"/>
      <c r="DK20" s="677"/>
      <c r="DL20" s="692"/>
      <c r="DM20" s="634"/>
      <c r="DN20" s="659"/>
      <c r="DO20" s="659"/>
      <c r="DP20" s="659"/>
      <c r="DQ20" s="659"/>
      <c r="DR20" s="659"/>
      <c r="DS20" s="659"/>
      <c r="DT20" s="659"/>
      <c r="DU20" s="659"/>
      <c r="DV20" s="659"/>
      <c r="DW20" s="659"/>
      <c r="DX20" s="660"/>
      <c r="DY20" s="660"/>
      <c r="DZ20" s="660"/>
      <c r="EA20" s="659"/>
      <c r="EB20" s="659"/>
      <c r="EC20" s="659"/>
      <c r="ED20" s="908"/>
      <c r="EE20" s="661"/>
      <c r="EF20" s="661"/>
      <c r="EG20" s="908"/>
      <c r="EH20" s="661"/>
      <c r="EI20" s="661"/>
    </row>
    <row r="21" spans="1:154" x14ac:dyDescent="0.2">
      <c r="A21" s="899" t="s">
        <v>89</v>
      </c>
      <c r="B21" s="671"/>
      <c r="C21" s="672"/>
      <c r="D21" s="671"/>
      <c r="E21" s="667"/>
      <c r="F21" s="664">
        <v>936</v>
      </c>
      <c r="G21" s="653">
        <v>11427</v>
      </c>
      <c r="H21" s="629">
        <v>936</v>
      </c>
      <c r="I21" s="707">
        <f>EK7/2</f>
        <v>0</v>
      </c>
      <c r="J21" s="708" t="s">
        <v>370</v>
      </c>
      <c r="K21" s="629">
        <v>783.5</v>
      </c>
      <c r="L21" s="629">
        <f>K21*1.05</f>
        <v>822.67500000000007</v>
      </c>
      <c r="M21" s="708" t="s">
        <v>491</v>
      </c>
      <c r="N21" s="628">
        <v>832.5</v>
      </c>
      <c r="O21" s="629">
        <f>N21*1.05</f>
        <v>874.125</v>
      </c>
      <c r="P21" s="708"/>
      <c r="Q21" s="629">
        <v>833</v>
      </c>
      <c r="R21" s="630">
        <f>N21*1.1</f>
        <v>915.75000000000011</v>
      </c>
      <c r="S21" s="655"/>
      <c r="T21" s="655">
        <v>879</v>
      </c>
      <c r="U21" s="629">
        <v>923</v>
      </c>
      <c r="V21" s="703" t="s">
        <v>1207</v>
      </c>
      <c r="W21" s="628">
        <v>879</v>
      </c>
      <c r="X21" s="905">
        <f>W21</f>
        <v>879</v>
      </c>
      <c r="Y21" s="655"/>
      <c r="Z21" s="655"/>
      <c r="AA21" s="904">
        <f>X21*1.1</f>
        <v>966.90000000000009</v>
      </c>
      <c r="AB21" s="655"/>
      <c r="AC21" s="655"/>
      <c r="AD21" s="656"/>
      <c r="AE21" s="656"/>
      <c r="AF21" s="656"/>
      <c r="AG21" s="656"/>
      <c r="AH21" s="664"/>
      <c r="AI21" s="628"/>
      <c r="AJ21" s="629"/>
      <c r="AK21" s="629"/>
      <c r="AL21" s="629"/>
      <c r="AM21" s="629"/>
      <c r="AN21" s="629"/>
      <c r="AO21" s="629"/>
      <c r="AP21" s="629"/>
      <c r="AQ21" s="629"/>
      <c r="AR21" s="629"/>
      <c r="AS21" s="629"/>
      <c r="AT21" s="631"/>
      <c r="AU21" s="631"/>
      <c r="AV21" s="631"/>
      <c r="AW21" s="629"/>
      <c r="AX21" s="629"/>
      <c r="AY21" s="629"/>
      <c r="AZ21" s="904"/>
      <c r="BA21" s="657"/>
      <c r="BB21" s="657"/>
      <c r="BC21" s="904"/>
      <c r="BD21" s="657"/>
      <c r="BE21" s="657"/>
      <c r="BF21" s="658"/>
      <c r="BG21" s="666"/>
      <c r="BH21" s="667"/>
      <c r="BI21" s="667"/>
      <c r="BJ21" s="629"/>
      <c r="BK21" s="628"/>
      <c r="BL21" s="629"/>
      <c r="BM21" s="629"/>
      <c r="BN21" s="629"/>
      <c r="BO21" s="629"/>
      <c r="BP21" s="630"/>
      <c r="BQ21" s="630"/>
      <c r="BR21" s="630"/>
      <c r="BS21" s="630"/>
      <c r="BT21" s="630"/>
      <c r="BU21" s="630"/>
      <c r="BV21" s="630"/>
      <c r="BW21" s="630"/>
      <c r="BX21" s="630"/>
      <c r="BY21" s="629"/>
      <c r="BZ21" s="629"/>
      <c r="CA21" s="629"/>
      <c r="CB21" s="905"/>
      <c r="CC21" s="630"/>
      <c r="CD21" s="630"/>
      <c r="CE21" s="905"/>
      <c r="CF21" s="630"/>
      <c r="CG21" s="630"/>
      <c r="CH21" s="677"/>
      <c r="CI21" s="677"/>
      <c r="CJ21" s="677"/>
      <c r="CK21" s="692"/>
      <c r="CL21" s="634"/>
      <c r="CM21" s="659"/>
      <c r="CN21" s="659">
        <f>EK7/2</f>
        <v>0</v>
      </c>
      <c r="CO21" s="668" t="s">
        <v>371</v>
      </c>
      <c r="CP21" s="659">
        <v>783.5</v>
      </c>
      <c r="CQ21" s="659">
        <f>CP21*1.05</f>
        <v>822.67500000000007</v>
      </c>
      <c r="CR21" s="668" t="s">
        <v>492</v>
      </c>
      <c r="CS21" s="659">
        <v>832.5</v>
      </c>
      <c r="CT21" s="659">
        <f>CS21*1.05</f>
        <v>874.125</v>
      </c>
      <c r="CU21" s="668"/>
      <c r="CV21" s="659">
        <v>879</v>
      </c>
      <c r="CW21" s="660">
        <f>CS21*1.1</f>
        <v>915.75000000000011</v>
      </c>
      <c r="CX21" s="660"/>
      <c r="CY21" s="660">
        <v>879</v>
      </c>
      <c r="CZ21" s="659">
        <v>923</v>
      </c>
      <c r="DA21" s="668" t="s">
        <v>1200</v>
      </c>
      <c r="DB21" s="659">
        <v>879</v>
      </c>
      <c r="DC21" s="908">
        <f>DB21</f>
        <v>879</v>
      </c>
      <c r="DD21" s="661"/>
      <c r="DE21" s="661"/>
      <c r="DF21" s="908">
        <f>DC21*1.1</f>
        <v>966.90000000000009</v>
      </c>
      <c r="DG21" s="661"/>
      <c r="DH21" s="661"/>
      <c r="DI21" s="677"/>
      <c r="DJ21" s="677"/>
      <c r="DK21" s="677"/>
      <c r="DL21" s="692"/>
      <c r="DM21" s="634"/>
      <c r="DN21" s="659"/>
      <c r="DO21" s="659"/>
      <c r="DP21" s="659"/>
      <c r="DQ21" s="659"/>
      <c r="DR21" s="659"/>
      <c r="DS21" s="659"/>
      <c r="DT21" s="659"/>
      <c r="DU21" s="659"/>
      <c r="DV21" s="659"/>
      <c r="DW21" s="659"/>
      <c r="DX21" s="660"/>
      <c r="DY21" s="660"/>
      <c r="DZ21" s="660"/>
      <c r="EA21" s="659"/>
      <c r="EB21" s="659"/>
      <c r="EC21" s="659"/>
      <c r="ED21" s="908"/>
      <c r="EE21" s="661"/>
      <c r="EF21" s="661"/>
      <c r="EG21" s="908">
        <f>ED21*1.1</f>
        <v>0</v>
      </c>
      <c r="EH21" s="661"/>
      <c r="EI21" s="661"/>
    </row>
    <row r="22" spans="1:154" x14ac:dyDescent="0.2">
      <c r="A22" s="899" t="s">
        <v>57</v>
      </c>
      <c r="B22" s="711">
        <f>SUM(B5:B21)</f>
        <v>25847</v>
      </c>
      <c r="C22" s="711"/>
      <c r="D22" s="711">
        <f>SUM(D5:D21)</f>
        <v>30686</v>
      </c>
      <c r="E22" s="714"/>
      <c r="F22" s="715">
        <f>SUM(F5:F21)</f>
        <v>936</v>
      </c>
      <c r="G22" s="711"/>
      <c r="H22" s="625">
        <f>SUM(H5:H21)</f>
        <v>39893.75</v>
      </c>
      <c r="I22" s="625">
        <f>SUM(I5:I21)</f>
        <v>42245.995238925359</v>
      </c>
      <c r="J22" s="625"/>
      <c r="K22" s="625"/>
      <c r="L22" s="625">
        <f>SUM(L5:L21)</f>
        <v>40913.512500000004</v>
      </c>
      <c r="M22" s="625"/>
      <c r="O22" s="625">
        <f>SUM(O5:O21)</f>
        <v>39844.275000000001</v>
      </c>
      <c r="P22" s="625"/>
      <c r="R22" s="624">
        <f>SUM(R5:R21)</f>
        <v>41694.050000000003</v>
      </c>
      <c r="S22" s="627"/>
      <c r="T22" s="624">
        <f>SUM(T5:T21)</f>
        <v>37367</v>
      </c>
      <c r="U22" s="625">
        <f>SUM(U5:U21)</f>
        <v>37244</v>
      </c>
      <c r="X22" s="909">
        <f>SUM(X5:X21)</f>
        <v>40949.166679521688</v>
      </c>
      <c r="Y22" s="627"/>
      <c r="Z22" s="627"/>
      <c r="AA22" s="909">
        <f>SUM(AA5:AA21)</f>
        <v>45044.083347473868</v>
      </c>
      <c r="AB22" s="627"/>
      <c r="AC22" s="627"/>
      <c r="AD22" s="716">
        <f>SUM(AD5:AD21)</f>
        <v>6290</v>
      </c>
      <c r="AE22" s="716"/>
      <c r="AF22" s="716">
        <f>SUM(AF5:AF21)</f>
        <v>5851</v>
      </c>
      <c r="AG22" s="716"/>
      <c r="AH22" s="715">
        <f>SUM(AH5:AH21)</f>
        <v>0</v>
      </c>
      <c r="AJ22" s="625">
        <f>SUM(AJ5:AJ21)</f>
        <v>5794</v>
      </c>
      <c r="AK22" s="625">
        <f>SUM(AK5:AK21)</f>
        <v>6976.8551494195835</v>
      </c>
      <c r="AN22" s="625">
        <f>SUM(AN5:AN21)</f>
        <v>7326.2595000000001</v>
      </c>
      <c r="AQ22" s="625">
        <f>SUM(AQ5:AQ21)</f>
        <v>6462</v>
      </c>
      <c r="AT22" s="624">
        <f>SUM(AT5:AT21)</f>
        <v>6739</v>
      </c>
      <c r="AU22" s="626"/>
      <c r="AV22" s="626">
        <f>SUM(AV5:AV21)</f>
        <v>6739</v>
      </c>
      <c r="AW22" s="625">
        <f>SUM(AW5:AW21)</f>
        <v>12670</v>
      </c>
      <c r="AZ22" s="909">
        <f>SUM(AZ5:AZ21)</f>
        <v>8878.9687224350346</v>
      </c>
      <c r="BA22" s="717"/>
      <c r="BB22" s="717"/>
      <c r="BC22" s="909">
        <f>SUM(BC5:BC21)</f>
        <v>9766.8655946785384</v>
      </c>
      <c r="BD22" s="717"/>
      <c r="BE22" s="717"/>
      <c r="BF22" s="716">
        <f>SUM(BF5:BF21)</f>
        <v>30797</v>
      </c>
      <c r="BG22" s="716"/>
      <c r="BH22" s="716">
        <f>SUM(BH5:BH21)</f>
        <v>30644</v>
      </c>
      <c r="BI22" s="716"/>
      <c r="BJ22" s="625">
        <f>SUM(BJ5:BJ21)</f>
        <v>0</v>
      </c>
      <c r="BL22" s="625">
        <f>SUM(BL5:BL21)</f>
        <v>31034</v>
      </c>
      <c r="BM22" s="625">
        <f>SUM(BM5:BM21)</f>
        <v>34372.010298839166</v>
      </c>
      <c r="BP22" s="624">
        <f>SUM(BP5:BP21)</f>
        <v>33820.248</v>
      </c>
      <c r="BS22" s="624">
        <f>SUM(BS5:BS21)</f>
        <v>28853</v>
      </c>
      <c r="BV22" s="624">
        <f>SUM(BV5:BV21)</f>
        <v>30337</v>
      </c>
      <c r="BX22" s="624">
        <f>SUM(BX5:BX21)</f>
        <v>28719</v>
      </c>
      <c r="BY22" s="625">
        <f>SUM(BY5:BY21)</f>
        <v>34742.1</v>
      </c>
      <c r="CA22" s="625">
        <f>SUM(CA5:CA21)</f>
        <v>31633</v>
      </c>
      <c r="CB22" s="909">
        <f>SUM(CB5:CB21)</f>
        <v>30536.347439434725</v>
      </c>
      <c r="CC22" s="624"/>
      <c r="CD22" s="624"/>
      <c r="CE22" s="909">
        <f>SUM(CE5:CE21)</f>
        <v>33589.982183378204</v>
      </c>
      <c r="CF22" s="624"/>
      <c r="CG22" s="624"/>
      <c r="CH22" s="711">
        <f>SUM(CH5:CH21)</f>
        <v>15214</v>
      </c>
      <c r="CI22" s="711"/>
      <c r="CJ22" s="711">
        <f>SUM(CJ5:CJ21)</f>
        <v>17080</v>
      </c>
      <c r="CK22" s="715">
        <f>SUM(CK5:CK21)</f>
        <v>0</v>
      </c>
      <c r="CM22" s="625">
        <f>SUM(CM5:CM21)</f>
        <v>23386.91</v>
      </c>
      <c r="CN22" s="625">
        <f>SUM(CN5:CN21)</f>
        <v>25896.613238925362</v>
      </c>
      <c r="CQ22" s="625">
        <f>SUM(CQ5:CQ21)</f>
        <v>25589.0985</v>
      </c>
      <c r="CT22" s="625">
        <f>SUM(CT5:CT21)</f>
        <v>24344.175000000003</v>
      </c>
      <c r="CW22" s="624">
        <f>SUM(CW5:CW21)</f>
        <v>27825.75</v>
      </c>
      <c r="CY22" s="624">
        <f>SUM(CY5:CY21)</f>
        <v>23018</v>
      </c>
      <c r="CZ22" s="625">
        <f>SUM(CZ5:CZ21)</f>
        <v>24439</v>
      </c>
      <c r="DB22" s="625">
        <f>SUM(DB5:DB21)</f>
        <v>26175</v>
      </c>
      <c r="DC22" s="909">
        <f>SUM(DC5:DC21)</f>
        <v>25509.842279739103</v>
      </c>
      <c r="DD22" s="717"/>
      <c r="DE22" s="717"/>
      <c r="DF22" s="909">
        <f>SUM(DF5:DF21)</f>
        <v>28060.82650771302</v>
      </c>
      <c r="DG22" s="717"/>
      <c r="DH22" s="717"/>
      <c r="DI22" s="711">
        <f>SUM(DI5:DI21)</f>
        <v>50008</v>
      </c>
      <c r="DJ22" s="711"/>
      <c r="DK22" s="711">
        <f>SUM(DK5:DK21)</f>
        <v>46386</v>
      </c>
      <c r="DL22" s="715">
        <f>SUM(DL5:DL21)</f>
        <v>0</v>
      </c>
      <c r="DN22" s="625">
        <f>SUM(DN5:DN21)</f>
        <v>45029</v>
      </c>
      <c r="DO22" s="625">
        <f>SUM(DO5:DO21)</f>
        <v>50853.119073890535</v>
      </c>
      <c r="DP22" s="625"/>
      <c r="DQ22" s="625"/>
      <c r="DR22" s="625">
        <f>SUM(DR5:DR21)</f>
        <v>51430.764000000003</v>
      </c>
      <c r="DS22" s="625"/>
      <c r="DT22" s="625"/>
      <c r="DU22" s="625">
        <f>SUM(DU5:DU21)</f>
        <v>48985.8</v>
      </c>
      <c r="DV22" s="625"/>
      <c r="DW22" s="625"/>
      <c r="DX22" s="624">
        <f>SUM(DX5:DX21)</f>
        <v>53701.600000000006</v>
      </c>
      <c r="DY22" s="624"/>
      <c r="DZ22" s="624">
        <f>SUM(DZ5:DZ21)</f>
        <v>51993</v>
      </c>
      <c r="EA22" s="625">
        <f>SUM(EA5:EA21)</f>
        <v>55313.35</v>
      </c>
      <c r="EB22" s="625"/>
      <c r="EC22" s="625">
        <f>SUM(EC5:EC21)</f>
        <v>59958</v>
      </c>
      <c r="ED22" s="909">
        <f>SUM(ED5:ED21)</f>
        <v>57433.894878869447</v>
      </c>
      <c r="EE22" s="717"/>
      <c r="EF22" s="717"/>
      <c r="EG22" s="909">
        <f>SUM(EG5:EG21)</f>
        <v>63177.284366756394</v>
      </c>
      <c r="EH22" s="717"/>
      <c r="EI22" s="717"/>
    </row>
    <row r="23" spans="1:154" x14ac:dyDescent="0.2">
      <c r="A23" s="899" t="s">
        <v>266</v>
      </c>
      <c r="F23" s="625">
        <f>H21+H10+H6+H5+F9+F17</f>
        <v>13119</v>
      </c>
      <c r="G23" s="711"/>
      <c r="DO23" s="651"/>
      <c r="DP23" s="651"/>
      <c r="DQ23" s="651"/>
    </row>
    <row r="24" spans="1:154" x14ac:dyDescent="0.2">
      <c r="A24" s="613" t="s">
        <v>188</v>
      </c>
      <c r="J24" s="627"/>
      <c r="K24" s="627"/>
      <c r="R24" s="627"/>
      <c r="S24" s="627"/>
      <c r="T24" s="627"/>
      <c r="X24" s="627"/>
      <c r="Y24" s="627"/>
      <c r="Z24" s="627"/>
      <c r="AA24" s="627"/>
      <c r="AB24" s="627"/>
      <c r="AC24" s="627"/>
      <c r="AD24" s="627"/>
      <c r="AE24" s="1185" t="s">
        <v>90</v>
      </c>
      <c r="AF24" s="1185"/>
      <c r="AG24" s="627"/>
      <c r="AH24" s="624"/>
      <c r="AI24" s="718" t="s">
        <v>302</v>
      </c>
      <c r="AJ24" s="71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L24" s="1182" t="s">
        <v>358</v>
      </c>
      <c r="BM24" s="1182"/>
      <c r="BN24" s="1182"/>
      <c r="BO24" s="1182"/>
      <c r="BP24" s="1182"/>
      <c r="BQ24" s="1182"/>
      <c r="BR24" s="1182"/>
      <c r="CK24" s="626"/>
      <c r="CL24" s="709"/>
      <c r="CM24" s="626"/>
      <c r="CN24" s="626"/>
      <c r="CO24" s="626"/>
      <c r="CP24" s="626"/>
      <c r="DC24" s="626"/>
      <c r="DD24" s="626"/>
      <c r="DE24" s="626"/>
      <c r="DF24" s="626"/>
      <c r="DG24" s="626"/>
      <c r="DH24" s="626"/>
    </row>
    <row r="25" spans="1:154" x14ac:dyDescent="0.2">
      <c r="J25" s="627"/>
      <c r="K25" s="627"/>
      <c r="R25" s="627"/>
      <c r="S25" s="627" t="s">
        <v>728</v>
      </c>
      <c r="T25" s="710">
        <f>T17+CY17</f>
        <v>34375</v>
      </c>
      <c r="V25" s="923" t="s">
        <v>1501</v>
      </c>
      <c r="W25" s="624">
        <f>CA22+DB22+EC22+DC26</f>
        <v>117766</v>
      </c>
      <c r="X25" s="627"/>
      <c r="Y25" s="627"/>
      <c r="Z25" s="627"/>
      <c r="AA25" s="627"/>
      <c r="AB25" s="627"/>
      <c r="AC25" s="627"/>
      <c r="AD25" s="627"/>
      <c r="AE25" s="627"/>
      <c r="AF25" s="627"/>
      <c r="AG25" s="627"/>
      <c r="AH25" s="624"/>
      <c r="AI25" s="627" t="s">
        <v>303</v>
      </c>
      <c r="AJ25" s="624">
        <v>2038</v>
      </c>
      <c r="AL25" s="711">
        <v>2016</v>
      </c>
      <c r="AM25" s="711"/>
      <c r="AN25" s="711"/>
      <c r="AO25" s="711"/>
      <c r="AP25" s="625" t="s">
        <v>356</v>
      </c>
      <c r="AQ25" s="711"/>
      <c r="AR25" s="711"/>
      <c r="AS25" s="625" t="s">
        <v>356</v>
      </c>
      <c r="BJ25" s="711">
        <v>2017</v>
      </c>
      <c r="BM25" s="711">
        <v>2016</v>
      </c>
      <c r="BN25" s="625" t="s">
        <v>356</v>
      </c>
      <c r="BR25" s="627"/>
      <c r="BU25" s="627"/>
      <c r="BV25" s="627"/>
      <c r="BW25" s="627"/>
      <c r="BX25" s="627"/>
      <c r="BY25" s="613"/>
      <c r="BZ25" s="613"/>
      <c r="CA25" s="613"/>
      <c r="CB25" s="709"/>
      <c r="CC25" s="709"/>
      <c r="CD25" s="709"/>
      <c r="CE25" s="709"/>
      <c r="CF25" s="709"/>
      <c r="CG25" s="709"/>
      <c r="CK25" s="626"/>
      <c r="CL25" s="709"/>
      <c r="CM25" s="626"/>
      <c r="CN25" s="626"/>
      <c r="CO25" s="624"/>
      <c r="CP25" s="624"/>
      <c r="DC25" s="624"/>
      <c r="DD25" s="624"/>
      <c r="DE25" s="624"/>
      <c r="DF25" s="624"/>
      <c r="DG25" s="624"/>
      <c r="DH25" s="624"/>
      <c r="DI25" s="627"/>
      <c r="DJ25" s="627"/>
      <c r="DK25" s="627"/>
      <c r="DL25" s="624"/>
      <c r="DM25" s="627" t="s">
        <v>363</v>
      </c>
    </row>
    <row r="26" spans="1:154" x14ac:dyDescent="0.2">
      <c r="J26" s="627"/>
      <c r="K26" s="627"/>
      <c r="R26" s="627"/>
      <c r="S26" s="627" t="s">
        <v>124</v>
      </c>
      <c r="T26" s="624">
        <f>R17+CW17</f>
        <v>43607.8</v>
      </c>
      <c r="V26" s="923" t="s">
        <v>1502</v>
      </c>
      <c r="W26" s="624">
        <f>X22+AZ22+CB22+DC22+ED22</f>
        <v>163308.22</v>
      </c>
      <c r="X26" s="627"/>
      <c r="Y26" s="627"/>
      <c r="Z26" s="627"/>
      <c r="AA26" s="627"/>
      <c r="AB26" s="627"/>
      <c r="AC26" s="627"/>
      <c r="AD26" s="627"/>
      <c r="AE26" s="627"/>
      <c r="AF26" s="627"/>
      <c r="AG26" s="627"/>
      <c r="AH26" s="624"/>
      <c r="AI26" s="627" t="s">
        <v>95</v>
      </c>
      <c r="AJ26" s="624">
        <v>3146</v>
      </c>
      <c r="AK26" s="625" t="s">
        <v>355</v>
      </c>
      <c r="AL26" s="625">
        <v>797</v>
      </c>
      <c r="AP26" s="712">
        <f>AL26/AE$43</f>
        <v>0.15006590096027114</v>
      </c>
      <c r="AS26" s="712" t="e">
        <f>AO26/AH$43</f>
        <v>#DIV/0!</v>
      </c>
      <c r="AT26" s="712"/>
      <c r="AU26" s="712"/>
      <c r="AV26" s="712"/>
      <c r="AW26" s="712"/>
      <c r="AX26" s="712"/>
      <c r="AY26" s="712"/>
      <c r="AZ26" s="712"/>
      <c r="BA26" s="712"/>
      <c r="BB26" s="712"/>
      <c r="BC26" s="712"/>
      <c r="BD26" s="712"/>
      <c r="BE26" s="712"/>
      <c r="BJ26" s="625">
        <f>11958*AP26</f>
        <v>1794.4880436829224</v>
      </c>
      <c r="BL26" s="625" t="s">
        <v>355</v>
      </c>
      <c r="BM26" s="625">
        <v>7895</v>
      </c>
      <c r="BN26" s="712">
        <f>BM26/BM$31</f>
        <v>0.15000379996960025</v>
      </c>
      <c r="BO26" s="712"/>
      <c r="BP26" s="713"/>
      <c r="BQ26" s="713"/>
      <c r="BR26" s="624">
        <f>57815*BN26</f>
        <v>8672.4696952424383</v>
      </c>
      <c r="BS26" s="713"/>
      <c r="BT26" s="713"/>
      <c r="BU26" s="624">
        <f>57815*BQ26</f>
        <v>0</v>
      </c>
      <c r="CD26" s="624"/>
      <c r="CE26" s="624"/>
      <c r="CF26" s="624"/>
      <c r="CK26" s="626"/>
      <c r="CL26" s="709"/>
      <c r="CM26" s="626"/>
      <c r="CN26" s="626"/>
      <c r="CO26" s="624"/>
      <c r="CP26" s="624"/>
      <c r="DC26" s="624"/>
      <c r="DD26" s="624"/>
      <c r="DE26" s="624"/>
      <c r="DF26" s="624"/>
      <c r="DG26" s="624"/>
      <c r="DH26" s="624"/>
      <c r="DI26" s="627"/>
      <c r="DJ26" s="627"/>
      <c r="DK26" s="627"/>
      <c r="DL26" s="624"/>
      <c r="DM26" s="627"/>
    </row>
    <row r="27" spans="1:154" x14ac:dyDescent="0.2">
      <c r="J27" s="627"/>
      <c r="K27" s="627"/>
      <c r="R27" s="627"/>
      <c r="S27" s="627"/>
      <c r="T27" s="624">
        <f>T26-T25</f>
        <v>9232.8000000000029</v>
      </c>
      <c r="X27" s="627"/>
      <c r="Y27" s="627"/>
      <c r="Z27" s="627"/>
      <c r="AA27" s="627"/>
      <c r="AB27" s="627"/>
      <c r="AC27" s="627"/>
      <c r="AD27" s="627"/>
      <c r="AE27" s="627"/>
      <c r="AF27" s="627"/>
      <c r="AG27" s="627"/>
      <c r="AH27" s="624"/>
      <c r="AI27" s="627" t="s">
        <v>94</v>
      </c>
      <c r="AJ27" s="624">
        <v>1043</v>
      </c>
      <c r="AK27" s="625" t="s">
        <v>94</v>
      </c>
      <c r="AL27" s="625">
        <v>531</v>
      </c>
      <c r="AP27" s="712">
        <f>AL27/AE$43</f>
        <v>9.9981171154208251E-2</v>
      </c>
      <c r="AS27" s="712" t="e">
        <f>AO27/AH$43</f>
        <v>#DIV/0!</v>
      </c>
      <c r="AT27" s="712"/>
      <c r="AU27" s="712"/>
      <c r="AV27" s="712"/>
      <c r="AW27" s="712"/>
      <c r="AX27" s="712"/>
      <c r="AY27" s="712"/>
      <c r="AZ27" s="712"/>
      <c r="BA27" s="712"/>
      <c r="BB27" s="712"/>
      <c r="BC27" s="712"/>
      <c r="BD27" s="712"/>
      <c r="BE27" s="712"/>
      <c r="BJ27" s="625">
        <f>11958*AP27</f>
        <v>1195.5748446620223</v>
      </c>
      <c r="BL27" s="625" t="s">
        <v>94</v>
      </c>
      <c r="BM27" s="625">
        <v>5263</v>
      </c>
      <c r="BN27" s="712">
        <f>BM27/BM$31</f>
        <v>9.9996200030399759E-2</v>
      </c>
      <c r="BO27" s="712"/>
      <c r="BP27" s="713"/>
      <c r="BQ27" s="713"/>
      <c r="BR27" s="624">
        <f>57815*BN27</f>
        <v>5781.2803047575617</v>
      </c>
      <c r="BS27" s="713"/>
      <c r="BT27" s="713"/>
      <c r="BU27" s="624">
        <f>57815*BQ27</f>
        <v>0</v>
      </c>
      <c r="CD27" s="624"/>
      <c r="CE27" s="624"/>
      <c r="CF27" s="624"/>
      <c r="CK27" s="626"/>
      <c r="CL27" s="709"/>
      <c r="CM27" s="626"/>
      <c r="CN27" s="626"/>
      <c r="CO27" s="624"/>
      <c r="CP27" s="624"/>
      <c r="DC27" s="624"/>
      <c r="DD27" s="624"/>
      <c r="DE27" s="624"/>
      <c r="DF27" s="624"/>
      <c r="DG27" s="624"/>
      <c r="DH27" s="624"/>
      <c r="DI27" s="627"/>
      <c r="DJ27" s="627"/>
      <c r="DK27" s="627"/>
      <c r="DL27" s="624"/>
      <c r="DM27" s="627"/>
    </row>
    <row r="28" spans="1:154" x14ac:dyDescent="0.2">
      <c r="J28" s="627"/>
      <c r="K28" s="627"/>
      <c r="R28" s="627"/>
      <c r="S28" s="627"/>
      <c r="T28" s="627"/>
      <c r="V28" s="924" t="s">
        <v>1504</v>
      </c>
      <c r="X28" s="627"/>
      <c r="Y28" s="627"/>
      <c r="Z28" s="627"/>
      <c r="AA28" s="627"/>
      <c r="AB28" s="627"/>
      <c r="AC28" s="627"/>
      <c r="AD28" s="627"/>
      <c r="AE28" s="627"/>
      <c r="AF28" s="627"/>
      <c r="AG28" s="627"/>
      <c r="AH28" s="624"/>
      <c r="AI28" s="627" t="s">
        <v>19</v>
      </c>
      <c r="AJ28" s="624"/>
      <c r="AK28" s="625" t="s">
        <v>72</v>
      </c>
      <c r="AL28" s="625">
        <v>1062</v>
      </c>
      <c r="AP28" s="712">
        <f>AL28/AE$43</f>
        <v>0.1999623423084165</v>
      </c>
      <c r="AS28" s="712" t="e">
        <f>AO28/AH$43</f>
        <v>#DIV/0!</v>
      </c>
      <c r="AT28" s="712"/>
      <c r="AU28" s="712"/>
      <c r="AV28" s="712"/>
      <c r="AW28" s="712"/>
      <c r="AX28" s="712"/>
      <c r="AY28" s="712"/>
      <c r="AZ28" s="712"/>
      <c r="BA28" s="712"/>
      <c r="BB28" s="712"/>
      <c r="BC28" s="712"/>
      <c r="BD28" s="712"/>
      <c r="BE28" s="712"/>
      <c r="BJ28" s="625">
        <f>11958*AP28</f>
        <v>2391.1496893240446</v>
      </c>
      <c r="BL28" s="625" t="s">
        <v>72</v>
      </c>
      <c r="BM28" s="625">
        <v>10526</v>
      </c>
      <c r="BN28" s="712">
        <f t="shared" ref="BN28:BN30" si="3">BM28/BM$31</f>
        <v>0.19999240006079952</v>
      </c>
      <c r="BO28" s="712"/>
      <c r="BP28" s="713"/>
      <c r="BQ28" s="713"/>
      <c r="BR28" s="624">
        <f>57815*BN28</f>
        <v>11562.560609515123</v>
      </c>
      <c r="BS28" s="713"/>
      <c r="BT28" s="713"/>
      <c r="BU28" s="624">
        <f>57815*BQ28</f>
        <v>0</v>
      </c>
      <c r="CK28" s="626"/>
      <c r="CL28" s="709"/>
      <c r="CM28" s="626"/>
      <c r="CN28" s="626"/>
      <c r="CO28" s="624"/>
      <c r="CP28" s="624"/>
      <c r="DC28" s="624"/>
      <c r="DD28" s="624"/>
      <c r="DE28" s="624"/>
      <c r="DF28" s="624"/>
      <c r="DG28" s="624"/>
      <c r="DH28" s="624"/>
      <c r="DI28" s="627"/>
      <c r="DJ28" s="627"/>
      <c r="DK28" s="627"/>
      <c r="DL28" s="624"/>
      <c r="DM28" s="627"/>
    </row>
    <row r="29" spans="1:154" x14ac:dyDescent="0.2">
      <c r="J29" s="627"/>
      <c r="K29" s="627"/>
      <c r="R29" s="627"/>
      <c r="S29" s="627"/>
      <c r="T29" s="627"/>
      <c r="V29" s="924" t="s">
        <v>1503</v>
      </c>
      <c r="X29" s="627"/>
      <c r="Y29" s="627"/>
      <c r="Z29" s="627"/>
      <c r="AA29" s="627"/>
      <c r="AB29" s="627"/>
      <c r="AC29" s="627"/>
      <c r="AD29" s="627"/>
      <c r="AE29" s="627"/>
      <c r="AF29" s="627"/>
      <c r="AG29" s="627"/>
      <c r="AH29" s="624"/>
      <c r="AI29" s="627" t="s">
        <v>92</v>
      </c>
      <c r="AJ29" s="624"/>
      <c r="AK29" s="625" t="s">
        <v>357</v>
      </c>
      <c r="AL29" s="625">
        <v>797</v>
      </c>
      <c r="AP29" s="712">
        <f>AL29/AE$43</f>
        <v>0.15006590096027114</v>
      </c>
      <c r="AS29" s="712" t="e">
        <f>AO29/AH$43</f>
        <v>#DIV/0!</v>
      </c>
      <c r="AT29" s="712"/>
      <c r="AU29" s="712"/>
      <c r="AV29" s="712"/>
      <c r="AW29" s="712"/>
      <c r="AX29" s="712"/>
      <c r="AY29" s="712"/>
      <c r="AZ29" s="712"/>
      <c r="BA29" s="712"/>
      <c r="BB29" s="712"/>
      <c r="BC29" s="712"/>
      <c r="BD29" s="712"/>
      <c r="BE29" s="712"/>
      <c r="BJ29" s="625">
        <f>11958*AP29</f>
        <v>1794.4880436829224</v>
      </c>
      <c r="BL29" s="625" t="s">
        <v>357</v>
      </c>
      <c r="BM29" s="625">
        <v>7895</v>
      </c>
      <c r="BN29" s="712">
        <f t="shared" si="3"/>
        <v>0.15000379996960025</v>
      </c>
      <c r="BO29" s="712"/>
      <c r="BP29" s="713"/>
      <c r="BQ29" s="713"/>
      <c r="BR29" s="624">
        <f>57815*BN29</f>
        <v>8672.4696952424383</v>
      </c>
      <c r="BS29" s="713"/>
      <c r="BT29" s="713"/>
      <c r="BU29" s="624">
        <f>57815*BQ29</f>
        <v>0</v>
      </c>
      <c r="CK29" s="626"/>
      <c r="CL29" s="709"/>
      <c r="CM29" s="626"/>
      <c r="CN29" s="626"/>
      <c r="CO29" s="624"/>
      <c r="CP29" s="624"/>
      <c r="DC29" s="624"/>
      <c r="DD29" s="624"/>
      <c r="DE29" s="624"/>
      <c r="DF29" s="624"/>
      <c r="DG29" s="624"/>
      <c r="DH29" s="624"/>
      <c r="DI29" s="627"/>
      <c r="DJ29" s="627"/>
      <c r="DK29" s="627"/>
      <c r="DL29" s="624"/>
      <c r="DM29" s="627"/>
    </row>
    <row r="30" spans="1:154" x14ac:dyDescent="0.2">
      <c r="J30" s="627"/>
      <c r="K30" s="627"/>
      <c r="R30" s="627"/>
      <c r="S30" s="627"/>
      <c r="T30" s="627"/>
      <c r="X30" s="627"/>
      <c r="Y30" s="627"/>
      <c r="Z30" s="627"/>
      <c r="AA30" s="627"/>
      <c r="AB30" s="627"/>
      <c r="AC30" s="627"/>
      <c r="AD30" s="627"/>
      <c r="AE30" s="627"/>
      <c r="AF30" s="627"/>
      <c r="AG30" s="627"/>
      <c r="AH30" s="624"/>
      <c r="AI30" s="627"/>
      <c r="AK30" s="625" t="s">
        <v>92</v>
      </c>
      <c r="AL30" s="625">
        <v>2124</v>
      </c>
      <c r="AP30" s="712">
        <f>AL30/AE$43</f>
        <v>0.399924684616833</v>
      </c>
      <c r="AS30" s="712" t="e">
        <f>AO30/AH$43</f>
        <v>#DIV/0!</v>
      </c>
      <c r="AT30" s="712"/>
      <c r="AU30" s="712"/>
      <c r="AV30" s="712"/>
      <c r="AW30" s="712"/>
      <c r="AX30" s="712"/>
      <c r="AY30" s="712"/>
      <c r="AZ30" s="712"/>
      <c r="BA30" s="712"/>
      <c r="BB30" s="712"/>
      <c r="BC30" s="712"/>
      <c r="BD30" s="712"/>
      <c r="BE30" s="712"/>
      <c r="BJ30" s="625">
        <f>11958*AP30</f>
        <v>4782.2993786480893</v>
      </c>
      <c r="BL30" s="625" t="s">
        <v>92</v>
      </c>
      <c r="BM30" s="625">
        <v>21053</v>
      </c>
      <c r="BN30" s="712">
        <f t="shared" si="3"/>
        <v>0.40000379996960023</v>
      </c>
      <c r="BO30" s="712"/>
      <c r="BP30" s="713"/>
      <c r="BQ30" s="713"/>
      <c r="BR30" s="624">
        <f>57815*BN30</f>
        <v>23126.219695242438</v>
      </c>
      <c r="BS30" s="713"/>
      <c r="BT30" s="713"/>
      <c r="BU30" s="624">
        <f>57815*BQ30</f>
        <v>0</v>
      </c>
      <c r="CK30" s="626"/>
      <c r="CL30" s="709"/>
      <c r="CM30" s="626"/>
      <c r="CN30" s="626"/>
      <c r="CO30" s="624"/>
      <c r="CP30" s="624"/>
      <c r="DC30" s="624"/>
      <c r="DD30" s="624"/>
      <c r="DE30" s="624"/>
      <c r="DF30" s="624"/>
      <c r="DG30" s="624"/>
      <c r="DH30" s="624"/>
      <c r="DI30" s="627"/>
      <c r="DJ30" s="627"/>
      <c r="DK30" s="627"/>
      <c r="DL30" s="624"/>
      <c r="DM30" s="627"/>
    </row>
    <row r="31" spans="1:154" x14ac:dyDescent="0.2">
      <c r="U31" s="652" t="s">
        <v>355</v>
      </c>
      <c r="V31" s="652" t="s">
        <v>723</v>
      </c>
      <c r="W31" s="652" t="s">
        <v>95</v>
      </c>
      <c r="X31" s="652" t="s">
        <v>1505</v>
      </c>
      <c r="Z31" s="613" t="s">
        <v>57</v>
      </c>
      <c r="AH31" s="613"/>
      <c r="AJ31" s="613"/>
      <c r="AK31" s="613"/>
      <c r="AL31" s="613"/>
      <c r="AM31" s="613"/>
      <c r="AN31" s="613"/>
      <c r="AO31" s="613"/>
      <c r="AP31" s="613"/>
      <c r="AQ31" s="613"/>
      <c r="AR31" s="613"/>
      <c r="AS31" s="613"/>
      <c r="AT31" s="613"/>
      <c r="AU31" s="613"/>
      <c r="AV31" s="613"/>
      <c r="AW31" s="613"/>
      <c r="AX31" s="712"/>
      <c r="AY31" s="712"/>
      <c r="AZ31" s="712"/>
      <c r="BA31" s="712"/>
      <c r="BB31" s="712"/>
      <c r="BC31" s="712"/>
      <c r="BD31" s="712"/>
      <c r="BE31" s="712"/>
      <c r="BJ31" s="625">
        <f>SUM(BJ26:BJ30)</f>
        <v>11958</v>
      </c>
      <c r="BM31" s="625">
        <f>SUM(BM26:BM30)</f>
        <v>52632</v>
      </c>
      <c r="BN31" s="712">
        <f>SUM(BN26:BN30)</f>
        <v>1</v>
      </c>
      <c r="BO31" s="712"/>
      <c r="BP31" s="713"/>
      <c r="BQ31" s="713"/>
      <c r="BR31" s="624">
        <f>SUM(BR26:BR30)</f>
        <v>57815</v>
      </c>
      <c r="BS31" s="713"/>
      <c r="BT31" s="713"/>
      <c r="BU31" s="624">
        <f>SUM(BU26:BU30)</f>
        <v>0</v>
      </c>
      <c r="CK31" s="626"/>
      <c r="CL31" s="709"/>
      <c r="CM31" s="626"/>
      <c r="CN31" s="626"/>
      <c r="CO31" s="626"/>
      <c r="CP31" s="626"/>
      <c r="DC31" s="626"/>
      <c r="DD31" s="626"/>
      <c r="DE31" s="626"/>
      <c r="DF31" s="626"/>
      <c r="DG31" s="626"/>
      <c r="DH31" s="626"/>
    </row>
    <row r="32" spans="1:154" ht="32" x14ac:dyDescent="0.2">
      <c r="U32" s="928" t="s">
        <v>1197</v>
      </c>
      <c r="V32" s="929" t="s">
        <v>1211</v>
      </c>
      <c r="W32" s="929" t="s">
        <v>1197</v>
      </c>
      <c r="X32" s="930" t="s">
        <v>1211</v>
      </c>
      <c r="Y32" s="930" t="s">
        <v>1211</v>
      </c>
      <c r="AH32" s="613"/>
      <c r="AJ32" s="613"/>
      <c r="AK32" s="613"/>
      <c r="AL32" s="613"/>
      <c r="AM32" s="613"/>
      <c r="AN32" s="613"/>
      <c r="AO32" s="613"/>
      <c r="AP32" s="613"/>
      <c r="AQ32" s="613"/>
      <c r="AR32" s="613"/>
      <c r="AS32" s="613"/>
      <c r="AT32" s="613"/>
      <c r="AU32" s="613"/>
      <c r="AV32" s="613"/>
      <c r="AW32" s="613"/>
    </row>
    <row r="33" spans="1:49" ht="16" x14ac:dyDescent="0.2">
      <c r="A33" s="901" t="s">
        <v>677</v>
      </c>
      <c r="U33" s="905">
        <v>6357.7711233046894</v>
      </c>
      <c r="V33" s="905">
        <v>4228.3464848845633</v>
      </c>
      <c r="W33" s="905">
        <v>8475.6541647686099</v>
      </c>
      <c r="X33" s="926">
        <v>6356.9467235221036</v>
      </c>
      <c r="Y33" s="926">
        <v>16952.957129102389</v>
      </c>
      <c r="Z33" s="925">
        <f>SUM(U33:Y33)</f>
        <v>42371.675625582357</v>
      </c>
      <c r="AH33" s="613"/>
      <c r="AJ33" s="613"/>
      <c r="AK33" s="613"/>
      <c r="AL33" s="613"/>
      <c r="AM33" s="613"/>
      <c r="AN33" s="613"/>
      <c r="AO33" s="613"/>
      <c r="AP33" s="613"/>
      <c r="AQ33" s="613"/>
      <c r="AR33" s="613"/>
      <c r="AS33" s="613"/>
      <c r="AT33" s="613"/>
      <c r="AU33" s="613"/>
      <c r="AV33" s="613"/>
      <c r="AW33" s="613"/>
    </row>
    <row r="34" spans="1:49" ht="16" x14ac:dyDescent="0.2">
      <c r="A34" s="901" t="s">
        <v>537</v>
      </c>
      <c r="U34" s="905">
        <v>3199.4955562169994</v>
      </c>
      <c r="V34" s="905">
        <v>2132.7222375504707</v>
      </c>
      <c r="W34" s="905">
        <v>4267.0932746661138</v>
      </c>
      <c r="X34" s="926">
        <v>3199.4955562169994</v>
      </c>
      <c r="Y34" s="926">
        <v>8532.5377497670561</v>
      </c>
      <c r="Z34" s="925">
        <f>SUM(U34:Y34)</f>
        <v>21331.34437441764</v>
      </c>
      <c r="AH34" s="613"/>
      <c r="AJ34" s="613"/>
      <c r="AK34" s="613"/>
      <c r="AL34" s="613"/>
      <c r="AM34" s="613"/>
      <c r="AN34" s="613"/>
      <c r="AO34" s="613"/>
      <c r="AP34" s="613"/>
      <c r="AQ34" s="613"/>
      <c r="AR34" s="613"/>
      <c r="AS34" s="613"/>
      <c r="AT34" s="613"/>
      <c r="AU34" s="613"/>
      <c r="AV34" s="613"/>
      <c r="AW34" s="613"/>
    </row>
    <row r="35" spans="1:49" ht="16" x14ac:dyDescent="0.2">
      <c r="A35" s="901" t="s">
        <v>710</v>
      </c>
      <c r="U35" s="905"/>
      <c r="V35" s="905"/>
      <c r="W35" s="907">
        <v>17793.600000000002</v>
      </c>
      <c r="X35" s="926"/>
      <c r="Y35" s="926"/>
      <c r="Z35" s="925">
        <f>SUM(U35:Y35)</f>
        <v>17793.600000000002</v>
      </c>
      <c r="AH35" s="613"/>
      <c r="AJ35" s="613"/>
      <c r="AK35" s="613"/>
      <c r="AL35" s="613"/>
      <c r="AM35" s="613"/>
      <c r="AN35" s="613"/>
      <c r="AO35" s="613"/>
      <c r="AP35" s="613"/>
      <c r="AQ35" s="613"/>
      <c r="AR35" s="613"/>
      <c r="AS35" s="613"/>
      <c r="AT35" s="613"/>
      <c r="AU35" s="613"/>
      <c r="AV35" s="613"/>
      <c r="AW35" s="613"/>
    </row>
    <row r="36" spans="1:49" x14ac:dyDescent="0.2">
      <c r="A36" s="899" t="s">
        <v>78</v>
      </c>
      <c r="U36" s="905">
        <v>2517.9</v>
      </c>
      <c r="V36" s="905">
        <v>2517.9</v>
      </c>
      <c r="W36" s="905"/>
      <c r="X36" s="926"/>
      <c r="Y36" s="926">
        <v>28535.100000000002</v>
      </c>
      <c r="Z36" s="925">
        <f t="shared" ref="Z36:Z38" si="4">SUM(U36:Y36)</f>
        <v>33570.9</v>
      </c>
      <c r="AH36" s="613"/>
      <c r="AJ36" s="613"/>
      <c r="AK36" s="613"/>
      <c r="AL36" s="613"/>
      <c r="AM36" s="613"/>
      <c r="AN36" s="613"/>
      <c r="AO36" s="613"/>
      <c r="AP36" s="613"/>
      <c r="AQ36" s="613"/>
      <c r="AR36" s="613"/>
      <c r="AS36" s="613"/>
      <c r="AT36" s="613"/>
      <c r="AU36" s="613"/>
      <c r="AV36" s="613"/>
      <c r="AW36" s="613"/>
    </row>
    <row r="37" spans="1:49" x14ac:dyDescent="0.2">
      <c r="A37" s="899" t="s">
        <v>79</v>
      </c>
      <c r="U37" s="905"/>
      <c r="V37" s="905"/>
      <c r="W37" s="905"/>
      <c r="X37" s="926"/>
      <c r="Y37" s="926">
        <v>2383.7000000000003</v>
      </c>
      <c r="Z37" s="925">
        <f t="shared" si="4"/>
        <v>2383.7000000000003</v>
      </c>
      <c r="AH37" s="613"/>
      <c r="AJ37" s="613"/>
      <c r="AK37" s="613"/>
      <c r="AL37" s="613"/>
      <c r="AM37" s="613"/>
      <c r="AN37" s="613"/>
      <c r="AO37" s="613"/>
      <c r="AP37" s="613"/>
      <c r="AQ37" s="613"/>
      <c r="AR37" s="613"/>
      <c r="AS37" s="613"/>
      <c r="AT37" s="613"/>
      <c r="AU37" s="613"/>
      <c r="AV37" s="613"/>
      <c r="AW37" s="613"/>
    </row>
    <row r="38" spans="1:49" x14ac:dyDescent="0.2">
      <c r="A38" s="899" t="s">
        <v>80</v>
      </c>
      <c r="U38" s="905"/>
      <c r="V38" s="905"/>
      <c r="W38" s="905"/>
      <c r="X38" s="926"/>
      <c r="Y38" s="926">
        <v>1029.6000000000001</v>
      </c>
      <c r="Z38" s="925">
        <f t="shared" si="4"/>
        <v>1029.6000000000001</v>
      </c>
      <c r="AH38" s="613"/>
      <c r="AJ38" s="613"/>
      <c r="AK38" s="613"/>
      <c r="AL38" s="613"/>
      <c r="AM38" s="613"/>
      <c r="AN38" s="613"/>
      <c r="AO38" s="613"/>
      <c r="AP38" s="613"/>
      <c r="AQ38" s="613"/>
      <c r="AR38" s="613"/>
      <c r="AS38" s="613"/>
      <c r="AT38" s="613"/>
      <c r="AU38" s="613"/>
      <c r="AV38" s="613"/>
      <c r="AW38" s="613"/>
    </row>
    <row r="39" spans="1:49" x14ac:dyDescent="0.2">
      <c r="A39" s="899" t="s">
        <v>86</v>
      </c>
      <c r="U39" s="905">
        <v>27995.000000000004</v>
      </c>
      <c r="V39" s="905"/>
      <c r="W39" s="905"/>
      <c r="X39" s="926">
        <v>15074.400000000001</v>
      </c>
      <c r="Y39" s="926"/>
      <c r="Z39" s="925">
        <f>SUM(U39:Y39)</f>
        <v>43069.400000000009</v>
      </c>
      <c r="AH39" s="613"/>
      <c r="AJ39" s="613"/>
      <c r="AK39" s="613"/>
      <c r="AL39" s="613"/>
      <c r="AM39" s="613"/>
      <c r="AN39" s="613"/>
      <c r="AO39" s="613"/>
      <c r="AP39" s="613"/>
      <c r="AQ39" s="613"/>
      <c r="AR39" s="613"/>
      <c r="AS39" s="613"/>
      <c r="AT39" s="613"/>
      <c r="AU39" s="613"/>
      <c r="AV39" s="613"/>
      <c r="AW39" s="613"/>
    </row>
    <row r="40" spans="1:49" x14ac:dyDescent="0.2">
      <c r="A40" s="899" t="s">
        <v>89</v>
      </c>
      <c r="U40" s="905">
        <v>879</v>
      </c>
      <c r="V40" s="905"/>
      <c r="W40" s="905"/>
      <c r="X40" s="926">
        <v>879</v>
      </c>
      <c r="Y40" s="926"/>
      <c r="Z40" s="925">
        <f>SUM(U40:Y40)</f>
        <v>1758</v>
      </c>
      <c r="AH40" s="613"/>
      <c r="AJ40" s="613"/>
      <c r="AK40" s="613"/>
      <c r="AL40" s="613"/>
      <c r="AM40" s="613"/>
      <c r="AN40" s="613"/>
      <c r="AO40" s="613"/>
      <c r="AP40" s="613"/>
      <c r="AQ40" s="613"/>
      <c r="AR40" s="613"/>
      <c r="AS40" s="613"/>
      <c r="AT40" s="613"/>
      <c r="AU40" s="613"/>
      <c r="AV40" s="613"/>
      <c r="AW40" s="613"/>
    </row>
    <row r="41" spans="1:49" x14ac:dyDescent="0.2">
      <c r="A41" s="899" t="s">
        <v>57</v>
      </c>
      <c r="U41" s="927">
        <f t="shared" ref="U41:Z41" si="5">SUM(U33:U40)</f>
        <v>40949.166679521688</v>
      </c>
      <c r="V41" s="927">
        <f t="shared" si="5"/>
        <v>8878.9687224350346</v>
      </c>
      <c r="W41" s="927">
        <f t="shared" si="5"/>
        <v>30536.347439434725</v>
      </c>
      <c r="X41" s="927">
        <f t="shared" si="5"/>
        <v>25509.842279739103</v>
      </c>
      <c r="Y41" s="927">
        <f t="shared" si="5"/>
        <v>57433.894878869447</v>
      </c>
      <c r="Z41" s="927">
        <f t="shared" si="5"/>
        <v>163308.22</v>
      </c>
      <c r="AH41" s="613"/>
      <c r="AJ41" s="613"/>
      <c r="AK41" s="613"/>
      <c r="AL41" s="613"/>
      <c r="AM41" s="613"/>
      <c r="AN41" s="613"/>
      <c r="AO41" s="613"/>
      <c r="AP41" s="613"/>
      <c r="AQ41" s="613"/>
      <c r="AR41" s="613"/>
      <c r="AS41" s="613"/>
      <c r="AT41" s="613"/>
      <c r="AU41" s="613"/>
      <c r="AV41" s="613"/>
      <c r="AW41" s="613"/>
    </row>
    <row r="42" spans="1:49" x14ac:dyDescent="0.2">
      <c r="A42" s="613" t="s">
        <v>1553</v>
      </c>
      <c r="Z42" s="927">
        <f>Z41*1.1</f>
        <v>179639.04200000002</v>
      </c>
    </row>
    <row r="43" spans="1:49" x14ac:dyDescent="0.2">
      <c r="U43" s="652" t="s">
        <v>355</v>
      </c>
      <c r="V43" s="652" t="s">
        <v>723</v>
      </c>
      <c r="W43" s="652" t="s">
        <v>95</v>
      </c>
      <c r="X43" s="652" t="s">
        <v>1505</v>
      </c>
      <c r="AA43" s="625"/>
      <c r="AB43" s="627"/>
      <c r="AC43" s="625"/>
      <c r="AD43" s="625"/>
      <c r="AE43" s="625">
        <f>SUM(AL26:AL30)</f>
        <v>5311</v>
      </c>
      <c r="AF43" s="625"/>
      <c r="AG43" s="625"/>
      <c r="AI43" s="712">
        <f>SUM(AP26:AP30)</f>
        <v>1</v>
      </c>
      <c r="AL43" s="712" t="e">
        <f>SUM(AS26:AS30)</f>
        <v>#DIV/0!</v>
      </c>
      <c r="AM43" s="712"/>
      <c r="AN43" s="712"/>
      <c r="AO43" s="712"/>
      <c r="AP43" s="712"/>
    </row>
    <row r="44" spans="1:49" ht="32" x14ac:dyDescent="0.2">
      <c r="U44" s="928" t="s">
        <v>1197</v>
      </c>
      <c r="V44" s="929" t="s">
        <v>1211</v>
      </c>
      <c r="W44" s="929" t="s">
        <v>1197</v>
      </c>
      <c r="X44" s="930" t="s">
        <v>1211</v>
      </c>
      <c r="Y44" s="930" t="s">
        <v>1211</v>
      </c>
      <c r="AA44" s="625"/>
      <c r="AB44" s="627"/>
      <c r="AC44" s="625"/>
      <c r="AD44" s="625"/>
      <c r="AE44" s="625"/>
      <c r="AF44" s="625"/>
      <c r="AG44" s="625"/>
      <c r="AI44" s="625"/>
    </row>
    <row r="45" spans="1:49" ht="16" x14ac:dyDescent="0.2">
      <c r="A45" s="901" t="s">
        <v>677</v>
      </c>
      <c r="U45" s="931">
        <f>U33/$Z33</f>
        <v>0.15004766815183765</v>
      </c>
      <c r="V45" s="932">
        <f t="shared" ref="V45:Y45" si="6">V33/$Z33</f>
        <v>9.9791816642994718E-2</v>
      </c>
      <c r="W45" s="932">
        <f t="shared" si="6"/>
        <v>0.20003113022160829</v>
      </c>
      <c r="X45" s="933">
        <f t="shared" si="6"/>
        <v>0.1500282117633325</v>
      </c>
      <c r="Y45" s="933">
        <f t="shared" si="6"/>
        <v>0.40010117322022681</v>
      </c>
      <c r="Z45" s="934">
        <f>SUM(U45:Y45)</f>
        <v>1</v>
      </c>
      <c r="AA45" s="625"/>
      <c r="AC45" s="625"/>
      <c r="AD45" s="625"/>
      <c r="AE45" s="625"/>
      <c r="AF45" s="662"/>
      <c r="AG45" s="711"/>
      <c r="AH45" s="711"/>
      <c r="AI45" s="625"/>
      <c r="AJ45" s="711"/>
      <c r="AK45" s="711"/>
    </row>
    <row r="46" spans="1:49" ht="16" x14ac:dyDescent="0.2">
      <c r="A46" s="901" t="s">
        <v>537</v>
      </c>
      <c r="U46" s="931">
        <f t="shared" ref="U46:Y46" si="7">U34/$Z34</f>
        <v>0.1499903381642512</v>
      </c>
      <c r="V46" s="932">
        <f t="shared" si="7"/>
        <v>9.998067632850241E-2</v>
      </c>
      <c r="W46" s="932">
        <f t="shared" si="7"/>
        <v>0.20003864734299515</v>
      </c>
      <c r="X46" s="933">
        <f t="shared" si="7"/>
        <v>0.1499903381642512</v>
      </c>
      <c r="Y46" s="933">
        <f t="shared" si="7"/>
        <v>0.4</v>
      </c>
      <c r="Z46" s="935">
        <f>SUM(U46:Y46)</f>
        <v>1</v>
      </c>
      <c r="AA46" s="625"/>
      <c r="AC46" s="625"/>
      <c r="AD46" s="625"/>
      <c r="AE46" s="625"/>
      <c r="AF46" s="670"/>
      <c r="AG46" s="625"/>
      <c r="AI46" s="625"/>
    </row>
    <row r="47" spans="1:49" ht="16" x14ac:dyDescent="0.2">
      <c r="A47" s="901" t="s">
        <v>710</v>
      </c>
      <c r="U47" s="931">
        <f t="shared" ref="U47:Y47" si="8">U35/$Z35</f>
        <v>0</v>
      </c>
      <c r="V47" s="932">
        <f t="shared" si="8"/>
        <v>0</v>
      </c>
      <c r="W47" s="932">
        <f t="shared" si="8"/>
        <v>1</v>
      </c>
      <c r="X47" s="933">
        <f t="shared" si="8"/>
        <v>0</v>
      </c>
      <c r="Y47" s="933">
        <f t="shared" si="8"/>
        <v>0</v>
      </c>
      <c r="Z47" s="935">
        <f>SUM(U47:Y47)</f>
        <v>1</v>
      </c>
      <c r="AA47" s="625"/>
      <c r="AC47" s="625"/>
      <c r="AD47" s="625"/>
      <c r="AE47" s="625"/>
      <c r="AF47" s="670"/>
      <c r="AG47" s="625"/>
      <c r="AI47" s="625"/>
    </row>
    <row r="48" spans="1:49" x14ac:dyDescent="0.2">
      <c r="A48" s="899" t="s">
        <v>78</v>
      </c>
      <c r="U48" s="931">
        <f t="shared" ref="U48:Y48" si="9">U36/$Z36</f>
        <v>7.5002457485500829E-2</v>
      </c>
      <c r="V48" s="932">
        <f t="shared" si="9"/>
        <v>7.5002457485500829E-2</v>
      </c>
      <c r="W48" s="932">
        <f t="shared" si="9"/>
        <v>0</v>
      </c>
      <c r="X48" s="933">
        <f t="shared" si="9"/>
        <v>0</v>
      </c>
      <c r="Y48" s="933">
        <f t="shared" si="9"/>
        <v>0.84999508502899834</v>
      </c>
      <c r="Z48" s="935">
        <f t="shared" ref="Z48:Z50" si="10">SUM(U48:Y48)</f>
        <v>1</v>
      </c>
      <c r="AA48" s="625"/>
      <c r="AC48" s="625"/>
      <c r="AD48" s="625"/>
      <c r="AE48" s="625"/>
      <c r="AF48" s="670"/>
      <c r="AG48" s="625"/>
      <c r="AI48" s="625"/>
    </row>
    <row r="49" spans="1:35" x14ac:dyDescent="0.2">
      <c r="A49" s="899" t="s">
        <v>79</v>
      </c>
      <c r="U49" s="931">
        <f t="shared" ref="U49:Y49" si="11">U37/$Z37</f>
        <v>0</v>
      </c>
      <c r="V49" s="932">
        <f t="shared" si="11"/>
        <v>0</v>
      </c>
      <c r="W49" s="932">
        <f t="shared" si="11"/>
        <v>0</v>
      </c>
      <c r="X49" s="933">
        <f t="shared" si="11"/>
        <v>0</v>
      </c>
      <c r="Y49" s="933">
        <f t="shared" si="11"/>
        <v>1</v>
      </c>
      <c r="Z49" s="935">
        <f t="shared" si="10"/>
        <v>1</v>
      </c>
      <c r="AA49" s="625"/>
      <c r="AC49" s="625"/>
      <c r="AD49" s="625"/>
      <c r="AE49" s="625"/>
      <c r="AF49" s="625"/>
      <c r="AG49" s="625"/>
      <c r="AI49" s="625"/>
    </row>
    <row r="50" spans="1:35" x14ac:dyDescent="0.2">
      <c r="A50" s="899" t="s">
        <v>80</v>
      </c>
      <c r="U50" s="931">
        <f t="shared" ref="U50:Y50" si="12">U38/$Z38</f>
        <v>0</v>
      </c>
      <c r="V50" s="932">
        <f t="shared" si="12"/>
        <v>0</v>
      </c>
      <c r="W50" s="932">
        <f t="shared" si="12"/>
        <v>0</v>
      </c>
      <c r="X50" s="933">
        <f t="shared" si="12"/>
        <v>0</v>
      </c>
      <c r="Y50" s="933">
        <f t="shared" si="12"/>
        <v>1</v>
      </c>
      <c r="Z50" s="935">
        <f t="shared" si="10"/>
        <v>1</v>
      </c>
      <c r="AA50" s="625"/>
      <c r="AC50" s="625"/>
      <c r="AD50" s="625"/>
      <c r="AE50" s="625"/>
      <c r="AF50" s="625"/>
      <c r="AG50" s="625"/>
      <c r="AI50" s="625"/>
    </row>
    <row r="51" spans="1:35" x14ac:dyDescent="0.2">
      <c r="A51" s="899" t="s">
        <v>86</v>
      </c>
      <c r="U51" s="931">
        <f t="shared" ref="U51:Y51" si="13">U39/$Z39</f>
        <v>0.64999744598253051</v>
      </c>
      <c r="V51" s="932">
        <f t="shared" si="13"/>
        <v>0</v>
      </c>
      <c r="W51" s="932">
        <f t="shared" si="13"/>
        <v>0</v>
      </c>
      <c r="X51" s="933">
        <f t="shared" si="13"/>
        <v>0.35000255401746944</v>
      </c>
      <c r="Y51" s="933">
        <f t="shared" si="13"/>
        <v>0</v>
      </c>
      <c r="Z51" s="935">
        <f>SUM(U51:Y51)</f>
        <v>1</v>
      </c>
      <c r="AA51" s="625"/>
      <c r="AC51" s="625"/>
      <c r="AD51" s="625"/>
      <c r="AE51" s="625"/>
      <c r="AF51" s="625"/>
      <c r="AG51" s="625"/>
      <c r="AI51" s="625"/>
    </row>
    <row r="52" spans="1:35" x14ac:dyDescent="0.2">
      <c r="A52" s="899" t="s">
        <v>89</v>
      </c>
      <c r="U52" s="931">
        <f t="shared" ref="U52:Y52" si="14">U40/$Z40</f>
        <v>0.5</v>
      </c>
      <c r="V52" s="932">
        <f t="shared" si="14"/>
        <v>0</v>
      </c>
      <c r="W52" s="932">
        <f t="shared" si="14"/>
        <v>0</v>
      </c>
      <c r="X52" s="933">
        <f t="shared" si="14"/>
        <v>0.5</v>
      </c>
      <c r="Y52" s="933">
        <f t="shared" si="14"/>
        <v>0</v>
      </c>
      <c r="Z52" s="935">
        <f>SUM(U52:Y52)</f>
        <v>1</v>
      </c>
      <c r="AA52" s="625"/>
      <c r="AC52" s="625"/>
      <c r="AD52" s="625"/>
      <c r="AE52" s="625"/>
      <c r="AF52" s="625"/>
      <c r="AG52" s="625"/>
      <c r="AI52" s="625"/>
    </row>
    <row r="53" spans="1:35" x14ac:dyDescent="0.2">
      <c r="U53" s="936"/>
      <c r="V53" s="936"/>
      <c r="W53" s="936"/>
      <c r="X53" s="936"/>
      <c r="Y53" s="936"/>
      <c r="Z53" s="936"/>
      <c r="AA53" s="625"/>
      <c r="AC53" s="625"/>
      <c r="AD53" s="625"/>
      <c r="AE53" s="625"/>
      <c r="AF53" s="625"/>
      <c r="AG53" s="625"/>
      <c r="AI53" s="625"/>
    </row>
  </sheetData>
  <mergeCells count="19">
    <mergeCell ref="DO5:DO6"/>
    <mergeCell ref="CH3:DB3"/>
    <mergeCell ref="DI3:DY3"/>
    <mergeCell ref="B2:CG2"/>
    <mergeCell ref="CK2:EI2"/>
    <mergeCell ref="AD3:AY3"/>
    <mergeCell ref="BF3:CA3"/>
    <mergeCell ref="B3:W3"/>
    <mergeCell ref="AE24:AF24"/>
    <mergeCell ref="F5:F6"/>
    <mergeCell ref="AH5:AH6"/>
    <mergeCell ref="BJ5:BJ6"/>
    <mergeCell ref="I5:I6"/>
    <mergeCell ref="BL24:BR24"/>
    <mergeCell ref="AK5:AK6"/>
    <mergeCell ref="CK5:CK6"/>
    <mergeCell ref="DL5:DL6"/>
    <mergeCell ref="BM5:BM6"/>
    <mergeCell ref="CN5:CN6"/>
  </mergeCells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ED99-E4FB-4928-AC80-9F00011A4C73}">
  <dimension ref="B1:O23"/>
  <sheetViews>
    <sheetView zoomScale="130" zoomScaleNormal="130" workbookViewId="0">
      <selection activeCell="C5" sqref="C5"/>
    </sheetView>
  </sheetViews>
  <sheetFormatPr baseColWidth="10" defaultColWidth="8.83203125" defaultRowHeight="15" x14ac:dyDescent="0.2"/>
  <cols>
    <col min="1" max="1" width="3.1640625" customWidth="1"/>
    <col min="2" max="2" width="15.33203125" customWidth="1"/>
    <col min="3" max="3" width="11.33203125" bestFit="1" customWidth="1"/>
    <col min="4" max="4" width="9" bestFit="1" customWidth="1"/>
    <col min="5" max="5" width="12.33203125" style="367" bestFit="1" customWidth="1"/>
    <col min="6" max="6" width="1.5" style="367" customWidth="1"/>
    <col min="7" max="7" width="13.5" customWidth="1"/>
    <col min="8" max="8" width="10.1640625" bestFit="1" customWidth="1"/>
    <col min="9" max="9" width="11.33203125" style="369" bestFit="1" customWidth="1"/>
    <col min="10" max="10" width="10.1640625" bestFit="1" customWidth="1"/>
    <col min="11" max="11" width="1.33203125" customWidth="1"/>
    <col min="12" max="12" width="15" customWidth="1"/>
    <col min="13" max="15" width="9" bestFit="1" customWidth="1"/>
  </cols>
  <sheetData>
    <row r="1" spans="2:15" ht="16" thickBot="1" x14ac:dyDescent="0.25"/>
    <row r="2" spans="2:15" x14ac:dyDescent="0.2">
      <c r="B2" s="363"/>
      <c r="C2" s="1192" t="s">
        <v>1426</v>
      </c>
      <c r="D2" s="1193"/>
      <c r="E2" s="1194"/>
      <c r="F2" s="600"/>
      <c r="G2" s="1195" t="s">
        <v>1427</v>
      </c>
      <c r="H2" s="1190"/>
      <c r="I2" s="1191"/>
    </row>
    <row r="3" spans="2:15" s="20" customFormat="1" x14ac:dyDescent="0.2">
      <c r="B3" s="364"/>
      <c r="C3" s="1196">
        <v>2020</v>
      </c>
      <c r="D3" s="1196"/>
      <c r="E3" s="365">
        <v>2021</v>
      </c>
      <c r="F3" s="601"/>
      <c r="G3" s="1197">
        <v>2020</v>
      </c>
      <c r="H3" s="1196"/>
      <c r="I3" s="365">
        <v>2021</v>
      </c>
    </row>
    <row r="4" spans="2:15" s="20" customFormat="1" x14ac:dyDescent="0.2">
      <c r="B4" s="364" t="s">
        <v>727</v>
      </c>
      <c r="C4" s="4" t="s">
        <v>728</v>
      </c>
      <c r="D4" s="4" t="s">
        <v>356</v>
      </c>
      <c r="E4" s="368" t="s">
        <v>124</v>
      </c>
      <c r="F4" s="590"/>
      <c r="G4" s="364" t="s">
        <v>728</v>
      </c>
      <c r="H4" s="4" t="s">
        <v>356</v>
      </c>
      <c r="I4" s="366" t="s">
        <v>124</v>
      </c>
      <c r="L4" s="20" t="s">
        <v>1426</v>
      </c>
      <c r="N4" s="20" t="s">
        <v>1428</v>
      </c>
    </row>
    <row r="5" spans="2:15" s="12" customFormat="1" x14ac:dyDescent="0.2">
      <c r="B5" s="570" t="s">
        <v>729</v>
      </c>
      <c r="C5" s="578">
        <v>7087</v>
      </c>
      <c r="D5" s="607">
        <f>C5/$C$10</f>
        <v>0.15003387247014988</v>
      </c>
      <c r="E5" s="579">
        <f>D5*$E$10</f>
        <v>7711.2909433482928</v>
      </c>
      <c r="F5" s="602"/>
      <c r="G5" s="605">
        <v>2881</v>
      </c>
      <c r="H5" s="607">
        <v>0.15</v>
      </c>
      <c r="I5" s="579">
        <f>H5*$I$10</f>
        <v>3881.1</v>
      </c>
      <c r="L5" s="574">
        <f>E5+E6+E7</f>
        <v>23121.903844525361</v>
      </c>
      <c r="N5" s="574">
        <f>I5+I6+I7</f>
        <v>11643.3</v>
      </c>
    </row>
    <row r="6" spans="2:15" s="12" customFormat="1" x14ac:dyDescent="0.2">
      <c r="B6" s="570" t="s">
        <v>720</v>
      </c>
      <c r="C6" s="578">
        <v>4714</v>
      </c>
      <c r="D6" s="607">
        <f t="shared" ref="D6:D9" si="0">C6/$C$10</f>
        <v>9.9796765179100688E-2</v>
      </c>
      <c r="E6" s="579">
        <f t="shared" ref="E6:E9" si="1">D6*$E$10</f>
        <v>5129.2543399102378</v>
      </c>
      <c r="F6" s="602"/>
      <c r="G6" s="605">
        <v>2587</v>
      </c>
      <c r="H6" s="607">
        <v>0.1</v>
      </c>
      <c r="I6" s="579">
        <f t="shared" ref="I6:I9" si="2">H6*$I$10</f>
        <v>2587.4</v>
      </c>
    </row>
    <row r="7" spans="2:15" s="12" customFormat="1" x14ac:dyDescent="0.2">
      <c r="B7" s="570" t="s">
        <v>730</v>
      </c>
      <c r="C7" s="578">
        <v>9449</v>
      </c>
      <c r="D7" s="607">
        <f t="shared" si="0"/>
        <v>0.20003810652891862</v>
      </c>
      <c r="E7" s="579">
        <f t="shared" si="1"/>
        <v>10281.35856126683</v>
      </c>
      <c r="F7" s="602"/>
      <c r="G7" s="605">
        <v>8054</v>
      </c>
      <c r="H7" s="607">
        <v>0.2</v>
      </c>
      <c r="I7" s="579">
        <f t="shared" si="2"/>
        <v>5174.8</v>
      </c>
    </row>
    <row r="8" spans="2:15" s="12" customFormat="1" x14ac:dyDescent="0.2">
      <c r="B8" s="571" t="s">
        <v>731</v>
      </c>
      <c r="C8" s="580">
        <v>7087</v>
      </c>
      <c r="D8" s="608">
        <f t="shared" si="0"/>
        <v>0.15003387247014988</v>
      </c>
      <c r="E8" s="581">
        <f t="shared" si="1"/>
        <v>7711.2909433482928</v>
      </c>
      <c r="F8" s="602"/>
      <c r="G8" s="606">
        <v>3021</v>
      </c>
      <c r="H8" s="608">
        <v>0.15</v>
      </c>
      <c r="I8" s="581">
        <f t="shared" si="2"/>
        <v>3881.1</v>
      </c>
      <c r="L8" s="577">
        <f>E8+E9</f>
        <v>28275.096155474639</v>
      </c>
      <c r="N8" s="577">
        <f>I8+I9</f>
        <v>14230.7</v>
      </c>
    </row>
    <row r="9" spans="2:15" s="12" customFormat="1" x14ac:dyDescent="0.2">
      <c r="B9" s="571" t="s">
        <v>92</v>
      </c>
      <c r="C9" s="580">
        <v>18899</v>
      </c>
      <c r="D9" s="608">
        <f t="shared" si="0"/>
        <v>0.40009738335168094</v>
      </c>
      <c r="E9" s="581">
        <f t="shared" si="1"/>
        <v>20563.805212126346</v>
      </c>
      <c r="F9" s="602"/>
      <c r="G9" s="606">
        <v>8056</v>
      </c>
      <c r="H9" s="608">
        <v>0.4</v>
      </c>
      <c r="I9" s="581">
        <f t="shared" si="2"/>
        <v>10349.6</v>
      </c>
    </row>
    <row r="10" spans="2:15" s="12" customFormat="1" ht="16" thickBot="1" x14ac:dyDescent="0.25">
      <c r="B10" s="592" t="s">
        <v>162</v>
      </c>
      <c r="C10" s="593">
        <f>SUM(C5:C9)</f>
        <v>47236</v>
      </c>
      <c r="D10" s="609">
        <f>SUM(D5:D9)</f>
        <v>1</v>
      </c>
      <c r="E10" s="604">
        <v>51397</v>
      </c>
      <c r="F10" s="603"/>
      <c r="G10" s="599">
        <f>SUM(G5:G9)</f>
        <v>24599</v>
      </c>
      <c r="H10" s="609">
        <f>SUM(H5:H9)</f>
        <v>1</v>
      </c>
      <c r="I10" s="594">
        <v>25874</v>
      </c>
      <c r="J10" s="591"/>
      <c r="L10" s="591">
        <f>SUM(L5:L9)</f>
        <v>51397</v>
      </c>
      <c r="N10" s="591">
        <f>SUM(N5:N9)</f>
        <v>25874</v>
      </c>
    </row>
    <row r="11" spans="2:15" x14ac:dyDescent="0.2">
      <c r="D11" s="41"/>
      <c r="E11" s="589"/>
      <c r="F11" s="589"/>
      <c r="G11" s="589"/>
      <c r="H11" s="41"/>
      <c r="J11" s="369"/>
    </row>
    <row r="12" spans="2:15" ht="16" thickBot="1" x14ac:dyDescent="0.25">
      <c r="D12" s="41"/>
      <c r="E12" s="589"/>
      <c r="F12" s="589"/>
      <c r="G12" s="589"/>
      <c r="H12" s="41"/>
      <c r="J12" s="369"/>
    </row>
    <row r="13" spans="2:15" x14ac:dyDescent="0.2">
      <c r="B13" s="363"/>
      <c r="C13" s="1190" t="s">
        <v>1425</v>
      </c>
      <c r="D13" s="1190"/>
      <c r="E13" s="1191"/>
      <c r="F13" s="589"/>
      <c r="G13" s="363"/>
      <c r="H13" s="1190" t="s">
        <v>1424</v>
      </c>
      <c r="I13" s="1190"/>
      <c r="J13" s="1191"/>
      <c r="L13" s="363"/>
      <c r="M13" s="1190" t="s">
        <v>89</v>
      </c>
      <c r="N13" s="1190"/>
      <c r="O13" s="1191"/>
    </row>
    <row r="14" spans="2:15" s="20" customFormat="1" x14ac:dyDescent="0.2">
      <c r="B14" s="364" t="s">
        <v>727</v>
      </c>
      <c r="C14" s="4" t="s">
        <v>728</v>
      </c>
      <c r="D14" s="4" t="s">
        <v>356</v>
      </c>
      <c r="E14" s="368" t="s">
        <v>124</v>
      </c>
      <c r="F14" s="590"/>
      <c r="G14" s="364" t="s">
        <v>727</v>
      </c>
      <c r="H14" s="4" t="s">
        <v>728</v>
      </c>
      <c r="I14" s="4" t="s">
        <v>356</v>
      </c>
      <c r="J14" s="368" t="s">
        <v>124</v>
      </c>
      <c r="L14" s="364" t="s">
        <v>727</v>
      </c>
      <c r="M14" s="4" t="s">
        <v>728</v>
      </c>
      <c r="N14" s="4" t="s">
        <v>356</v>
      </c>
      <c r="O14" s="368" t="s">
        <v>124</v>
      </c>
    </row>
    <row r="15" spans="2:15" x14ac:dyDescent="0.2">
      <c r="B15" s="572" t="s">
        <v>729</v>
      </c>
      <c r="C15" s="582">
        <v>4036</v>
      </c>
      <c r="D15" s="610">
        <f>C15/$C$20</f>
        <v>0.14999814174750065</v>
      </c>
      <c r="E15" s="544">
        <f>(($C$20*1.05)*($D$15/2))</f>
        <v>2118.9</v>
      </c>
      <c r="F15" s="552"/>
      <c r="G15" s="583" t="s">
        <v>729</v>
      </c>
      <c r="H15" s="582">
        <v>22344</v>
      </c>
      <c r="I15" s="610">
        <f>H15/$H$20</f>
        <v>0.65000727272727277</v>
      </c>
      <c r="J15" s="544">
        <f>($H$20*1.05)*I15</f>
        <v>23461.200000000001</v>
      </c>
      <c r="K15" s="584"/>
      <c r="L15" s="583" t="s">
        <v>729</v>
      </c>
      <c r="M15" s="582">
        <v>879</v>
      </c>
      <c r="N15" s="610">
        <f>M15/$M$20</f>
        <v>0.5</v>
      </c>
      <c r="O15" s="544">
        <f>($M$20*1.05)*N15</f>
        <v>922.95</v>
      </c>
    </row>
    <row r="16" spans="2:15" x14ac:dyDescent="0.2">
      <c r="B16" s="572" t="s">
        <v>720</v>
      </c>
      <c r="C16" s="582">
        <v>0</v>
      </c>
      <c r="D16" s="610">
        <f t="shared" ref="D16:D19" si="3">C16/$C$20</f>
        <v>0</v>
      </c>
      <c r="E16" s="544">
        <f>(($C$20*1.05)*($D$15/2))</f>
        <v>2118.9</v>
      </c>
      <c r="F16" s="552"/>
      <c r="G16" s="583" t="s">
        <v>720</v>
      </c>
      <c r="H16" s="582">
        <v>0</v>
      </c>
      <c r="I16" s="610">
        <f t="shared" ref="I16:I19" si="4">H16/$C$20</f>
        <v>0</v>
      </c>
      <c r="J16" s="544">
        <f t="shared" ref="J16:J19" si="5">($H$20*1.05)*I16</f>
        <v>0</v>
      </c>
      <c r="K16" s="584"/>
      <c r="L16" s="583" t="s">
        <v>720</v>
      </c>
      <c r="M16" s="582">
        <v>0</v>
      </c>
      <c r="N16" s="610">
        <f t="shared" ref="N16:N19" si="6">M16/$M$20</f>
        <v>0</v>
      </c>
      <c r="O16" s="544">
        <f t="shared" ref="O16:O19" si="7">($H$20*1.05)*N16</f>
        <v>0</v>
      </c>
    </row>
    <row r="17" spans="2:15" x14ac:dyDescent="0.2">
      <c r="B17" s="572" t="s">
        <v>730</v>
      </c>
      <c r="C17" s="582">
        <v>0</v>
      </c>
      <c r="D17" s="610">
        <f t="shared" si="3"/>
        <v>0</v>
      </c>
      <c r="E17" s="544">
        <f>$C$20*D18</f>
        <v>0</v>
      </c>
      <c r="F17" s="552"/>
      <c r="G17" s="583" t="s">
        <v>730</v>
      </c>
      <c r="H17" s="582">
        <v>0</v>
      </c>
      <c r="I17" s="610">
        <f t="shared" si="4"/>
        <v>0</v>
      </c>
      <c r="J17" s="544">
        <f t="shared" si="5"/>
        <v>0</v>
      </c>
      <c r="K17" s="584"/>
      <c r="L17" s="583" t="s">
        <v>730</v>
      </c>
      <c r="M17" s="582">
        <v>0</v>
      </c>
      <c r="N17" s="610">
        <f t="shared" si="6"/>
        <v>0</v>
      </c>
      <c r="O17" s="544">
        <f t="shared" si="7"/>
        <v>0</v>
      </c>
    </row>
    <row r="18" spans="2:15" x14ac:dyDescent="0.2">
      <c r="B18" s="575" t="s">
        <v>731</v>
      </c>
      <c r="C18" s="585">
        <v>0</v>
      </c>
      <c r="D18" s="611">
        <f t="shared" si="3"/>
        <v>0</v>
      </c>
      <c r="E18" s="549">
        <f>$C$20*D18</f>
        <v>0</v>
      </c>
      <c r="F18" s="552"/>
      <c r="G18" s="586" t="s">
        <v>731</v>
      </c>
      <c r="H18" s="585">
        <v>12031</v>
      </c>
      <c r="I18" s="611">
        <f>H18/$H$20</f>
        <v>0.34999272727272729</v>
      </c>
      <c r="J18" s="549">
        <f t="shared" si="5"/>
        <v>12632.550000000001</v>
      </c>
      <c r="K18" s="587"/>
      <c r="L18" s="586" t="s">
        <v>731</v>
      </c>
      <c r="M18" s="585">
        <v>879</v>
      </c>
      <c r="N18" s="611">
        <f t="shared" si="6"/>
        <v>0.5</v>
      </c>
      <c r="O18" s="549">
        <f>($M$20*1.05)*N18</f>
        <v>922.95</v>
      </c>
    </row>
    <row r="19" spans="2:15" x14ac:dyDescent="0.2">
      <c r="B19" s="575" t="s">
        <v>92</v>
      </c>
      <c r="C19" s="585">
        <v>22871</v>
      </c>
      <c r="D19" s="611">
        <f t="shared" si="3"/>
        <v>0.8500018582524993</v>
      </c>
      <c r="E19" s="549">
        <f>($C$20*1.05)*D19</f>
        <v>24014.55</v>
      </c>
      <c r="F19" s="552"/>
      <c r="G19" s="586" t="s">
        <v>92</v>
      </c>
      <c r="H19" s="585"/>
      <c r="I19" s="611">
        <f t="shared" si="4"/>
        <v>0</v>
      </c>
      <c r="J19" s="549">
        <f t="shared" si="5"/>
        <v>0</v>
      </c>
      <c r="K19" s="595"/>
      <c r="L19" s="586" t="s">
        <v>92</v>
      </c>
      <c r="M19" s="585"/>
      <c r="N19" s="611">
        <f t="shared" si="6"/>
        <v>0</v>
      </c>
      <c r="O19" s="549">
        <f t="shared" si="7"/>
        <v>0</v>
      </c>
    </row>
    <row r="20" spans="2:15" ht="16" thickBot="1" x14ac:dyDescent="0.25">
      <c r="B20" s="596" t="s">
        <v>162</v>
      </c>
      <c r="C20" s="597">
        <f>SUM(C15:C19)</f>
        <v>26907</v>
      </c>
      <c r="D20" s="612">
        <f>SUM(D15:D19)</f>
        <v>1</v>
      </c>
      <c r="E20" s="598">
        <f>SUM(E15:E19)</f>
        <v>28252.35</v>
      </c>
      <c r="F20" s="589"/>
      <c r="G20" s="596" t="s">
        <v>162</v>
      </c>
      <c r="H20" s="597">
        <f>SUM(H15:H19)</f>
        <v>34375</v>
      </c>
      <c r="I20" s="612">
        <f>SUM(I15:I19)</f>
        <v>1</v>
      </c>
      <c r="J20" s="598">
        <f>SUM(J15:J19)</f>
        <v>36093.75</v>
      </c>
      <c r="L20" s="596" t="s">
        <v>162</v>
      </c>
      <c r="M20" s="597">
        <f>SUM(M15:M19)</f>
        <v>1758</v>
      </c>
      <c r="N20" s="612">
        <f>SUM(N15:N19)</f>
        <v>1</v>
      </c>
      <c r="O20" s="598">
        <f>SUM(O15:O19)</f>
        <v>1845.9</v>
      </c>
    </row>
    <row r="21" spans="2:15" x14ac:dyDescent="0.2">
      <c r="E21" s="589"/>
      <c r="F21" s="589"/>
    </row>
    <row r="23" spans="2:15" x14ac:dyDescent="0.2">
      <c r="B23" t="s">
        <v>732</v>
      </c>
    </row>
  </sheetData>
  <mergeCells count="7">
    <mergeCell ref="M13:O13"/>
    <mergeCell ref="C2:E2"/>
    <mergeCell ref="G2:I2"/>
    <mergeCell ref="C3:D3"/>
    <mergeCell ref="G3:H3"/>
    <mergeCell ref="C13:E13"/>
    <mergeCell ref="H13:J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117"/>
  <sheetViews>
    <sheetView zoomScale="130" zoomScaleNormal="130" workbookViewId="0">
      <selection activeCell="C23" sqref="C23"/>
    </sheetView>
  </sheetViews>
  <sheetFormatPr baseColWidth="10" defaultColWidth="8.83203125" defaultRowHeight="15" x14ac:dyDescent="0.2"/>
  <cols>
    <col min="2" max="2" width="14.1640625" bestFit="1" customWidth="1"/>
    <col min="3" max="3" width="11.83203125" bestFit="1" customWidth="1"/>
    <col min="4" max="4" width="23" bestFit="1" customWidth="1"/>
    <col min="5" max="5" width="54.1640625" customWidth="1"/>
    <col min="6" max="6" width="65.1640625" style="14" customWidth="1"/>
  </cols>
  <sheetData>
    <row r="1" spans="2:6" ht="24" x14ac:dyDescent="0.3">
      <c r="B1" s="1198" t="s">
        <v>1096</v>
      </c>
      <c r="C1" s="1199"/>
      <c r="D1" s="1199"/>
      <c r="E1" s="1200"/>
    </row>
    <row r="2" spans="2:6" ht="21" x14ac:dyDescent="0.25">
      <c r="B2" s="1201" t="s">
        <v>4</v>
      </c>
      <c r="C2" s="1202"/>
      <c r="D2" s="1202"/>
      <c r="E2" s="1203"/>
    </row>
    <row r="3" spans="2:6" x14ac:dyDescent="0.2">
      <c r="B3" s="370" t="s">
        <v>24</v>
      </c>
      <c r="C3" s="133" t="s">
        <v>25</v>
      </c>
      <c r="D3" s="65" t="s">
        <v>26</v>
      </c>
      <c r="E3" s="371" t="s">
        <v>12</v>
      </c>
    </row>
    <row r="4" spans="2:6" x14ac:dyDescent="0.2">
      <c r="B4" s="370"/>
      <c r="C4" s="133"/>
      <c r="D4" s="65" t="s">
        <v>32</v>
      </c>
      <c r="E4" s="371" t="s">
        <v>33</v>
      </c>
    </row>
    <row r="5" spans="2:6" x14ac:dyDescent="0.2">
      <c r="B5" s="370">
        <v>99</v>
      </c>
      <c r="C5" s="133">
        <f>B5*12</f>
        <v>1188</v>
      </c>
      <c r="D5" s="65" t="s">
        <v>34</v>
      </c>
      <c r="E5" s="371" t="s">
        <v>35</v>
      </c>
      <c r="F5" s="23"/>
    </row>
    <row r="6" spans="2:6" ht="32" x14ac:dyDescent="0.2">
      <c r="B6" s="370">
        <v>136.1</v>
      </c>
      <c r="C6" s="133">
        <f>B6*12</f>
        <v>1633.1999999999998</v>
      </c>
      <c r="D6" s="65" t="s">
        <v>36</v>
      </c>
      <c r="E6" s="372" t="s">
        <v>268</v>
      </c>
    </row>
    <row r="7" spans="2:6" ht="16" x14ac:dyDescent="0.2">
      <c r="B7" s="370">
        <v>810.44</v>
      </c>
      <c r="C7" s="133">
        <f>B7*12</f>
        <v>9725.2800000000007</v>
      </c>
      <c r="D7" s="65" t="s">
        <v>501</v>
      </c>
      <c r="E7" s="372" t="s">
        <v>502</v>
      </c>
    </row>
    <row r="8" spans="2:6" s="2" customFormat="1" x14ac:dyDescent="0.2">
      <c r="B8" s="370">
        <v>355.35</v>
      </c>
      <c r="C8" s="133">
        <f>B8*12</f>
        <v>4264.2000000000007</v>
      </c>
      <c r="D8" s="65" t="s">
        <v>535</v>
      </c>
      <c r="E8" s="372"/>
      <c r="F8" s="63"/>
    </row>
    <row r="9" spans="2:6" s="2" customFormat="1" x14ac:dyDescent="0.2">
      <c r="B9" s="370"/>
      <c r="C9" s="133"/>
      <c r="D9" s="65" t="s">
        <v>39</v>
      </c>
      <c r="E9" s="371" t="s">
        <v>40</v>
      </c>
      <c r="F9" s="63"/>
    </row>
    <row r="10" spans="2:6" ht="32" x14ac:dyDescent="0.2">
      <c r="B10" s="370">
        <v>59.95</v>
      </c>
      <c r="C10" s="133">
        <f>B10*12</f>
        <v>719.40000000000009</v>
      </c>
      <c r="D10" s="65" t="s">
        <v>503</v>
      </c>
      <c r="E10" s="372" t="s">
        <v>269</v>
      </c>
      <c r="F10" s="23"/>
    </row>
    <row r="11" spans="2:6" x14ac:dyDescent="0.2">
      <c r="B11" s="370"/>
      <c r="C11" s="133">
        <v>1000</v>
      </c>
      <c r="D11" s="65" t="s">
        <v>59</v>
      </c>
      <c r="E11" s="371" t="s">
        <v>307</v>
      </c>
    </row>
    <row r="12" spans="2:6" x14ac:dyDescent="0.2">
      <c r="B12" s="370"/>
      <c r="C12" s="133">
        <v>392</v>
      </c>
      <c r="D12" s="65" t="s">
        <v>46</v>
      </c>
      <c r="E12" s="371" t="s">
        <v>47</v>
      </c>
    </row>
    <row r="13" spans="2:6" x14ac:dyDescent="0.2">
      <c r="B13" s="370"/>
      <c r="C13" s="133">
        <v>204</v>
      </c>
      <c r="D13" s="65" t="s">
        <v>216</v>
      </c>
      <c r="E13" s="371" t="s">
        <v>304</v>
      </c>
    </row>
    <row r="14" spans="2:6" x14ac:dyDescent="0.2">
      <c r="B14" s="11">
        <v>60.82</v>
      </c>
      <c r="C14" s="7">
        <f>B14*12</f>
        <v>729.84</v>
      </c>
      <c r="D14" s="6" t="s">
        <v>216</v>
      </c>
      <c r="E14" s="83" t="s">
        <v>1147</v>
      </c>
    </row>
    <row r="15" spans="2:6" x14ac:dyDescent="0.2">
      <c r="B15" s="370"/>
      <c r="C15" s="133"/>
      <c r="D15" s="65"/>
      <c r="E15" s="371" t="s">
        <v>217</v>
      </c>
    </row>
    <row r="16" spans="2:6" x14ac:dyDescent="0.2">
      <c r="B16" s="370">
        <v>22.38</v>
      </c>
      <c r="C16" s="133">
        <f>B16*12</f>
        <v>268.56</v>
      </c>
      <c r="D16" s="65" t="s">
        <v>306</v>
      </c>
      <c r="E16" s="371"/>
      <c r="F16" s="23"/>
    </row>
    <row r="17" spans="2:8" x14ac:dyDescent="0.2">
      <c r="B17" s="370"/>
      <c r="C17" s="133">
        <v>600</v>
      </c>
      <c r="D17" s="65" t="s">
        <v>49</v>
      </c>
      <c r="E17" s="371" t="s">
        <v>536</v>
      </c>
    </row>
    <row r="18" spans="2:8" x14ac:dyDescent="0.2">
      <c r="B18" s="370"/>
      <c r="C18" s="133">
        <v>977.63</v>
      </c>
      <c r="D18" s="65" t="s">
        <v>1098</v>
      </c>
      <c r="E18" s="371"/>
    </row>
    <row r="19" spans="2:8" x14ac:dyDescent="0.2">
      <c r="B19" s="370">
        <v>199.9</v>
      </c>
      <c r="C19" s="133">
        <f>B19*12</f>
        <v>2398.8000000000002</v>
      </c>
      <c r="D19" s="65" t="s">
        <v>1097</v>
      </c>
      <c r="E19" s="371"/>
    </row>
    <row r="20" spans="2:8" x14ac:dyDescent="0.2">
      <c r="B20" s="370"/>
      <c r="C20" s="133">
        <v>45</v>
      </c>
      <c r="D20" s="65" t="s">
        <v>53</v>
      </c>
      <c r="E20" s="371"/>
    </row>
    <row r="21" spans="2:8" x14ac:dyDescent="0.2">
      <c r="B21" s="370">
        <v>82</v>
      </c>
      <c r="C21" s="133">
        <f t="shared" ref="C21:C22" si="0">B21*12</f>
        <v>984</v>
      </c>
      <c r="D21" s="65" t="s">
        <v>189</v>
      </c>
      <c r="E21" s="371" t="s">
        <v>190</v>
      </c>
    </row>
    <row r="22" spans="2:8" x14ac:dyDescent="0.2">
      <c r="B22" s="370">
        <v>32</v>
      </c>
      <c r="C22" s="133">
        <f t="shared" si="0"/>
        <v>384</v>
      </c>
      <c r="D22" s="65" t="s">
        <v>55</v>
      </c>
      <c r="E22" s="371" t="s">
        <v>56</v>
      </c>
    </row>
    <row r="23" spans="2:8" ht="16" x14ac:dyDescent="0.2">
      <c r="B23" s="370"/>
      <c r="C23" s="133">
        <v>600</v>
      </c>
      <c r="D23" s="65"/>
      <c r="E23" s="372" t="s">
        <v>459</v>
      </c>
    </row>
    <row r="24" spans="2:8" ht="22" thickBot="1" x14ac:dyDescent="0.3">
      <c r="B24" s="373" t="s">
        <v>57</v>
      </c>
      <c r="C24" s="374">
        <f>SUM(C4:C23)</f>
        <v>26113.910000000003</v>
      </c>
      <c r="D24" s="375"/>
      <c r="E24" s="376"/>
    </row>
    <row r="25" spans="2:8" ht="16" thickBot="1" x14ac:dyDescent="0.25"/>
    <row r="26" spans="2:8" ht="24" x14ac:dyDescent="0.3">
      <c r="B26" s="1207" t="s">
        <v>500</v>
      </c>
      <c r="C26" s="1208"/>
      <c r="D26" s="1208"/>
      <c r="E26" s="1209"/>
    </row>
    <row r="27" spans="2:8" ht="21" x14ac:dyDescent="0.25">
      <c r="B27" s="1204" t="s">
        <v>4</v>
      </c>
      <c r="C27" s="1205"/>
      <c r="D27" s="1205"/>
      <c r="E27" s="1206"/>
    </row>
    <row r="28" spans="2:8" ht="24" x14ac:dyDescent="0.3">
      <c r="B28" s="11" t="s">
        <v>24</v>
      </c>
      <c r="C28" s="7" t="s">
        <v>25</v>
      </c>
      <c r="D28" s="6" t="s">
        <v>26</v>
      </c>
      <c r="E28" s="83" t="s">
        <v>12</v>
      </c>
      <c r="F28" s="90"/>
    </row>
    <row r="29" spans="2:8" ht="21" x14ac:dyDescent="0.25">
      <c r="B29" s="106">
        <v>9.99</v>
      </c>
      <c r="C29" s="107">
        <f>B29*12</f>
        <v>119.88</v>
      </c>
      <c r="D29" s="108" t="s">
        <v>28</v>
      </c>
      <c r="E29" s="110"/>
      <c r="F29" s="91"/>
    </row>
    <row r="30" spans="2:8" x14ac:dyDescent="0.2">
      <c r="B30" s="106">
        <v>19.95</v>
      </c>
      <c r="C30" s="107">
        <f>B30*12</f>
        <v>239.39999999999998</v>
      </c>
      <c r="D30" s="108" t="s">
        <v>30</v>
      </c>
      <c r="E30" s="110" t="s">
        <v>31</v>
      </c>
      <c r="F30" s="14" t="s">
        <v>27</v>
      </c>
    </row>
    <row r="31" spans="2:8" x14ac:dyDescent="0.2">
      <c r="B31" s="145"/>
      <c r="C31" s="146"/>
      <c r="D31" s="147" t="s">
        <v>32</v>
      </c>
      <c r="E31" s="148" t="s">
        <v>33</v>
      </c>
      <c r="F31" s="14" t="s">
        <v>29</v>
      </c>
      <c r="H31" s="59">
        <f t="shared" ref="H31:H37" si="1">C90*0.5</f>
        <v>59.94</v>
      </c>
    </row>
    <row r="32" spans="2:8" x14ac:dyDescent="0.2">
      <c r="B32" s="106">
        <v>69</v>
      </c>
      <c r="C32" s="107">
        <f>B32*12</f>
        <v>828</v>
      </c>
      <c r="D32" s="108" t="s">
        <v>34</v>
      </c>
      <c r="E32" s="110" t="s">
        <v>35</v>
      </c>
      <c r="F32" s="14" t="s">
        <v>29</v>
      </c>
      <c r="H32" s="59">
        <f t="shared" si="1"/>
        <v>119.69999999999999</v>
      </c>
    </row>
    <row r="33" spans="2:8" ht="32" x14ac:dyDescent="0.2">
      <c r="B33" s="106">
        <v>136.1</v>
      </c>
      <c r="C33" s="107">
        <f>B33*12</f>
        <v>1633.1999999999998</v>
      </c>
      <c r="D33" s="108" t="s">
        <v>36</v>
      </c>
      <c r="E33" s="109" t="s">
        <v>268</v>
      </c>
      <c r="F33" s="14" t="s">
        <v>29</v>
      </c>
      <c r="H33" s="59">
        <f t="shared" si="1"/>
        <v>642</v>
      </c>
    </row>
    <row r="34" spans="2:8" ht="16" x14ac:dyDescent="0.2">
      <c r="B34" s="182">
        <v>602</v>
      </c>
      <c r="C34" s="183">
        <f>B34*12</f>
        <v>7224</v>
      </c>
      <c r="D34" s="184" t="s">
        <v>501</v>
      </c>
      <c r="E34" s="186" t="s">
        <v>502</v>
      </c>
      <c r="F34" s="14" t="s">
        <v>29</v>
      </c>
      <c r="H34" s="59">
        <f t="shared" si="1"/>
        <v>414</v>
      </c>
    </row>
    <row r="35" spans="2:8" x14ac:dyDescent="0.2">
      <c r="B35" s="182">
        <v>310</v>
      </c>
      <c r="C35" s="183">
        <f>B35*12</f>
        <v>3720</v>
      </c>
      <c r="D35" s="184" t="s">
        <v>535</v>
      </c>
      <c r="E35" s="186"/>
      <c r="F35" s="14" t="s">
        <v>29</v>
      </c>
      <c r="H35" s="59">
        <f t="shared" si="1"/>
        <v>751.26</v>
      </c>
    </row>
    <row r="36" spans="2:8" x14ac:dyDescent="0.2">
      <c r="B36" s="182">
        <v>353.03</v>
      </c>
      <c r="C36" s="183"/>
      <c r="D36" s="184" t="s">
        <v>39</v>
      </c>
      <c r="E36" s="185" t="s">
        <v>40</v>
      </c>
      <c r="F36" s="14" t="s">
        <v>29</v>
      </c>
      <c r="H36" s="59">
        <f t="shared" si="1"/>
        <v>468</v>
      </c>
    </row>
    <row r="37" spans="2:8" ht="32" x14ac:dyDescent="0.2">
      <c r="B37" s="106">
        <v>59.95</v>
      </c>
      <c r="C37" s="107">
        <f>B37*12</f>
        <v>719.40000000000009</v>
      </c>
      <c r="D37" s="108" t="s">
        <v>503</v>
      </c>
      <c r="E37" s="109" t="s">
        <v>269</v>
      </c>
      <c r="F37" s="14" t="s">
        <v>41</v>
      </c>
      <c r="H37" s="59">
        <f t="shared" si="1"/>
        <v>2118.1799999999998</v>
      </c>
    </row>
    <row r="38" spans="2:8" x14ac:dyDescent="0.2">
      <c r="B38" s="106"/>
      <c r="C38" s="107">
        <v>1000</v>
      </c>
      <c r="D38" s="108" t="s">
        <v>59</v>
      </c>
      <c r="E38" s="110" t="s">
        <v>307</v>
      </c>
      <c r="F38" s="14" t="s">
        <v>29</v>
      </c>
    </row>
    <row r="39" spans="2:8" x14ac:dyDescent="0.2">
      <c r="B39" s="106"/>
      <c r="C39" s="107">
        <v>392</v>
      </c>
      <c r="D39" s="108" t="s">
        <v>46</v>
      </c>
      <c r="E39" s="110" t="s">
        <v>47</v>
      </c>
    </row>
    <row r="40" spans="2:8" x14ac:dyDescent="0.2">
      <c r="B40" s="106"/>
      <c r="C40" s="107">
        <v>200</v>
      </c>
      <c r="D40" s="108" t="s">
        <v>216</v>
      </c>
      <c r="E40" s="110" t="s">
        <v>304</v>
      </c>
      <c r="F40" s="12" t="s">
        <v>305</v>
      </c>
      <c r="G40">
        <v>162.22</v>
      </c>
      <c r="H40" s="59">
        <f>C101*0.5</f>
        <v>196</v>
      </c>
    </row>
    <row r="41" spans="2:8" x14ac:dyDescent="0.2">
      <c r="B41" s="106">
        <v>20</v>
      </c>
      <c r="C41" s="107">
        <f>B41*12</f>
        <v>240</v>
      </c>
      <c r="D41" s="108"/>
      <c r="E41" s="110" t="s">
        <v>217</v>
      </c>
      <c r="H41" s="59">
        <f>C102*0.5</f>
        <v>100</v>
      </c>
    </row>
    <row r="42" spans="2:8" x14ac:dyDescent="0.2">
      <c r="B42" s="187">
        <v>10</v>
      </c>
      <c r="C42" s="188"/>
      <c r="D42" s="189" t="s">
        <v>461</v>
      </c>
      <c r="E42" s="190"/>
      <c r="H42" s="59"/>
    </row>
    <row r="43" spans="2:8" x14ac:dyDescent="0.2">
      <c r="B43" s="106">
        <v>22.38</v>
      </c>
      <c r="C43" s="107">
        <f>B43*12</f>
        <v>268.56</v>
      </c>
      <c r="D43" s="108" t="s">
        <v>306</v>
      </c>
      <c r="E43" s="110"/>
      <c r="H43" s="59">
        <f>C103*0.5</f>
        <v>120</v>
      </c>
    </row>
    <row r="44" spans="2:8" x14ac:dyDescent="0.2">
      <c r="B44" s="106">
        <v>16.32</v>
      </c>
      <c r="C44" s="107">
        <f>B44*12</f>
        <v>195.84</v>
      </c>
      <c r="D44" s="108" t="s">
        <v>261</v>
      </c>
      <c r="E44" s="110"/>
      <c r="H44" s="59">
        <f>C104*0.5</f>
        <v>134.28</v>
      </c>
    </row>
    <row r="45" spans="2:8" x14ac:dyDescent="0.2">
      <c r="B45" s="106"/>
      <c r="C45" s="107">
        <v>600</v>
      </c>
      <c r="D45" s="108" t="s">
        <v>49</v>
      </c>
      <c r="E45" s="110" t="s">
        <v>536</v>
      </c>
      <c r="F45" s="14" t="s">
        <v>48</v>
      </c>
    </row>
    <row r="46" spans="2:8" ht="16" x14ac:dyDescent="0.2">
      <c r="B46" s="85"/>
      <c r="C46" s="79"/>
      <c r="D46" s="78"/>
      <c r="E46" s="86" t="s">
        <v>51</v>
      </c>
      <c r="F46" s="14" t="s">
        <v>48</v>
      </c>
    </row>
    <row r="47" spans="2:8" ht="19" x14ac:dyDescent="0.25">
      <c r="B47" s="95" t="s">
        <v>4</v>
      </c>
      <c r="C47" s="82">
        <f>SUM(C29:C46)</f>
        <v>17380.28</v>
      </c>
      <c r="D47" s="81"/>
      <c r="E47" s="87"/>
      <c r="F47" s="92"/>
    </row>
    <row r="48" spans="2:8" ht="19" x14ac:dyDescent="0.25">
      <c r="B48" s="95" t="s">
        <v>350</v>
      </c>
      <c r="C48" s="82">
        <f>C47/2</f>
        <v>8690.14</v>
      </c>
      <c r="D48" s="81"/>
      <c r="E48" s="87"/>
      <c r="F48" s="93" t="s">
        <v>19</v>
      </c>
      <c r="H48" s="59">
        <f>SUM(H31:H47)</f>
        <v>5123.3599999999997</v>
      </c>
    </row>
    <row r="49" spans="2:8" ht="21" x14ac:dyDescent="0.25">
      <c r="B49" s="1204" t="s">
        <v>6</v>
      </c>
      <c r="C49" s="1205"/>
      <c r="D49" s="1205"/>
      <c r="E49" s="1206"/>
      <c r="F49" s="93"/>
      <c r="H49" s="59"/>
    </row>
    <row r="50" spans="2:8" x14ac:dyDescent="0.2">
      <c r="B50" s="11"/>
      <c r="C50" s="7"/>
      <c r="D50" s="6" t="s">
        <v>53</v>
      </c>
      <c r="E50" s="83"/>
    </row>
    <row r="51" spans="2:8" x14ac:dyDescent="0.2">
      <c r="B51" s="106">
        <v>9.99</v>
      </c>
      <c r="C51" s="107">
        <v>384</v>
      </c>
      <c r="D51" s="108" t="s">
        <v>189</v>
      </c>
      <c r="E51" s="110" t="s">
        <v>190</v>
      </c>
      <c r="F51" s="14" t="s">
        <v>54</v>
      </c>
    </row>
    <row r="52" spans="2:8" x14ac:dyDescent="0.2">
      <c r="B52" s="106">
        <v>32</v>
      </c>
      <c r="C52" s="107">
        <v>384</v>
      </c>
      <c r="D52" s="108" t="s">
        <v>55</v>
      </c>
      <c r="E52" s="110" t="s">
        <v>56</v>
      </c>
    </row>
    <row r="53" spans="2:8" s="2" customFormat="1" ht="16" x14ac:dyDescent="0.2">
      <c r="B53" s="106"/>
      <c r="C53" s="107">
        <v>600</v>
      </c>
      <c r="D53" s="108"/>
      <c r="E53" s="109" t="s">
        <v>459</v>
      </c>
      <c r="F53" s="63"/>
    </row>
    <row r="54" spans="2:8" ht="15.5" customHeight="1" x14ac:dyDescent="0.25">
      <c r="B54" s="95" t="s">
        <v>6</v>
      </c>
      <c r="C54" s="82">
        <f>SUM(C50:C53)+C48</f>
        <v>10058.14</v>
      </c>
      <c r="D54" s="80"/>
      <c r="E54" s="87"/>
      <c r="F54" s="14" t="s">
        <v>52</v>
      </c>
    </row>
    <row r="55" spans="2:8" ht="22" thickBot="1" x14ac:dyDescent="0.3">
      <c r="B55" s="96" t="s">
        <v>57</v>
      </c>
      <c r="C55" s="97">
        <f>C48+C54</f>
        <v>18748.28</v>
      </c>
      <c r="D55" s="88"/>
      <c r="E55" s="89"/>
      <c r="F55" s="93"/>
    </row>
    <row r="56" spans="2:8" ht="22" thickBot="1" x14ac:dyDescent="0.3">
      <c r="F56" s="94"/>
    </row>
    <row r="57" spans="2:8" ht="24" x14ac:dyDescent="0.3">
      <c r="B57" s="1207" t="s">
        <v>460</v>
      </c>
      <c r="C57" s="1208"/>
      <c r="D57" s="1208"/>
      <c r="E57" s="1209"/>
    </row>
    <row r="58" spans="2:8" ht="21" x14ac:dyDescent="0.25">
      <c r="B58" s="1204" t="s">
        <v>4</v>
      </c>
      <c r="C58" s="1205"/>
      <c r="D58" s="1205"/>
      <c r="E58" s="1206"/>
      <c r="F58"/>
    </row>
    <row r="59" spans="2:8" x14ac:dyDescent="0.2">
      <c r="B59" s="11" t="s">
        <v>24</v>
      </c>
      <c r="C59" s="7" t="s">
        <v>25</v>
      </c>
      <c r="D59" s="6" t="s">
        <v>26</v>
      </c>
      <c r="E59" s="83" t="s">
        <v>12</v>
      </c>
      <c r="F59"/>
    </row>
    <row r="60" spans="2:8" x14ac:dyDescent="0.2">
      <c r="B60" s="106">
        <v>9.99</v>
      </c>
      <c r="C60" s="107">
        <f>B60*12</f>
        <v>119.88</v>
      </c>
      <c r="D60" s="108" t="s">
        <v>28</v>
      </c>
      <c r="E60" s="110"/>
      <c r="F60"/>
    </row>
    <row r="61" spans="2:8" x14ac:dyDescent="0.2">
      <c r="B61" s="106">
        <v>19.95</v>
      </c>
      <c r="C61" s="107">
        <f>B61*12</f>
        <v>239.39999999999998</v>
      </c>
      <c r="D61" s="108" t="s">
        <v>30</v>
      </c>
      <c r="E61" s="110" t="s">
        <v>31</v>
      </c>
      <c r="F61"/>
    </row>
    <row r="62" spans="2:8" x14ac:dyDescent="0.2">
      <c r="B62" s="106"/>
      <c r="C62" s="107">
        <v>1500</v>
      </c>
      <c r="D62" s="108" t="s">
        <v>32</v>
      </c>
      <c r="E62" s="110" t="s">
        <v>33</v>
      </c>
      <c r="F62"/>
    </row>
    <row r="63" spans="2:8" x14ac:dyDescent="0.2">
      <c r="B63" s="106">
        <v>69</v>
      </c>
      <c r="C63" s="107">
        <f>B63*12</f>
        <v>828</v>
      </c>
      <c r="D63" s="108" t="s">
        <v>34</v>
      </c>
      <c r="E63" s="110" t="s">
        <v>35</v>
      </c>
      <c r="F63"/>
    </row>
    <row r="64" spans="2:8" ht="32" x14ac:dyDescent="0.2">
      <c r="B64" s="106">
        <v>125.21</v>
      </c>
      <c r="C64" s="107">
        <f>B64*12</f>
        <v>1502.52</v>
      </c>
      <c r="D64" s="108" t="s">
        <v>36</v>
      </c>
      <c r="E64" s="109" t="s">
        <v>268</v>
      </c>
      <c r="F64"/>
    </row>
    <row r="65" spans="2:6" x14ac:dyDescent="0.2">
      <c r="B65" s="106">
        <v>78</v>
      </c>
      <c r="C65" s="107">
        <f>B65*12</f>
        <v>936</v>
      </c>
      <c r="D65" s="108" t="s">
        <v>37</v>
      </c>
      <c r="E65" s="110" t="s">
        <v>38</v>
      </c>
      <c r="F65"/>
    </row>
    <row r="66" spans="2:6" x14ac:dyDescent="0.2">
      <c r="B66" s="106">
        <v>353.03</v>
      </c>
      <c r="C66" s="107">
        <f>B66*12</f>
        <v>4236.3599999999997</v>
      </c>
      <c r="D66" s="108" t="s">
        <v>39</v>
      </c>
      <c r="E66" s="110" t="s">
        <v>40</v>
      </c>
      <c r="F66"/>
    </row>
    <row r="67" spans="2:6" ht="32" x14ac:dyDescent="0.2">
      <c r="B67" s="106">
        <v>59.95</v>
      </c>
      <c r="C67" s="107">
        <f>B67*12</f>
        <v>719.40000000000009</v>
      </c>
      <c r="D67" s="108" t="s">
        <v>42</v>
      </c>
      <c r="E67" s="109" t="s">
        <v>269</v>
      </c>
      <c r="F67"/>
    </row>
    <row r="68" spans="2:6" x14ac:dyDescent="0.2">
      <c r="B68" s="106"/>
      <c r="C68" s="107">
        <v>1000</v>
      </c>
      <c r="D68" s="108" t="s">
        <v>59</v>
      </c>
      <c r="E68" s="110" t="s">
        <v>307</v>
      </c>
      <c r="F68"/>
    </row>
    <row r="69" spans="2:6" x14ac:dyDescent="0.2">
      <c r="B69" s="106"/>
      <c r="C69" s="107">
        <v>392</v>
      </c>
      <c r="D69" s="108" t="s">
        <v>46</v>
      </c>
      <c r="E69" s="110" t="s">
        <v>47</v>
      </c>
      <c r="F69"/>
    </row>
    <row r="70" spans="2:6" x14ac:dyDescent="0.2">
      <c r="B70" s="106"/>
      <c r="C70" s="107">
        <v>200</v>
      </c>
      <c r="D70" s="108" t="s">
        <v>216</v>
      </c>
      <c r="E70" s="110" t="s">
        <v>304</v>
      </c>
      <c r="F70"/>
    </row>
    <row r="71" spans="2:6" x14ac:dyDescent="0.2">
      <c r="B71" s="106">
        <v>20</v>
      </c>
      <c r="C71" s="107">
        <f>B71*12</f>
        <v>240</v>
      </c>
      <c r="D71" s="108"/>
      <c r="E71" s="110" t="s">
        <v>217</v>
      </c>
      <c r="F71"/>
    </row>
    <row r="72" spans="2:6" x14ac:dyDescent="0.2">
      <c r="B72" s="106">
        <v>10</v>
      </c>
      <c r="C72" s="107">
        <f>B72*12</f>
        <v>120</v>
      </c>
      <c r="D72" s="108" t="s">
        <v>461</v>
      </c>
      <c r="E72" s="110"/>
      <c r="F72"/>
    </row>
    <row r="73" spans="2:6" x14ac:dyDescent="0.2">
      <c r="B73" s="106">
        <v>22.38</v>
      </c>
      <c r="C73" s="107">
        <f>B73*12</f>
        <v>268.56</v>
      </c>
      <c r="D73" s="108" t="s">
        <v>306</v>
      </c>
      <c r="E73" s="110"/>
      <c r="F73"/>
    </row>
    <row r="74" spans="2:6" x14ac:dyDescent="0.2">
      <c r="B74" s="106">
        <v>16.32</v>
      </c>
      <c r="C74" s="107">
        <f>B74*12</f>
        <v>195.84</v>
      </c>
      <c r="D74" s="108" t="s">
        <v>261</v>
      </c>
      <c r="E74" s="110"/>
      <c r="F74"/>
    </row>
    <row r="75" spans="2:6" x14ac:dyDescent="0.2">
      <c r="B75" s="106"/>
      <c r="C75" s="107">
        <v>600</v>
      </c>
      <c r="D75" s="108" t="s">
        <v>49</v>
      </c>
      <c r="E75" s="110" t="s">
        <v>50</v>
      </c>
      <c r="F75"/>
    </row>
    <row r="76" spans="2:6" ht="16" x14ac:dyDescent="0.2">
      <c r="B76" s="85"/>
      <c r="C76" s="79">
        <v>0</v>
      </c>
      <c r="D76" s="78"/>
      <c r="E76" s="86" t="s">
        <v>51</v>
      </c>
      <c r="F76"/>
    </row>
    <row r="77" spans="2:6" ht="19" x14ac:dyDescent="0.25">
      <c r="B77" s="95" t="s">
        <v>4</v>
      </c>
      <c r="C77" s="82">
        <f>SUM(C60:C76)</f>
        <v>13097.96</v>
      </c>
      <c r="D77" s="81"/>
      <c r="E77" s="87"/>
      <c r="F77"/>
    </row>
    <row r="78" spans="2:6" ht="19" x14ac:dyDescent="0.25">
      <c r="B78" s="95" t="s">
        <v>350</v>
      </c>
      <c r="C78" s="82">
        <f>C77/2</f>
        <v>6548.98</v>
      </c>
      <c r="D78" s="81"/>
      <c r="E78" s="87"/>
      <c r="F78"/>
    </row>
    <row r="79" spans="2:6" ht="21" x14ac:dyDescent="0.25">
      <c r="B79" s="1204" t="s">
        <v>6</v>
      </c>
      <c r="C79" s="1205"/>
      <c r="D79" s="1205"/>
      <c r="E79" s="1206"/>
      <c r="F79"/>
    </row>
    <row r="80" spans="2:6" x14ac:dyDescent="0.2">
      <c r="B80" s="11"/>
      <c r="C80" s="7"/>
      <c r="D80" s="6" t="s">
        <v>53</v>
      </c>
      <c r="E80" s="83"/>
      <c r="F80"/>
    </row>
    <row r="81" spans="2:6" x14ac:dyDescent="0.2">
      <c r="B81" s="106">
        <v>9.99</v>
      </c>
      <c r="C81" s="107">
        <v>384</v>
      </c>
      <c r="D81" s="108" t="s">
        <v>189</v>
      </c>
      <c r="E81" s="110" t="s">
        <v>190</v>
      </c>
      <c r="F81"/>
    </row>
    <row r="82" spans="2:6" x14ac:dyDescent="0.2">
      <c r="B82" s="106">
        <v>32</v>
      </c>
      <c r="C82" s="107">
        <v>384</v>
      </c>
      <c r="D82" s="108" t="s">
        <v>55</v>
      </c>
      <c r="E82" s="110" t="s">
        <v>56</v>
      </c>
      <c r="F82"/>
    </row>
    <row r="83" spans="2:6" ht="16" x14ac:dyDescent="0.2">
      <c r="B83" s="106"/>
      <c r="C83" s="107">
        <v>600</v>
      </c>
      <c r="D83" s="108"/>
      <c r="E83" s="109" t="s">
        <v>459</v>
      </c>
      <c r="F83"/>
    </row>
    <row r="84" spans="2:6" ht="19" x14ac:dyDescent="0.25">
      <c r="B84" s="95" t="s">
        <v>6</v>
      </c>
      <c r="C84" s="82">
        <f>SUM(C80:C83)+C78</f>
        <v>7916.98</v>
      </c>
      <c r="D84" s="80"/>
      <c r="E84" s="87"/>
      <c r="F84"/>
    </row>
    <row r="85" spans="2:6" ht="22" thickBot="1" x14ac:dyDescent="0.3">
      <c r="B85" s="96" t="s">
        <v>57</v>
      </c>
      <c r="C85" s="97">
        <f>C78+C84</f>
        <v>14465.96</v>
      </c>
      <c r="D85" s="88"/>
      <c r="E85" s="89"/>
      <c r="F85"/>
    </row>
    <row r="86" spans="2:6" ht="16" thickBot="1" x14ac:dyDescent="0.25">
      <c r="F86"/>
    </row>
    <row r="87" spans="2:6" ht="24" x14ac:dyDescent="0.3">
      <c r="B87" s="1207" t="s">
        <v>458</v>
      </c>
      <c r="C87" s="1208"/>
      <c r="D87" s="1208"/>
      <c r="E87" s="1209"/>
      <c r="F87"/>
    </row>
    <row r="88" spans="2:6" ht="21" x14ac:dyDescent="0.25">
      <c r="B88" s="1204" t="s">
        <v>4</v>
      </c>
      <c r="C88" s="1205"/>
      <c r="D88" s="1205"/>
      <c r="E88" s="1206"/>
    </row>
    <row r="89" spans="2:6" x14ac:dyDescent="0.2">
      <c r="B89" s="11" t="s">
        <v>24</v>
      </c>
      <c r="C89" s="7" t="s">
        <v>25</v>
      </c>
      <c r="D89" s="6" t="s">
        <v>26</v>
      </c>
      <c r="E89" s="83" t="s">
        <v>12</v>
      </c>
    </row>
    <row r="90" spans="2:6" x14ac:dyDescent="0.2">
      <c r="B90" s="106">
        <v>9.99</v>
      </c>
      <c r="C90" s="107">
        <f>B90*12</f>
        <v>119.88</v>
      </c>
      <c r="D90" s="108" t="s">
        <v>28</v>
      </c>
      <c r="E90" s="110"/>
    </row>
    <row r="91" spans="2:6" x14ac:dyDescent="0.2">
      <c r="B91" s="106">
        <v>19.95</v>
      </c>
      <c r="C91" s="107">
        <f>B91*12</f>
        <v>239.39999999999998</v>
      </c>
      <c r="D91" s="108" t="s">
        <v>30</v>
      </c>
      <c r="E91" s="110" t="s">
        <v>31</v>
      </c>
    </row>
    <row r="92" spans="2:6" x14ac:dyDescent="0.2">
      <c r="B92" s="106"/>
      <c r="C92" s="107">
        <v>1284</v>
      </c>
      <c r="D92" s="108" t="s">
        <v>32</v>
      </c>
      <c r="E92" s="110" t="s">
        <v>33</v>
      </c>
    </row>
    <row r="93" spans="2:6" x14ac:dyDescent="0.2">
      <c r="B93" s="106">
        <v>69</v>
      </c>
      <c r="C93" s="107">
        <f>B93*12</f>
        <v>828</v>
      </c>
      <c r="D93" s="108" t="s">
        <v>34</v>
      </c>
      <c r="E93" s="110" t="s">
        <v>35</v>
      </c>
    </row>
    <row r="94" spans="2:6" ht="32" x14ac:dyDescent="0.2">
      <c r="B94" s="106">
        <v>125.21</v>
      </c>
      <c r="C94" s="107">
        <f>B94*12</f>
        <v>1502.52</v>
      </c>
      <c r="D94" s="108" t="s">
        <v>36</v>
      </c>
      <c r="E94" s="109" t="s">
        <v>268</v>
      </c>
    </row>
    <row r="95" spans="2:6" x14ac:dyDescent="0.2">
      <c r="B95" s="106">
        <v>78</v>
      </c>
      <c r="C95" s="107">
        <f>B95*12</f>
        <v>936</v>
      </c>
      <c r="D95" s="108" t="s">
        <v>37</v>
      </c>
      <c r="E95" s="110" t="s">
        <v>38</v>
      </c>
    </row>
    <row r="96" spans="2:6" x14ac:dyDescent="0.2">
      <c r="B96" s="106">
        <v>353.03</v>
      </c>
      <c r="C96" s="107">
        <f>B96*12</f>
        <v>4236.3599999999997</v>
      </c>
      <c r="D96" s="108" t="s">
        <v>39</v>
      </c>
      <c r="E96" s="110" t="s">
        <v>40</v>
      </c>
    </row>
    <row r="97" spans="2:5" ht="32" x14ac:dyDescent="0.2">
      <c r="B97" s="106">
        <v>59.95</v>
      </c>
      <c r="C97" s="107">
        <f>B97*12</f>
        <v>719.40000000000009</v>
      </c>
      <c r="D97" s="108" t="s">
        <v>42</v>
      </c>
      <c r="E97" s="109" t="s">
        <v>269</v>
      </c>
    </row>
    <row r="98" spans="2:5" x14ac:dyDescent="0.2">
      <c r="B98" s="11"/>
      <c r="C98" s="7">
        <v>609</v>
      </c>
      <c r="D98" s="6" t="s">
        <v>39</v>
      </c>
      <c r="E98" s="83" t="s">
        <v>43</v>
      </c>
    </row>
    <row r="99" spans="2:5" x14ac:dyDescent="0.2">
      <c r="B99" s="106"/>
      <c r="C99" s="107">
        <v>1000</v>
      </c>
      <c r="D99" s="108" t="s">
        <v>59</v>
      </c>
      <c r="E99" s="110" t="s">
        <v>307</v>
      </c>
    </row>
    <row r="100" spans="2:5" x14ac:dyDescent="0.2">
      <c r="B100" s="106"/>
      <c r="C100" s="107">
        <v>1200</v>
      </c>
      <c r="D100" s="108" t="s">
        <v>44</v>
      </c>
      <c r="E100" s="110"/>
    </row>
    <row r="101" spans="2:5" x14ac:dyDescent="0.2">
      <c r="B101" s="106"/>
      <c r="C101" s="107">
        <v>392</v>
      </c>
      <c r="D101" s="108" t="s">
        <v>46</v>
      </c>
      <c r="E101" s="110" t="s">
        <v>47</v>
      </c>
    </row>
    <row r="102" spans="2:5" x14ac:dyDescent="0.2">
      <c r="B102" s="106"/>
      <c r="C102" s="107">
        <v>200</v>
      </c>
      <c r="D102" s="108" t="s">
        <v>216</v>
      </c>
      <c r="E102" s="110" t="s">
        <v>304</v>
      </c>
    </row>
    <row r="103" spans="2:5" x14ac:dyDescent="0.2">
      <c r="B103" s="106">
        <v>20</v>
      </c>
      <c r="C103" s="107">
        <f>B103*12</f>
        <v>240</v>
      </c>
      <c r="D103" s="108"/>
      <c r="E103" s="110" t="s">
        <v>217</v>
      </c>
    </row>
    <row r="104" spans="2:5" x14ac:dyDescent="0.2">
      <c r="B104" s="106">
        <v>22.38</v>
      </c>
      <c r="C104" s="107">
        <f>B104*12</f>
        <v>268.56</v>
      </c>
      <c r="D104" s="108" t="s">
        <v>306</v>
      </c>
      <c r="E104" s="110"/>
    </row>
    <row r="105" spans="2:5" x14ac:dyDescent="0.2">
      <c r="B105" s="106">
        <v>16.32</v>
      </c>
      <c r="C105" s="107">
        <f>B105*12</f>
        <v>195.84</v>
      </c>
      <c r="D105" s="108" t="s">
        <v>261</v>
      </c>
      <c r="E105" s="110"/>
    </row>
    <row r="106" spans="2:5" x14ac:dyDescent="0.2">
      <c r="B106" s="106"/>
      <c r="C106" s="107">
        <v>600</v>
      </c>
      <c r="D106" s="108" t="s">
        <v>49</v>
      </c>
      <c r="E106" s="110" t="s">
        <v>50</v>
      </c>
    </row>
    <row r="107" spans="2:5" ht="16" x14ac:dyDescent="0.2">
      <c r="B107" s="85"/>
      <c r="C107" s="79">
        <v>0</v>
      </c>
      <c r="D107" s="78"/>
      <c r="E107" s="86" t="s">
        <v>51</v>
      </c>
    </row>
    <row r="108" spans="2:5" ht="19" x14ac:dyDescent="0.25">
      <c r="B108" s="95" t="s">
        <v>4</v>
      </c>
      <c r="C108" s="82">
        <f>SUM(C90:C107)</f>
        <v>14570.96</v>
      </c>
      <c r="D108" s="81"/>
      <c r="E108" s="87"/>
    </row>
    <row r="109" spans="2:5" ht="19" x14ac:dyDescent="0.25">
      <c r="B109" s="95" t="s">
        <v>350</v>
      </c>
      <c r="C109" s="82">
        <f>C108/2</f>
        <v>7285.48</v>
      </c>
      <c r="D109" s="81"/>
      <c r="E109" s="87"/>
    </row>
    <row r="110" spans="2:5" ht="21" x14ac:dyDescent="0.25">
      <c r="B110" s="1204" t="s">
        <v>6</v>
      </c>
      <c r="C110" s="1205"/>
      <c r="D110" s="1205"/>
      <c r="E110" s="1206"/>
    </row>
    <row r="111" spans="2:5" x14ac:dyDescent="0.2">
      <c r="B111" s="11"/>
      <c r="C111" s="7"/>
      <c r="D111" s="6" t="s">
        <v>53</v>
      </c>
      <c r="E111" s="83"/>
    </row>
    <row r="112" spans="2:5" x14ac:dyDescent="0.2">
      <c r="B112" s="106">
        <v>9.99</v>
      </c>
      <c r="C112" s="107">
        <v>384</v>
      </c>
      <c r="D112" s="108" t="s">
        <v>189</v>
      </c>
      <c r="E112" s="110" t="s">
        <v>190</v>
      </c>
    </row>
    <row r="113" spans="2:5" x14ac:dyDescent="0.2">
      <c r="B113" s="106">
        <v>32</v>
      </c>
      <c r="C113" s="107">
        <v>384</v>
      </c>
      <c r="D113" s="108" t="s">
        <v>55</v>
      </c>
      <c r="E113" s="110" t="s">
        <v>56</v>
      </c>
    </row>
    <row r="114" spans="2:5" x14ac:dyDescent="0.2">
      <c r="B114" s="145"/>
      <c r="C114" s="146">
        <v>1300</v>
      </c>
      <c r="D114" s="147" t="s">
        <v>44</v>
      </c>
      <c r="E114" s="148" t="s">
        <v>45</v>
      </c>
    </row>
    <row r="115" spans="2:5" ht="16" x14ac:dyDescent="0.2">
      <c r="B115" s="11"/>
      <c r="C115" s="7">
        <v>600</v>
      </c>
      <c r="D115" s="6"/>
      <c r="E115" s="84" t="s">
        <v>459</v>
      </c>
    </row>
    <row r="116" spans="2:5" ht="19" x14ac:dyDescent="0.25">
      <c r="B116" s="95" t="s">
        <v>6</v>
      </c>
      <c r="C116" s="82">
        <f>SUM(C111:C115)+C109</f>
        <v>9953.48</v>
      </c>
      <c r="D116" s="80"/>
      <c r="E116" s="87"/>
    </row>
    <row r="117" spans="2:5" ht="22" thickBot="1" x14ac:dyDescent="0.3">
      <c r="B117" s="96" t="s">
        <v>57</v>
      </c>
      <c r="C117" s="97">
        <f>C109+C116</f>
        <v>17238.96</v>
      </c>
      <c r="D117" s="88"/>
      <c r="E117" s="89"/>
    </row>
  </sheetData>
  <mergeCells count="11">
    <mergeCell ref="B1:E1"/>
    <mergeCell ref="B2:E2"/>
    <mergeCell ref="B110:E110"/>
    <mergeCell ref="B57:E57"/>
    <mergeCell ref="B58:E58"/>
    <mergeCell ref="B79:E79"/>
    <mergeCell ref="B26:E26"/>
    <mergeCell ref="B27:E27"/>
    <mergeCell ref="B49:E49"/>
    <mergeCell ref="B87:E87"/>
    <mergeCell ref="B88:E88"/>
  </mergeCells>
  <pageMargins left="0.7" right="0.7" top="0.75" bottom="0.75" header="0.3" footer="0.3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B169E-B20F-4591-BEFD-97CDF9702875}">
  <sheetPr>
    <tabColor theme="9" tint="0.39997558519241921"/>
  </sheetPr>
  <dimension ref="A2:B9"/>
  <sheetViews>
    <sheetView zoomScale="130" zoomScaleNormal="130" workbookViewId="0">
      <selection activeCell="C23" sqref="C23"/>
    </sheetView>
  </sheetViews>
  <sheetFormatPr baseColWidth="10" defaultColWidth="8.83203125" defaultRowHeight="15" x14ac:dyDescent="0.2"/>
  <cols>
    <col min="1" max="1" width="36.6640625" customWidth="1"/>
  </cols>
  <sheetData>
    <row r="2" spans="1:2" x14ac:dyDescent="0.2">
      <c r="A2" t="s">
        <v>1323</v>
      </c>
      <c r="B2">
        <v>60000</v>
      </c>
    </row>
    <row r="4" spans="1:2" x14ac:dyDescent="0.2">
      <c r="A4" t="s">
        <v>1326</v>
      </c>
    </row>
    <row r="5" spans="1:2" x14ac:dyDescent="0.2">
      <c r="A5" t="s">
        <v>1327</v>
      </c>
    </row>
    <row r="7" spans="1:2" x14ac:dyDescent="0.2">
      <c r="A7" t="s">
        <v>1324</v>
      </c>
      <c r="B7">
        <v>15000</v>
      </c>
    </row>
    <row r="9" spans="1:2" x14ac:dyDescent="0.2">
      <c r="A9" t="s">
        <v>1325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</sheetPr>
  <dimension ref="A1:R103"/>
  <sheetViews>
    <sheetView workbookViewId="0">
      <selection activeCell="C23" sqref="C23"/>
    </sheetView>
  </sheetViews>
  <sheetFormatPr baseColWidth="10" defaultColWidth="8.83203125" defaultRowHeight="15" x14ac:dyDescent="0.2"/>
  <cols>
    <col min="1" max="1" width="12" style="308" customWidth="1"/>
    <col min="2" max="2" width="10.1640625" style="26" bestFit="1" customWidth="1"/>
    <col min="3" max="3" width="16.1640625" style="26" customWidth="1"/>
    <col min="4" max="6" width="13.83203125" style="26" customWidth="1"/>
    <col min="7" max="7" width="18.6640625" style="35" customWidth="1"/>
    <col min="8" max="11" width="15.5" style="35" customWidth="1"/>
    <col min="12" max="12" width="19.5" style="35" customWidth="1"/>
    <col min="13" max="13" width="44.1640625" customWidth="1"/>
    <col min="14" max="14" width="10.1640625" style="26" bestFit="1" customWidth="1"/>
    <col min="15" max="17" width="9.1640625" style="27" customWidth="1"/>
    <col min="265" max="266" width="10.1640625" bestFit="1" customWidth="1"/>
    <col min="267" max="267" width="22" customWidth="1"/>
    <col min="268" max="268" width="19.5" customWidth="1"/>
    <col min="269" max="269" width="44.1640625" customWidth="1"/>
    <col min="270" max="270" width="10.1640625" bestFit="1" customWidth="1"/>
    <col min="271" max="273" width="9.1640625" customWidth="1"/>
    <col min="521" max="522" width="10.1640625" bestFit="1" customWidth="1"/>
    <col min="523" max="523" width="22" customWidth="1"/>
    <col min="524" max="524" width="19.5" customWidth="1"/>
    <col min="525" max="525" width="44.1640625" customWidth="1"/>
    <col min="526" max="526" width="10.1640625" bestFit="1" customWidth="1"/>
    <col min="527" max="529" width="9.1640625" customWidth="1"/>
    <col min="777" max="778" width="10.1640625" bestFit="1" customWidth="1"/>
    <col min="779" max="779" width="22" customWidth="1"/>
    <col min="780" max="780" width="19.5" customWidth="1"/>
    <col min="781" max="781" width="44.1640625" customWidth="1"/>
    <col min="782" max="782" width="10.1640625" bestFit="1" customWidth="1"/>
    <col min="783" max="785" width="9.1640625" customWidth="1"/>
    <col min="1033" max="1034" width="10.1640625" bestFit="1" customWidth="1"/>
    <col min="1035" max="1035" width="22" customWidth="1"/>
    <col min="1036" max="1036" width="19.5" customWidth="1"/>
    <col min="1037" max="1037" width="44.1640625" customWidth="1"/>
    <col min="1038" max="1038" width="10.1640625" bestFit="1" customWidth="1"/>
    <col min="1039" max="1041" width="9.1640625" customWidth="1"/>
    <col min="1289" max="1290" width="10.1640625" bestFit="1" customWidth="1"/>
    <col min="1291" max="1291" width="22" customWidth="1"/>
    <col min="1292" max="1292" width="19.5" customWidth="1"/>
    <col min="1293" max="1293" width="44.1640625" customWidth="1"/>
    <col min="1294" max="1294" width="10.1640625" bestFit="1" customWidth="1"/>
    <col min="1295" max="1297" width="9.1640625" customWidth="1"/>
    <col min="1545" max="1546" width="10.1640625" bestFit="1" customWidth="1"/>
    <col min="1547" max="1547" width="22" customWidth="1"/>
    <col min="1548" max="1548" width="19.5" customWidth="1"/>
    <col min="1549" max="1549" width="44.1640625" customWidth="1"/>
    <col min="1550" max="1550" width="10.1640625" bestFit="1" customWidth="1"/>
    <col min="1551" max="1553" width="9.1640625" customWidth="1"/>
    <col min="1801" max="1802" width="10.1640625" bestFit="1" customWidth="1"/>
    <col min="1803" max="1803" width="22" customWidth="1"/>
    <col min="1804" max="1804" width="19.5" customWidth="1"/>
    <col min="1805" max="1805" width="44.1640625" customWidth="1"/>
    <col min="1806" max="1806" width="10.1640625" bestFit="1" customWidth="1"/>
    <col min="1807" max="1809" width="9.1640625" customWidth="1"/>
    <col min="2057" max="2058" width="10.1640625" bestFit="1" customWidth="1"/>
    <col min="2059" max="2059" width="22" customWidth="1"/>
    <col min="2060" max="2060" width="19.5" customWidth="1"/>
    <col min="2061" max="2061" width="44.1640625" customWidth="1"/>
    <col min="2062" max="2062" width="10.1640625" bestFit="1" customWidth="1"/>
    <col min="2063" max="2065" width="9.1640625" customWidth="1"/>
    <col min="2313" max="2314" width="10.1640625" bestFit="1" customWidth="1"/>
    <col min="2315" max="2315" width="22" customWidth="1"/>
    <col min="2316" max="2316" width="19.5" customWidth="1"/>
    <col min="2317" max="2317" width="44.1640625" customWidth="1"/>
    <col min="2318" max="2318" width="10.1640625" bestFit="1" customWidth="1"/>
    <col min="2319" max="2321" width="9.1640625" customWidth="1"/>
    <col min="2569" max="2570" width="10.1640625" bestFit="1" customWidth="1"/>
    <col min="2571" max="2571" width="22" customWidth="1"/>
    <col min="2572" max="2572" width="19.5" customWidth="1"/>
    <col min="2573" max="2573" width="44.1640625" customWidth="1"/>
    <col min="2574" max="2574" width="10.1640625" bestFit="1" customWidth="1"/>
    <col min="2575" max="2577" width="9.1640625" customWidth="1"/>
    <col min="2825" max="2826" width="10.1640625" bestFit="1" customWidth="1"/>
    <col min="2827" max="2827" width="22" customWidth="1"/>
    <col min="2828" max="2828" width="19.5" customWidth="1"/>
    <col min="2829" max="2829" width="44.1640625" customWidth="1"/>
    <col min="2830" max="2830" width="10.1640625" bestFit="1" customWidth="1"/>
    <col min="2831" max="2833" width="9.1640625" customWidth="1"/>
    <col min="3081" max="3082" width="10.1640625" bestFit="1" customWidth="1"/>
    <col min="3083" max="3083" width="22" customWidth="1"/>
    <col min="3084" max="3084" width="19.5" customWidth="1"/>
    <col min="3085" max="3085" width="44.1640625" customWidth="1"/>
    <col min="3086" max="3086" width="10.1640625" bestFit="1" customWidth="1"/>
    <col min="3087" max="3089" width="9.1640625" customWidth="1"/>
    <col min="3337" max="3338" width="10.1640625" bestFit="1" customWidth="1"/>
    <col min="3339" max="3339" width="22" customWidth="1"/>
    <col min="3340" max="3340" width="19.5" customWidth="1"/>
    <col min="3341" max="3341" width="44.1640625" customWidth="1"/>
    <col min="3342" max="3342" width="10.1640625" bestFit="1" customWidth="1"/>
    <col min="3343" max="3345" width="9.1640625" customWidth="1"/>
    <col min="3593" max="3594" width="10.1640625" bestFit="1" customWidth="1"/>
    <col min="3595" max="3595" width="22" customWidth="1"/>
    <col min="3596" max="3596" width="19.5" customWidth="1"/>
    <col min="3597" max="3597" width="44.1640625" customWidth="1"/>
    <col min="3598" max="3598" width="10.1640625" bestFit="1" customWidth="1"/>
    <col min="3599" max="3601" width="9.1640625" customWidth="1"/>
    <col min="3849" max="3850" width="10.1640625" bestFit="1" customWidth="1"/>
    <col min="3851" max="3851" width="22" customWidth="1"/>
    <col min="3852" max="3852" width="19.5" customWidth="1"/>
    <col min="3853" max="3853" width="44.1640625" customWidth="1"/>
    <col min="3854" max="3854" width="10.1640625" bestFit="1" customWidth="1"/>
    <col min="3855" max="3857" width="9.1640625" customWidth="1"/>
    <col min="4105" max="4106" width="10.1640625" bestFit="1" customWidth="1"/>
    <col min="4107" max="4107" width="22" customWidth="1"/>
    <col min="4108" max="4108" width="19.5" customWidth="1"/>
    <col min="4109" max="4109" width="44.1640625" customWidth="1"/>
    <col min="4110" max="4110" width="10.1640625" bestFit="1" customWidth="1"/>
    <col min="4111" max="4113" width="9.1640625" customWidth="1"/>
    <col min="4361" max="4362" width="10.1640625" bestFit="1" customWidth="1"/>
    <col min="4363" max="4363" width="22" customWidth="1"/>
    <col min="4364" max="4364" width="19.5" customWidth="1"/>
    <col min="4365" max="4365" width="44.1640625" customWidth="1"/>
    <col min="4366" max="4366" width="10.1640625" bestFit="1" customWidth="1"/>
    <col min="4367" max="4369" width="9.1640625" customWidth="1"/>
    <col min="4617" max="4618" width="10.1640625" bestFit="1" customWidth="1"/>
    <col min="4619" max="4619" width="22" customWidth="1"/>
    <col min="4620" max="4620" width="19.5" customWidth="1"/>
    <col min="4621" max="4621" width="44.1640625" customWidth="1"/>
    <col min="4622" max="4622" width="10.1640625" bestFit="1" customWidth="1"/>
    <col min="4623" max="4625" width="9.1640625" customWidth="1"/>
    <col min="4873" max="4874" width="10.1640625" bestFit="1" customWidth="1"/>
    <col min="4875" max="4875" width="22" customWidth="1"/>
    <col min="4876" max="4876" width="19.5" customWidth="1"/>
    <col min="4877" max="4877" width="44.1640625" customWidth="1"/>
    <col min="4878" max="4878" width="10.1640625" bestFit="1" customWidth="1"/>
    <col min="4879" max="4881" width="9.1640625" customWidth="1"/>
    <col min="5129" max="5130" width="10.1640625" bestFit="1" customWidth="1"/>
    <col min="5131" max="5131" width="22" customWidth="1"/>
    <col min="5132" max="5132" width="19.5" customWidth="1"/>
    <col min="5133" max="5133" width="44.1640625" customWidth="1"/>
    <col min="5134" max="5134" width="10.1640625" bestFit="1" customWidth="1"/>
    <col min="5135" max="5137" width="9.1640625" customWidth="1"/>
    <col min="5385" max="5386" width="10.1640625" bestFit="1" customWidth="1"/>
    <col min="5387" max="5387" width="22" customWidth="1"/>
    <col min="5388" max="5388" width="19.5" customWidth="1"/>
    <col min="5389" max="5389" width="44.1640625" customWidth="1"/>
    <col min="5390" max="5390" width="10.1640625" bestFit="1" customWidth="1"/>
    <col min="5391" max="5393" width="9.1640625" customWidth="1"/>
    <col min="5641" max="5642" width="10.1640625" bestFit="1" customWidth="1"/>
    <col min="5643" max="5643" width="22" customWidth="1"/>
    <col min="5644" max="5644" width="19.5" customWidth="1"/>
    <col min="5645" max="5645" width="44.1640625" customWidth="1"/>
    <col min="5646" max="5646" width="10.1640625" bestFit="1" customWidth="1"/>
    <col min="5647" max="5649" width="9.1640625" customWidth="1"/>
    <col min="5897" max="5898" width="10.1640625" bestFit="1" customWidth="1"/>
    <col min="5899" max="5899" width="22" customWidth="1"/>
    <col min="5900" max="5900" width="19.5" customWidth="1"/>
    <col min="5901" max="5901" width="44.1640625" customWidth="1"/>
    <col min="5902" max="5902" width="10.1640625" bestFit="1" customWidth="1"/>
    <col min="5903" max="5905" width="9.1640625" customWidth="1"/>
    <col min="6153" max="6154" width="10.1640625" bestFit="1" customWidth="1"/>
    <col min="6155" max="6155" width="22" customWidth="1"/>
    <col min="6156" max="6156" width="19.5" customWidth="1"/>
    <col min="6157" max="6157" width="44.1640625" customWidth="1"/>
    <col min="6158" max="6158" width="10.1640625" bestFit="1" customWidth="1"/>
    <col min="6159" max="6161" width="9.1640625" customWidth="1"/>
    <col min="6409" max="6410" width="10.1640625" bestFit="1" customWidth="1"/>
    <col min="6411" max="6411" width="22" customWidth="1"/>
    <col min="6412" max="6412" width="19.5" customWidth="1"/>
    <col min="6413" max="6413" width="44.1640625" customWidth="1"/>
    <col min="6414" max="6414" width="10.1640625" bestFit="1" customWidth="1"/>
    <col min="6415" max="6417" width="9.1640625" customWidth="1"/>
    <col min="6665" max="6666" width="10.1640625" bestFit="1" customWidth="1"/>
    <col min="6667" max="6667" width="22" customWidth="1"/>
    <col min="6668" max="6668" width="19.5" customWidth="1"/>
    <col min="6669" max="6669" width="44.1640625" customWidth="1"/>
    <col min="6670" max="6670" width="10.1640625" bestFit="1" customWidth="1"/>
    <col min="6671" max="6673" width="9.1640625" customWidth="1"/>
    <col min="6921" max="6922" width="10.1640625" bestFit="1" customWidth="1"/>
    <col min="6923" max="6923" width="22" customWidth="1"/>
    <col min="6924" max="6924" width="19.5" customWidth="1"/>
    <col min="6925" max="6925" width="44.1640625" customWidth="1"/>
    <col min="6926" max="6926" width="10.1640625" bestFit="1" customWidth="1"/>
    <col min="6927" max="6929" width="9.1640625" customWidth="1"/>
    <col min="7177" max="7178" width="10.1640625" bestFit="1" customWidth="1"/>
    <col min="7179" max="7179" width="22" customWidth="1"/>
    <col min="7180" max="7180" width="19.5" customWidth="1"/>
    <col min="7181" max="7181" width="44.1640625" customWidth="1"/>
    <col min="7182" max="7182" width="10.1640625" bestFit="1" customWidth="1"/>
    <col min="7183" max="7185" width="9.1640625" customWidth="1"/>
    <col min="7433" max="7434" width="10.1640625" bestFit="1" customWidth="1"/>
    <col min="7435" max="7435" width="22" customWidth="1"/>
    <col min="7436" max="7436" width="19.5" customWidth="1"/>
    <col min="7437" max="7437" width="44.1640625" customWidth="1"/>
    <col min="7438" max="7438" width="10.1640625" bestFit="1" customWidth="1"/>
    <col min="7439" max="7441" width="9.1640625" customWidth="1"/>
    <col min="7689" max="7690" width="10.1640625" bestFit="1" customWidth="1"/>
    <col min="7691" max="7691" width="22" customWidth="1"/>
    <col min="7692" max="7692" width="19.5" customWidth="1"/>
    <col min="7693" max="7693" width="44.1640625" customWidth="1"/>
    <col min="7694" max="7694" width="10.1640625" bestFit="1" customWidth="1"/>
    <col min="7695" max="7697" width="9.1640625" customWidth="1"/>
    <col min="7945" max="7946" width="10.1640625" bestFit="1" customWidth="1"/>
    <col min="7947" max="7947" width="22" customWidth="1"/>
    <col min="7948" max="7948" width="19.5" customWidth="1"/>
    <col min="7949" max="7949" width="44.1640625" customWidth="1"/>
    <col min="7950" max="7950" width="10.1640625" bestFit="1" customWidth="1"/>
    <col min="7951" max="7953" width="9.1640625" customWidth="1"/>
    <col min="8201" max="8202" width="10.1640625" bestFit="1" customWidth="1"/>
    <col min="8203" max="8203" width="22" customWidth="1"/>
    <col min="8204" max="8204" width="19.5" customWidth="1"/>
    <col min="8205" max="8205" width="44.1640625" customWidth="1"/>
    <col min="8206" max="8206" width="10.1640625" bestFit="1" customWidth="1"/>
    <col min="8207" max="8209" width="9.1640625" customWidth="1"/>
    <col min="8457" max="8458" width="10.1640625" bestFit="1" customWidth="1"/>
    <col min="8459" max="8459" width="22" customWidth="1"/>
    <col min="8460" max="8460" width="19.5" customWidth="1"/>
    <col min="8461" max="8461" width="44.1640625" customWidth="1"/>
    <col min="8462" max="8462" width="10.1640625" bestFit="1" customWidth="1"/>
    <col min="8463" max="8465" width="9.1640625" customWidth="1"/>
    <col min="8713" max="8714" width="10.1640625" bestFit="1" customWidth="1"/>
    <col min="8715" max="8715" width="22" customWidth="1"/>
    <col min="8716" max="8716" width="19.5" customWidth="1"/>
    <col min="8717" max="8717" width="44.1640625" customWidth="1"/>
    <col min="8718" max="8718" width="10.1640625" bestFit="1" customWidth="1"/>
    <col min="8719" max="8721" width="9.1640625" customWidth="1"/>
    <col min="8969" max="8970" width="10.1640625" bestFit="1" customWidth="1"/>
    <col min="8971" max="8971" width="22" customWidth="1"/>
    <col min="8972" max="8972" width="19.5" customWidth="1"/>
    <col min="8973" max="8973" width="44.1640625" customWidth="1"/>
    <col min="8974" max="8974" width="10.1640625" bestFit="1" customWidth="1"/>
    <col min="8975" max="8977" width="9.1640625" customWidth="1"/>
    <col min="9225" max="9226" width="10.1640625" bestFit="1" customWidth="1"/>
    <col min="9227" max="9227" width="22" customWidth="1"/>
    <col min="9228" max="9228" width="19.5" customWidth="1"/>
    <col min="9229" max="9229" width="44.1640625" customWidth="1"/>
    <col min="9230" max="9230" width="10.1640625" bestFit="1" customWidth="1"/>
    <col min="9231" max="9233" width="9.1640625" customWidth="1"/>
    <col min="9481" max="9482" width="10.1640625" bestFit="1" customWidth="1"/>
    <col min="9483" max="9483" width="22" customWidth="1"/>
    <col min="9484" max="9484" width="19.5" customWidth="1"/>
    <col min="9485" max="9485" width="44.1640625" customWidth="1"/>
    <col min="9486" max="9486" width="10.1640625" bestFit="1" customWidth="1"/>
    <col min="9487" max="9489" width="9.1640625" customWidth="1"/>
    <col min="9737" max="9738" width="10.1640625" bestFit="1" customWidth="1"/>
    <col min="9739" max="9739" width="22" customWidth="1"/>
    <col min="9740" max="9740" width="19.5" customWidth="1"/>
    <col min="9741" max="9741" width="44.1640625" customWidth="1"/>
    <col min="9742" max="9742" width="10.1640625" bestFit="1" customWidth="1"/>
    <col min="9743" max="9745" width="9.1640625" customWidth="1"/>
    <col min="9993" max="9994" width="10.1640625" bestFit="1" customWidth="1"/>
    <col min="9995" max="9995" width="22" customWidth="1"/>
    <col min="9996" max="9996" width="19.5" customWidth="1"/>
    <col min="9997" max="9997" width="44.1640625" customWidth="1"/>
    <col min="9998" max="9998" width="10.1640625" bestFit="1" customWidth="1"/>
    <col min="9999" max="10001" width="9.1640625" customWidth="1"/>
    <col min="10249" max="10250" width="10.1640625" bestFit="1" customWidth="1"/>
    <col min="10251" max="10251" width="22" customWidth="1"/>
    <col min="10252" max="10252" width="19.5" customWidth="1"/>
    <col min="10253" max="10253" width="44.1640625" customWidth="1"/>
    <col min="10254" max="10254" width="10.1640625" bestFit="1" customWidth="1"/>
    <col min="10255" max="10257" width="9.1640625" customWidth="1"/>
    <col min="10505" max="10506" width="10.1640625" bestFit="1" customWidth="1"/>
    <col min="10507" max="10507" width="22" customWidth="1"/>
    <col min="10508" max="10508" width="19.5" customWidth="1"/>
    <col min="10509" max="10509" width="44.1640625" customWidth="1"/>
    <col min="10510" max="10510" width="10.1640625" bestFit="1" customWidth="1"/>
    <col min="10511" max="10513" width="9.1640625" customWidth="1"/>
    <col min="10761" max="10762" width="10.1640625" bestFit="1" customWidth="1"/>
    <col min="10763" max="10763" width="22" customWidth="1"/>
    <col min="10764" max="10764" width="19.5" customWidth="1"/>
    <col min="10765" max="10765" width="44.1640625" customWidth="1"/>
    <col min="10766" max="10766" width="10.1640625" bestFit="1" customWidth="1"/>
    <col min="10767" max="10769" width="9.1640625" customWidth="1"/>
    <col min="11017" max="11018" width="10.1640625" bestFit="1" customWidth="1"/>
    <col min="11019" max="11019" width="22" customWidth="1"/>
    <col min="11020" max="11020" width="19.5" customWidth="1"/>
    <col min="11021" max="11021" width="44.1640625" customWidth="1"/>
    <col min="11022" max="11022" width="10.1640625" bestFit="1" customWidth="1"/>
    <col min="11023" max="11025" width="9.1640625" customWidth="1"/>
    <col min="11273" max="11274" width="10.1640625" bestFit="1" customWidth="1"/>
    <col min="11275" max="11275" width="22" customWidth="1"/>
    <col min="11276" max="11276" width="19.5" customWidth="1"/>
    <col min="11277" max="11277" width="44.1640625" customWidth="1"/>
    <col min="11278" max="11278" width="10.1640625" bestFit="1" customWidth="1"/>
    <col min="11279" max="11281" width="9.1640625" customWidth="1"/>
    <col min="11529" max="11530" width="10.1640625" bestFit="1" customWidth="1"/>
    <col min="11531" max="11531" width="22" customWidth="1"/>
    <col min="11532" max="11532" width="19.5" customWidth="1"/>
    <col min="11533" max="11533" width="44.1640625" customWidth="1"/>
    <col min="11534" max="11534" width="10.1640625" bestFit="1" customWidth="1"/>
    <col min="11535" max="11537" width="9.1640625" customWidth="1"/>
    <col min="11785" max="11786" width="10.1640625" bestFit="1" customWidth="1"/>
    <col min="11787" max="11787" width="22" customWidth="1"/>
    <col min="11788" max="11788" width="19.5" customWidth="1"/>
    <col min="11789" max="11789" width="44.1640625" customWidth="1"/>
    <col min="11790" max="11790" width="10.1640625" bestFit="1" customWidth="1"/>
    <col min="11791" max="11793" width="9.1640625" customWidth="1"/>
    <col min="12041" max="12042" width="10.1640625" bestFit="1" customWidth="1"/>
    <col min="12043" max="12043" width="22" customWidth="1"/>
    <col min="12044" max="12044" width="19.5" customWidth="1"/>
    <col min="12045" max="12045" width="44.1640625" customWidth="1"/>
    <col min="12046" max="12046" width="10.1640625" bestFit="1" customWidth="1"/>
    <col min="12047" max="12049" width="9.1640625" customWidth="1"/>
    <col min="12297" max="12298" width="10.1640625" bestFit="1" customWidth="1"/>
    <col min="12299" max="12299" width="22" customWidth="1"/>
    <col min="12300" max="12300" width="19.5" customWidth="1"/>
    <col min="12301" max="12301" width="44.1640625" customWidth="1"/>
    <col min="12302" max="12302" width="10.1640625" bestFit="1" customWidth="1"/>
    <col min="12303" max="12305" width="9.1640625" customWidth="1"/>
    <col min="12553" max="12554" width="10.1640625" bestFit="1" customWidth="1"/>
    <col min="12555" max="12555" width="22" customWidth="1"/>
    <col min="12556" max="12556" width="19.5" customWidth="1"/>
    <col min="12557" max="12557" width="44.1640625" customWidth="1"/>
    <col min="12558" max="12558" width="10.1640625" bestFit="1" customWidth="1"/>
    <col min="12559" max="12561" width="9.1640625" customWidth="1"/>
    <col min="12809" max="12810" width="10.1640625" bestFit="1" customWidth="1"/>
    <col min="12811" max="12811" width="22" customWidth="1"/>
    <col min="12812" max="12812" width="19.5" customWidth="1"/>
    <col min="12813" max="12813" width="44.1640625" customWidth="1"/>
    <col min="12814" max="12814" width="10.1640625" bestFit="1" customWidth="1"/>
    <col min="12815" max="12817" width="9.1640625" customWidth="1"/>
    <col min="13065" max="13066" width="10.1640625" bestFit="1" customWidth="1"/>
    <col min="13067" max="13067" width="22" customWidth="1"/>
    <col min="13068" max="13068" width="19.5" customWidth="1"/>
    <col min="13069" max="13069" width="44.1640625" customWidth="1"/>
    <col min="13070" max="13070" width="10.1640625" bestFit="1" customWidth="1"/>
    <col min="13071" max="13073" width="9.1640625" customWidth="1"/>
    <col min="13321" max="13322" width="10.1640625" bestFit="1" customWidth="1"/>
    <col min="13323" max="13323" width="22" customWidth="1"/>
    <col min="13324" max="13324" width="19.5" customWidth="1"/>
    <col min="13325" max="13325" width="44.1640625" customWidth="1"/>
    <col min="13326" max="13326" width="10.1640625" bestFit="1" customWidth="1"/>
    <col min="13327" max="13329" width="9.1640625" customWidth="1"/>
    <col min="13577" max="13578" width="10.1640625" bestFit="1" customWidth="1"/>
    <col min="13579" max="13579" width="22" customWidth="1"/>
    <col min="13580" max="13580" width="19.5" customWidth="1"/>
    <col min="13581" max="13581" width="44.1640625" customWidth="1"/>
    <col min="13582" max="13582" width="10.1640625" bestFit="1" customWidth="1"/>
    <col min="13583" max="13585" width="9.1640625" customWidth="1"/>
    <col min="13833" max="13834" width="10.1640625" bestFit="1" customWidth="1"/>
    <col min="13835" max="13835" width="22" customWidth="1"/>
    <col min="13836" max="13836" width="19.5" customWidth="1"/>
    <col min="13837" max="13837" width="44.1640625" customWidth="1"/>
    <col min="13838" max="13838" width="10.1640625" bestFit="1" customWidth="1"/>
    <col min="13839" max="13841" width="9.1640625" customWidth="1"/>
    <col min="14089" max="14090" width="10.1640625" bestFit="1" customWidth="1"/>
    <col min="14091" max="14091" width="22" customWidth="1"/>
    <col min="14092" max="14092" width="19.5" customWidth="1"/>
    <col min="14093" max="14093" width="44.1640625" customWidth="1"/>
    <col min="14094" max="14094" width="10.1640625" bestFit="1" customWidth="1"/>
    <col min="14095" max="14097" width="9.1640625" customWidth="1"/>
    <col min="14345" max="14346" width="10.1640625" bestFit="1" customWidth="1"/>
    <col min="14347" max="14347" width="22" customWidth="1"/>
    <col min="14348" max="14348" width="19.5" customWidth="1"/>
    <col min="14349" max="14349" width="44.1640625" customWidth="1"/>
    <col min="14350" max="14350" width="10.1640625" bestFit="1" customWidth="1"/>
    <col min="14351" max="14353" width="9.1640625" customWidth="1"/>
    <col min="14601" max="14602" width="10.1640625" bestFit="1" customWidth="1"/>
    <col min="14603" max="14603" width="22" customWidth="1"/>
    <col min="14604" max="14604" width="19.5" customWidth="1"/>
    <col min="14605" max="14605" width="44.1640625" customWidth="1"/>
    <col min="14606" max="14606" width="10.1640625" bestFit="1" customWidth="1"/>
    <col min="14607" max="14609" width="9.1640625" customWidth="1"/>
    <col min="14857" max="14858" width="10.1640625" bestFit="1" customWidth="1"/>
    <col min="14859" max="14859" width="22" customWidth="1"/>
    <col min="14860" max="14860" width="19.5" customWidth="1"/>
    <col min="14861" max="14861" width="44.1640625" customWidth="1"/>
    <col min="14862" max="14862" width="10.1640625" bestFit="1" customWidth="1"/>
    <col min="14863" max="14865" width="9.1640625" customWidth="1"/>
    <col min="15113" max="15114" width="10.1640625" bestFit="1" customWidth="1"/>
    <col min="15115" max="15115" width="22" customWidth="1"/>
    <col min="15116" max="15116" width="19.5" customWidth="1"/>
    <col min="15117" max="15117" width="44.1640625" customWidth="1"/>
    <col min="15118" max="15118" width="10.1640625" bestFit="1" customWidth="1"/>
    <col min="15119" max="15121" width="9.1640625" customWidth="1"/>
    <col min="15369" max="15370" width="10.1640625" bestFit="1" customWidth="1"/>
    <col min="15371" max="15371" width="22" customWidth="1"/>
    <col min="15372" max="15372" width="19.5" customWidth="1"/>
    <col min="15373" max="15373" width="44.1640625" customWidth="1"/>
    <col min="15374" max="15374" width="10.1640625" bestFit="1" customWidth="1"/>
    <col min="15375" max="15377" width="9.1640625" customWidth="1"/>
    <col min="15625" max="15626" width="10.1640625" bestFit="1" customWidth="1"/>
    <col min="15627" max="15627" width="22" customWidth="1"/>
    <col min="15628" max="15628" width="19.5" customWidth="1"/>
    <col min="15629" max="15629" width="44.1640625" customWidth="1"/>
    <col min="15630" max="15630" width="10.1640625" bestFit="1" customWidth="1"/>
    <col min="15631" max="15633" width="9.1640625" customWidth="1"/>
    <col min="15881" max="15882" width="10.1640625" bestFit="1" customWidth="1"/>
    <col min="15883" max="15883" width="22" customWidth="1"/>
    <col min="15884" max="15884" width="19.5" customWidth="1"/>
    <col min="15885" max="15885" width="44.1640625" customWidth="1"/>
    <col min="15886" max="15886" width="10.1640625" bestFit="1" customWidth="1"/>
    <col min="15887" max="15889" width="9.1640625" customWidth="1"/>
    <col min="16137" max="16138" width="10.1640625" bestFit="1" customWidth="1"/>
    <col min="16139" max="16139" width="22" customWidth="1"/>
    <col min="16140" max="16140" width="19.5" customWidth="1"/>
    <col min="16141" max="16141" width="44.1640625" customWidth="1"/>
    <col min="16142" max="16142" width="10.1640625" bestFit="1" customWidth="1"/>
    <col min="16143" max="16145" width="9.1640625" customWidth="1"/>
  </cols>
  <sheetData>
    <row r="1" spans="1:17" x14ac:dyDescent="0.2">
      <c r="A1" s="1216" t="s">
        <v>191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8"/>
    </row>
    <row r="2" spans="1:17" ht="28.5" customHeight="1" x14ac:dyDescent="0.2">
      <c r="A2" s="1219"/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1"/>
    </row>
    <row r="3" spans="1:17" s="30" customFormat="1" ht="23" x14ac:dyDescent="0.25">
      <c r="A3" s="1210" t="s">
        <v>59</v>
      </c>
      <c r="B3" s="1211"/>
      <c r="C3" s="1211"/>
      <c r="D3" s="1211"/>
      <c r="E3" s="1211"/>
      <c r="F3" s="1211"/>
      <c r="G3" s="1211"/>
      <c r="H3" s="1211"/>
      <c r="I3" s="1211"/>
      <c r="J3" s="1211"/>
      <c r="K3" s="1211"/>
      <c r="L3" s="1211"/>
      <c r="M3" s="1212"/>
      <c r="N3" s="28"/>
      <c r="O3" s="29"/>
      <c r="P3" s="29"/>
      <c r="Q3" s="29"/>
    </row>
    <row r="4" spans="1:17" s="31" customFormat="1" ht="16" x14ac:dyDescent="0.2">
      <c r="A4" s="305" t="s">
        <v>192</v>
      </c>
      <c r="B4" s="31">
        <v>2014</v>
      </c>
      <c r="C4" s="31">
        <v>2015</v>
      </c>
      <c r="D4" s="31">
        <v>2016</v>
      </c>
      <c r="E4" s="31">
        <v>2017</v>
      </c>
      <c r="F4" s="31">
        <v>2018</v>
      </c>
      <c r="G4" s="31">
        <v>2019</v>
      </c>
      <c r="H4" s="31">
        <v>2020</v>
      </c>
      <c r="I4" s="31">
        <v>2021</v>
      </c>
      <c r="J4" s="31">
        <v>2022</v>
      </c>
      <c r="K4" s="31">
        <v>2023</v>
      </c>
      <c r="L4" s="312" t="s">
        <v>193</v>
      </c>
      <c r="M4" s="32" t="s">
        <v>12</v>
      </c>
      <c r="N4" s="33"/>
      <c r="O4" s="34"/>
      <c r="P4" s="34"/>
      <c r="Q4" s="34"/>
    </row>
    <row r="5" spans="1:17" x14ac:dyDescent="0.2">
      <c r="A5" s="306" t="s">
        <v>125</v>
      </c>
      <c r="B5" s="35">
        <v>2240</v>
      </c>
      <c r="C5" s="35">
        <v>2240</v>
      </c>
      <c r="D5" s="35">
        <v>2240</v>
      </c>
      <c r="E5" s="35">
        <v>2240</v>
      </c>
      <c r="F5" s="35">
        <v>2240</v>
      </c>
      <c r="G5" s="35">
        <v>2240</v>
      </c>
      <c r="H5" s="35">
        <v>2508.8000000000002</v>
      </c>
      <c r="I5" s="35">
        <v>2508.8000000000002</v>
      </c>
      <c r="J5" s="35">
        <v>2508.8000000000002</v>
      </c>
      <c r="K5" s="35">
        <v>2508.8000000000002</v>
      </c>
      <c r="L5" s="719"/>
      <c r="M5" s="3" t="s">
        <v>593</v>
      </c>
    </row>
    <row r="6" spans="1:17" x14ac:dyDescent="0.2">
      <c r="A6" s="306" t="s">
        <v>126</v>
      </c>
      <c r="B6" s="35">
        <v>2240</v>
      </c>
      <c r="C6" s="35">
        <v>2240</v>
      </c>
      <c r="D6" s="35">
        <v>2240</v>
      </c>
      <c r="E6" s="35">
        <v>2240</v>
      </c>
      <c r="F6" s="35">
        <v>2240</v>
      </c>
      <c r="G6" s="35">
        <v>2240</v>
      </c>
      <c r="H6" s="35">
        <v>2508.8000000000002</v>
      </c>
      <c r="I6" s="35">
        <v>2508.8000000000002</v>
      </c>
      <c r="J6" s="35">
        <v>2508.8000000000002</v>
      </c>
      <c r="K6" s="35">
        <v>2508.8000000000002</v>
      </c>
      <c r="L6" s="719"/>
      <c r="M6" s="316" t="s">
        <v>594</v>
      </c>
    </row>
    <row r="7" spans="1:17" x14ac:dyDescent="0.2">
      <c r="A7" s="306" t="s">
        <v>127</v>
      </c>
      <c r="B7" s="35">
        <v>2240</v>
      </c>
      <c r="C7" s="35">
        <v>2240</v>
      </c>
      <c r="D7" s="35">
        <v>2240</v>
      </c>
      <c r="E7" s="35">
        <v>2240</v>
      </c>
      <c r="F7" s="35">
        <v>2240</v>
      </c>
      <c r="G7" s="35">
        <v>2240</v>
      </c>
      <c r="H7" s="35">
        <v>2508.8000000000002</v>
      </c>
      <c r="I7" s="35">
        <v>2508.8000000000002</v>
      </c>
      <c r="J7" s="35">
        <v>2508.8000000000002</v>
      </c>
      <c r="K7" s="35">
        <v>2508.8000000000002</v>
      </c>
      <c r="L7" s="719">
        <f>SUM(K5:K7)</f>
        <v>7526.4000000000005</v>
      </c>
      <c r="M7" s="37" t="s">
        <v>121</v>
      </c>
    </row>
    <row r="8" spans="1:17" x14ac:dyDescent="0.2">
      <c r="A8" s="306" t="s">
        <v>128</v>
      </c>
      <c r="B8" s="35">
        <v>2240</v>
      </c>
      <c r="C8" s="35">
        <v>2240</v>
      </c>
      <c r="D8" s="35">
        <v>2240</v>
      </c>
      <c r="E8" s="35">
        <v>2240</v>
      </c>
      <c r="F8" s="35">
        <v>2240</v>
      </c>
      <c r="G8" s="35">
        <v>2240</v>
      </c>
      <c r="H8" s="35">
        <v>2508.8000000000002</v>
      </c>
      <c r="I8" s="35">
        <v>2508.8000000000002</v>
      </c>
      <c r="J8" s="35">
        <v>2508.8000000000002</v>
      </c>
      <c r="K8" s="35">
        <v>2508.8000000000002</v>
      </c>
      <c r="L8" s="719"/>
      <c r="M8" s="3"/>
    </row>
    <row r="9" spans="1:17" x14ac:dyDescent="0.2">
      <c r="A9" s="306" t="s">
        <v>129</v>
      </c>
      <c r="B9" s="35">
        <v>2240</v>
      </c>
      <c r="C9" s="35">
        <v>2240</v>
      </c>
      <c r="D9" s="35">
        <v>2240</v>
      </c>
      <c r="E9" s="35">
        <v>2240</v>
      </c>
      <c r="F9" s="35">
        <v>2240</v>
      </c>
      <c r="G9" s="35">
        <v>2240</v>
      </c>
      <c r="H9" s="35">
        <v>2508.8000000000002</v>
      </c>
      <c r="I9" s="35">
        <v>2508.8000000000002</v>
      </c>
      <c r="J9" s="35">
        <v>2508.8000000000002</v>
      </c>
      <c r="K9" s="35">
        <v>2508.8000000000002</v>
      </c>
      <c r="L9" s="719"/>
      <c r="M9" s="3"/>
    </row>
    <row r="10" spans="1:17" x14ac:dyDescent="0.2">
      <c r="A10" s="306" t="s">
        <v>130</v>
      </c>
      <c r="B10" s="35">
        <v>2240</v>
      </c>
      <c r="C10" s="35">
        <v>2240</v>
      </c>
      <c r="D10" s="35">
        <v>2240</v>
      </c>
      <c r="E10" s="35">
        <v>2240</v>
      </c>
      <c r="F10" s="35">
        <v>2240</v>
      </c>
      <c r="G10" s="35">
        <v>2240</v>
      </c>
      <c r="H10" s="35">
        <v>2508.8000000000002</v>
      </c>
      <c r="I10" s="35">
        <v>2508.8000000000002</v>
      </c>
      <c r="J10" s="35">
        <v>2508.8000000000002</v>
      </c>
      <c r="K10" s="35">
        <v>2508.8000000000002</v>
      </c>
      <c r="L10" s="719">
        <f>SUM(K8:K10)</f>
        <v>7526.4000000000005</v>
      </c>
      <c r="M10" s="3"/>
    </row>
    <row r="11" spans="1:17" x14ac:dyDescent="0.2">
      <c r="A11" s="306" t="s">
        <v>131</v>
      </c>
      <c r="B11" s="35">
        <v>2240</v>
      </c>
      <c r="C11" s="35">
        <v>2240</v>
      </c>
      <c r="D11" s="35">
        <v>2240</v>
      </c>
      <c r="E11" s="35">
        <v>2240</v>
      </c>
      <c r="F11" s="35">
        <v>2240</v>
      </c>
      <c r="G11" s="35">
        <v>2240</v>
      </c>
      <c r="H11" s="35">
        <v>2508.8000000000002</v>
      </c>
      <c r="I11" s="35">
        <v>2508.8000000000002</v>
      </c>
      <c r="J11" s="35">
        <v>2508.8000000000002</v>
      </c>
      <c r="K11" s="35">
        <v>2508.8000000000002</v>
      </c>
      <c r="L11" s="719"/>
      <c r="M11" s="3"/>
    </row>
    <row r="12" spans="1:17" x14ac:dyDescent="0.2">
      <c r="A12" s="306" t="s">
        <v>132</v>
      </c>
      <c r="B12" s="35">
        <v>2240</v>
      </c>
      <c r="C12" s="35">
        <v>2240</v>
      </c>
      <c r="D12" s="35">
        <v>2240</v>
      </c>
      <c r="E12" s="35">
        <v>2240</v>
      </c>
      <c r="F12" s="35">
        <v>2240</v>
      </c>
      <c r="G12" s="35">
        <v>2508.8000000000002</v>
      </c>
      <c r="H12" s="35">
        <v>2508.8000000000002</v>
      </c>
      <c r="I12" s="35">
        <v>2508.8000000000002</v>
      </c>
      <c r="J12" s="35">
        <v>2508.8000000000002</v>
      </c>
      <c r="K12" s="35">
        <v>2508.8000000000002</v>
      </c>
      <c r="L12" s="719"/>
      <c r="M12" s="3"/>
    </row>
    <row r="13" spans="1:17" x14ac:dyDescent="0.2">
      <c r="A13" s="306" t="s">
        <v>133</v>
      </c>
      <c r="B13" s="35">
        <v>2240</v>
      </c>
      <c r="C13" s="35">
        <v>2240</v>
      </c>
      <c r="D13" s="35">
        <v>2240</v>
      </c>
      <c r="E13" s="35">
        <v>2240</v>
      </c>
      <c r="F13" s="35">
        <v>2240</v>
      </c>
      <c r="G13" s="35">
        <v>2508.8000000000002</v>
      </c>
      <c r="H13" s="35">
        <v>2508.8000000000002</v>
      </c>
      <c r="I13" s="35">
        <v>2508.8000000000002</v>
      </c>
      <c r="J13" s="35">
        <v>2508.8000000000002</v>
      </c>
      <c r="K13" s="35">
        <v>2508.8000000000002</v>
      </c>
      <c r="L13" s="719">
        <f>SUM(K11:K13)</f>
        <v>7526.4000000000005</v>
      </c>
      <c r="M13" s="3"/>
    </row>
    <row r="14" spans="1:17" x14ac:dyDescent="0.2">
      <c r="A14" s="306" t="s">
        <v>134</v>
      </c>
      <c r="B14" s="35">
        <v>2240</v>
      </c>
      <c r="C14" s="35">
        <v>2240</v>
      </c>
      <c r="D14" s="35">
        <v>2240</v>
      </c>
      <c r="E14" s="35">
        <v>2240</v>
      </c>
      <c r="F14" s="35">
        <v>2240</v>
      </c>
      <c r="G14" s="35">
        <v>2508.8000000000002</v>
      </c>
      <c r="H14" s="35">
        <v>2508.8000000000002</v>
      </c>
      <c r="I14" s="35">
        <v>2508.8000000000002</v>
      </c>
      <c r="J14" s="35">
        <v>2508.8000000000002</v>
      </c>
      <c r="K14" s="35">
        <v>2508.8000000000002</v>
      </c>
      <c r="L14" s="719"/>
      <c r="M14" s="3"/>
    </row>
    <row r="15" spans="1:17" x14ac:dyDescent="0.2">
      <c r="A15" s="306" t="s">
        <v>194</v>
      </c>
      <c r="B15" s="35">
        <v>2240</v>
      </c>
      <c r="C15" s="35">
        <v>2240</v>
      </c>
      <c r="D15" s="35">
        <v>2240</v>
      </c>
      <c r="E15" s="35">
        <v>2240</v>
      </c>
      <c r="F15" s="35">
        <v>2240</v>
      </c>
      <c r="G15" s="35">
        <v>2508.8000000000002</v>
      </c>
      <c r="H15" s="35">
        <v>2508.8000000000002</v>
      </c>
      <c r="I15" s="35">
        <v>2508.8000000000002</v>
      </c>
      <c r="J15" s="35">
        <v>2508.8000000000002</v>
      </c>
      <c r="K15" s="35">
        <v>2508.8000000000002</v>
      </c>
      <c r="L15" s="719"/>
      <c r="M15" s="3"/>
    </row>
    <row r="16" spans="1:17" x14ac:dyDescent="0.2">
      <c r="A16" s="306" t="s">
        <v>136</v>
      </c>
      <c r="B16" s="1024">
        <v>2240</v>
      </c>
      <c r="C16" s="1024">
        <v>2240</v>
      </c>
      <c r="D16" s="1024">
        <v>2240</v>
      </c>
      <c r="E16" s="1024">
        <v>2240</v>
      </c>
      <c r="F16" s="1024">
        <v>2240</v>
      </c>
      <c r="G16" s="1024">
        <v>2508.8000000000002</v>
      </c>
      <c r="H16" s="1024">
        <v>2508.8000000000002</v>
      </c>
      <c r="I16" s="1024">
        <v>2508.8000000000002</v>
      </c>
      <c r="J16" s="1024">
        <v>2508.8000000000002</v>
      </c>
      <c r="K16" s="1024">
        <v>2508.8000000000002</v>
      </c>
      <c r="L16" s="812">
        <f>SUM(K14:K16)</f>
        <v>7526.4000000000005</v>
      </c>
      <c r="M16" s="3"/>
    </row>
    <row r="17" spans="1:17" x14ac:dyDescent="0.2">
      <c r="A17" s="304"/>
      <c r="B17" s="35">
        <f t="shared" ref="B17:H17" si="0">SUM(B5:B16)</f>
        <v>26880</v>
      </c>
      <c r="C17" s="35">
        <f t="shared" si="0"/>
        <v>26880</v>
      </c>
      <c r="D17" s="35">
        <f t="shared" si="0"/>
        <v>26880</v>
      </c>
      <c r="E17" s="35">
        <f t="shared" si="0"/>
        <v>26880</v>
      </c>
      <c r="F17" s="35">
        <f t="shared" si="0"/>
        <v>26880</v>
      </c>
      <c r="G17" s="35">
        <f t="shared" si="0"/>
        <v>28223.999999999996</v>
      </c>
      <c r="H17" s="35">
        <f t="shared" si="0"/>
        <v>30105.599999999995</v>
      </c>
      <c r="I17" s="35">
        <f t="shared" ref="I17:J17" si="1">SUM(I5:I16)</f>
        <v>30105.599999999995</v>
      </c>
      <c r="J17" s="35">
        <f t="shared" si="1"/>
        <v>30105.599999999995</v>
      </c>
      <c r="K17" s="35">
        <f t="shared" ref="K17" si="2">SUM(K5:K16)</f>
        <v>30105.599999999995</v>
      </c>
      <c r="L17" s="719">
        <f>SUM(L16,L13,L10,L7)</f>
        <v>30105.600000000002</v>
      </c>
      <c r="M17" s="3"/>
    </row>
    <row r="18" spans="1:17" x14ac:dyDescent="0.2">
      <c r="A18" s="304"/>
      <c r="M18" s="3"/>
    </row>
    <row r="19" spans="1:17" s="40" customFormat="1" ht="23" x14ac:dyDescent="0.25">
      <c r="A19" s="1210" t="s">
        <v>195</v>
      </c>
      <c r="B19" s="1211"/>
      <c r="C19" s="1211"/>
      <c r="D19" s="1211"/>
      <c r="E19" s="1211"/>
      <c r="F19" s="1211"/>
      <c r="G19" s="1211"/>
      <c r="H19" s="1211"/>
      <c r="I19" s="1211"/>
      <c r="J19" s="1211"/>
      <c r="K19" s="1211"/>
      <c r="L19" s="1211"/>
      <c r="M19" s="1212"/>
      <c r="N19" s="38"/>
      <c r="O19" s="39"/>
      <c r="P19" s="39"/>
      <c r="Q19" s="39"/>
    </row>
    <row r="20" spans="1:17" s="31" customFormat="1" ht="16" x14ac:dyDescent="0.2">
      <c r="A20" s="305" t="s">
        <v>192</v>
      </c>
      <c r="B20" s="31">
        <v>2014</v>
      </c>
      <c r="C20" s="31">
        <v>2015</v>
      </c>
      <c r="D20" s="31">
        <v>2016</v>
      </c>
      <c r="E20" s="31">
        <v>2017</v>
      </c>
      <c r="F20" s="31">
        <v>2018</v>
      </c>
      <c r="G20" s="31">
        <v>2019</v>
      </c>
      <c r="H20" s="31">
        <v>2020</v>
      </c>
      <c r="I20" s="31">
        <v>2021</v>
      </c>
      <c r="J20" s="31">
        <v>2022</v>
      </c>
      <c r="L20" s="312" t="s">
        <v>193</v>
      </c>
      <c r="M20" s="32" t="s">
        <v>12</v>
      </c>
      <c r="N20" s="33"/>
      <c r="O20" s="34"/>
      <c r="P20" s="34"/>
      <c r="Q20" s="34"/>
    </row>
    <row r="21" spans="1:17" x14ac:dyDescent="0.2">
      <c r="A21" s="306" t="s">
        <v>125</v>
      </c>
      <c r="B21" s="719">
        <v>1591.35</v>
      </c>
      <c r="C21" s="719">
        <v>1639.09</v>
      </c>
      <c r="D21" s="719">
        <v>1688.26</v>
      </c>
      <c r="E21" s="719">
        <v>1738.91</v>
      </c>
      <c r="F21" s="719">
        <v>1791.08</v>
      </c>
      <c r="G21" s="719">
        <v>1844.81</v>
      </c>
      <c r="H21" s="719">
        <v>1900.15</v>
      </c>
      <c r="I21" s="719">
        <v>1957</v>
      </c>
      <c r="J21" s="719">
        <v>2016</v>
      </c>
      <c r="K21" s="719"/>
      <c r="M21" s="3"/>
    </row>
    <row r="22" spans="1:17" x14ac:dyDescent="0.2">
      <c r="A22" s="306" t="s">
        <v>126</v>
      </c>
      <c r="B22" s="719">
        <v>1591.35</v>
      </c>
      <c r="C22" s="719">
        <v>1639.09</v>
      </c>
      <c r="D22" s="719">
        <v>1688.26</v>
      </c>
      <c r="E22" s="719">
        <v>1738.91</v>
      </c>
      <c r="F22" s="719">
        <v>1791.08</v>
      </c>
      <c r="G22" s="719">
        <v>1844.81</v>
      </c>
      <c r="H22" s="719">
        <v>1900</v>
      </c>
      <c r="I22" s="719">
        <v>1957</v>
      </c>
      <c r="J22" s="719">
        <v>2016</v>
      </c>
      <c r="K22" s="719"/>
      <c r="L22" s="35" t="s">
        <v>121</v>
      </c>
      <c r="M22" s="3"/>
    </row>
    <row r="23" spans="1:17" x14ac:dyDescent="0.2">
      <c r="A23" s="306" t="s">
        <v>127</v>
      </c>
      <c r="B23" s="719">
        <v>1591.35</v>
      </c>
      <c r="C23" s="719">
        <v>1639.09</v>
      </c>
      <c r="D23" s="719">
        <v>1688.26</v>
      </c>
      <c r="E23" s="719">
        <v>1738.91</v>
      </c>
      <c r="F23" s="719">
        <v>1791.08</v>
      </c>
      <c r="G23" s="719">
        <v>1844.81</v>
      </c>
      <c r="H23" s="719">
        <v>1900</v>
      </c>
      <c r="I23" s="719">
        <v>1957</v>
      </c>
      <c r="J23" s="719">
        <v>2016</v>
      </c>
      <c r="K23" s="719"/>
      <c r="L23" s="35">
        <f>SUM(I21:I23)</f>
        <v>5871</v>
      </c>
      <c r="M23" s="3"/>
    </row>
    <row r="24" spans="1:17" x14ac:dyDescent="0.2">
      <c r="A24" s="306" t="s">
        <v>128</v>
      </c>
      <c r="B24" s="719">
        <v>1591.35</v>
      </c>
      <c r="C24" s="719">
        <v>1639.09</v>
      </c>
      <c r="D24" s="719">
        <v>1688.26</v>
      </c>
      <c r="E24" s="719">
        <v>1738.91</v>
      </c>
      <c r="F24" s="719">
        <v>1791.08</v>
      </c>
      <c r="G24" s="719">
        <v>1844.81</v>
      </c>
      <c r="H24" s="719">
        <v>1900</v>
      </c>
      <c r="I24" s="719">
        <v>1957</v>
      </c>
      <c r="J24" s="719">
        <v>2016</v>
      </c>
      <c r="K24" s="719"/>
      <c r="M24" s="3"/>
      <c r="P24" s="27">
        <f>(1500*(0.03/31)*7)</f>
        <v>10.161290322580646</v>
      </c>
    </row>
    <row r="25" spans="1:17" x14ac:dyDescent="0.2">
      <c r="A25" s="306" t="s">
        <v>129</v>
      </c>
      <c r="B25" s="719">
        <v>1591.35</v>
      </c>
      <c r="C25" s="719">
        <v>1639.09</v>
      </c>
      <c r="D25" s="719">
        <v>1688.26</v>
      </c>
      <c r="E25" s="719">
        <v>1738.91</v>
      </c>
      <c r="F25" s="719">
        <v>1791.08</v>
      </c>
      <c r="G25" s="719">
        <v>1844.81</v>
      </c>
      <c r="H25" s="719">
        <v>1900</v>
      </c>
      <c r="I25" s="719">
        <v>1957</v>
      </c>
      <c r="J25" s="719">
        <v>2016</v>
      </c>
      <c r="K25" s="719"/>
      <c r="M25" s="3"/>
    </row>
    <row r="26" spans="1:17" x14ac:dyDescent="0.2">
      <c r="A26" s="306" t="s">
        <v>130</v>
      </c>
      <c r="B26" s="719">
        <v>1591.35</v>
      </c>
      <c r="C26" s="719">
        <v>1639.09</v>
      </c>
      <c r="D26" s="719">
        <v>1688.26</v>
      </c>
      <c r="E26" s="719">
        <v>1738.91</v>
      </c>
      <c r="F26" s="719">
        <v>1791.08</v>
      </c>
      <c r="G26" s="719">
        <v>1844.81</v>
      </c>
      <c r="H26" s="719">
        <v>1900</v>
      </c>
      <c r="I26" s="719">
        <v>1957</v>
      </c>
      <c r="J26" s="719">
        <v>2016</v>
      </c>
      <c r="K26" s="719"/>
      <c r="L26" s="35">
        <f>SUM(I24:I26)</f>
        <v>5871</v>
      </c>
      <c r="M26" s="3"/>
    </row>
    <row r="27" spans="1:17" x14ac:dyDescent="0.2">
      <c r="A27" s="306" t="s">
        <v>131</v>
      </c>
      <c r="B27" s="719">
        <v>1602.13</v>
      </c>
      <c r="C27" s="719">
        <f>((C26*(0.03/31)*7)+C26)</f>
        <v>1650.1935129032258</v>
      </c>
      <c r="D27" s="719">
        <f>((D26*(0.03/31)*7)+D26)</f>
        <v>1699.6966</v>
      </c>
      <c r="E27" s="719">
        <f>((E26*(0.03/31)*7)+E26)</f>
        <v>1750.6897129032259</v>
      </c>
      <c r="F27" s="719">
        <v>1803.21</v>
      </c>
      <c r="G27" s="719">
        <v>1857.72</v>
      </c>
      <c r="H27" s="719">
        <v>1913</v>
      </c>
      <c r="I27" s="719">
        <f>((I26*0.03)/7)+I26</f>
        <v>1965.3871428571429</v>
      </c>
      <c r="J27" s="719">
        <v>2025</v>
      </c>
      <c r="K27" s="719"/>
      <c r="M27" s="3" t="s">
        <v>1530</v>
      </c>
      <c r="O27" s="27">
        <f>1591.35*1.03</f>
        <v>1639.0905</v>
      </c>
    </row>
    <row r="28" spans="1:17" x14ac:dyDescent="0.2">
      <c r="A28" s="306" t="s">
        <v>132</v>
      </c>
      <c r="B28" s="719">
        <v>1639.09</v>
      </c>
      <c r="C28" s="719">
        <f>C26*1.03</f>
        <v>1688.2627</v>
      </c>
      <c r="D28" s="719">
        <f>((D27*(0.03/31)*7)+D27)</f>
        <v>1711.2106737419356</v>
      </c>
      <c r="E28" s="719">
        <f>E26*1.03</f>
        <v>1791.0773000000002</v>
      </c>
      <c r="F28" s="719">
        <v>1844.81</v>
      </c>
      <c r="G28" s="719">
        <v>1900.15</v>
      </c>
      <c r="H28" s="719">
        <v>1957.15</v>
      </c>
      <c r="I28" s="719">
        <f>I26*1.03</f>
        <v>2015.71</v>
      </c>
      <c r="J28" s="719">
        <v>2076</v>
      </c>
      <c r="K28" s="719"/>
      <c r="M28" s="36" t="s">
        <v>196</v>
      </c>
    </row>
    <row r="29" spans="1:17" x14ac:dyDescent="0.2">
      <c r="A29" s="306" t="s">
        <v>133</v>
      </c>
      <c r="B29" s="719">
        <v>1639.09</v>
      </c>
      <c r="C29" s="719">
        <f>C26*1.03</f>
        <v>1688.2627</v>
      </c>
      <c r="D29" s="719">
        <v>1711.21</v>
      </c>
      <c r="E29" s="719">
        <v>1791.08</v>
      </c>
      <c r="F29" s="719">
        <v>1844.81</v>
      </c>
      <c r="G29" s="719">
        <v>1900.15</v>
      </c>
      <c r="H29" s="719">
        <v>1957.15</v>
      </c>
      <c r="I29" s="719">
        <v>2016</v>
      </c>
      <c r="J29" s="719">
        <v>2076</v>
      </c>
      <c r="K29" s="719"/>
      <c r="L29" s="35">
        <f>SUM(I27:I29)</f>
        <v>5997.0971428571429</v>
      </c>
      <c r="M29" s="3"/>
    </row>
    <row r="30" spans="1:17" x14ac:dyDescent="0.2">
      <c r="A30" s="306" t="s">
        <v>134</v>
      </c>
      <c r="B30" s="719">
        <v>1639.09</v>
      </c>
      <c r="C30" s="719">
        <f>C26*1.03</f>
        <v>1688.2627</v>
      </c>
      <c r="D30" s="719">
        <v>1711.21</v>
      </c>
      <c r="E30" s="719">
        <v>1791.08</v>
      </c>
      <c r="F30" s="719">
        <v>1844.81</v>
      </c>
      <c r="G30" s="719">
        <v>1900.15</v>
      </c>
      <c r="H30" s="719">
        <v>1957</v>
      </c>
      <c r="I30" s="719">
        <v>2016</v>
      </c>
      <c r="J30" s="719">
        <v>2076</v>
      </c>
      <c r="K30" s="719"/>
      <c r="M30" s="3"/>
    </row>
    <row r="31" spans="1:17" x14ac:dyDescent="0.2">
      <c r="A31" s="306" t="s">
        <v>135</v>
      </c>
      <c r="B31" s="719">
        <v>1639.09</v>
      </c>
      <c r="C31" s="719">
        <f>C26*1.03</f>
        <v>1688.2627</v>
      </c>
      <c r="D31" s="719">
        <v>1711.21</v>
      </c>
      <c r="E31" s="719">
        <v>1791.08</v>
      </c>
      <c r="F31" s="719">
        <v>1844.81</v>
      </c>
      <c r="G31" s="719">
        <v>1900.15</v>
      </c>
      <c r="H31" s="719">
        <v>1957</v>
      </c>
      <c r="I31" s="719">
        <v>2016</v>
      </c>
      <c r="J31" s="719">
        <v>2076</v>
      </c>
      <c r="K31" s="719"/>
      <c r="M31" s="3"/>
    </row>
    <row r="32" spans="1:17" x14ac:dyDescent="0.2">
      <c r="A32" s="306" t="s">
        <v>136</v>
      </c>
      <c r="B32" s="812">
        <v>1639.09</v>
      </c>
      <c r="C32" s="812">
        <f>C26*1.03</f>
        <v>1688.2627</v>
      </c>
      <c r="D32" s="812">
        <v>1711.21</v>
      </c>
      <c r="E32" s="812">
        <v>1791.08</v>
      </c>
      <c r="F32" s="812">
        <v>1844.81</v>
      </c>
      <c r="G32" s="812">
        <v>1900.15</v>
      </c>
      <c r="H32" s="812">
        <v>1957</v>
      </c>
      <c r="I32" s="812">
        <v>2016</v>
      </c>
      <c r="J32" s="812">
        <v>2076</v>
      </c>
      <c r="K32" s="554"/>
      <c r="L32" s="35">
        <f>SUM(I30:I32)</f>
        <v>6048</v>
      </c>
      <c r="M32" s="42"/>
    </row>
    <row r="33" spans="1:18" ht="16" thickBot="1" x14ac:dyDescent="0.25">
      <c r="A33" s="307"/>
      <c r="B33" s="1023">
        <f>SUM(B20:B32)</f>
        <v>21359.68</v>
      </c>
      <c r="C33" s="1023">
        <f t="shared" ref="C33:I33" si="3">SUM(C21:C32)</f>
        <v>19926.047012903222</v>
      </c>
      <c r="D33" s="1023">
        <f t="shared" si="3"/>
        <v>20385.307273741932</v>
      </c>
      <c r="E33" s="1023">
        <f t="shared" si="3"/>
        <v>21139.547012903233</v>
      </c>
      <c r="F33" s="1023">
        <f t="shared" si="3"/>
        <v>21773.74</v>
      </c>
      <c r="G33" s="1023">
        <f t="shared" si="3"/>
        <v>22427.33</v>
      </c>
      <c r="H33" s="1023">
        <f t="shared" si="3"/>
        <v>23098.45</v>
      </c>
      <c r="I33" s="1023">
        <f t="shared" si="3"/>
        <v>23787.097142857143</v>
      </c>
      <c r="J33" s="1023">
        <f>SUM(J21:J32)</f>
        <v>24501</v>
      </c>
      <c r="K33" s="1023"/>
      <c r="L33" s="313">
        <f>SUM(L32,L29,L26,L23)</f>
        <v>23787.097142857143</v>
      </c>
      <c r="M33" s="44"/>
    </row>
    <row r="34" spans="1:18" x14ac:dyDescent="0.2">
      <c r="M34" s="26"/>
    </row>
    <row r="35" spans="1:18" ht="16" thickBot="1" x14ac:dyDescent="0.25">
      <c r="M35" s="26"/>
    </row>
    <row r="36" spans="1:18" x14ac:dyDescent="0.2">
      <c r="A36" s="1222" t="s">
        <v>4</v>
      </c>
      <c r="B36" s="1223"/>
      <c r="C36" s="1223"/>
      <c r="D36" s="1223"/>
      <c r="E36" s="1223"/>
      <c r="F36" s="1223"/>
      <c r="G36" s="1223"/>
      <c r="H36" s="1223"/>
      <c r="I36" s="1223"/>
      <c r="J36" s="1223"/>
      <c r="K36" s="1223"/>
      <c r="L36" s="1223"/>
      <c r="M36" s="1224"/>
    </row>
    <row r="37" spans="1:18" x14ac:dyDescent="0.2">
      <c r="A37" s="1225"/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7"/>
    </row>
    <row r="38" spans="1:18" ht="23" x14ac:dyDescent="0.25">
      <c r="A38" s="1210" t="s">
        <v>197</v>
      </c>
      <c r="B38" s="1211"/>
      <c r="C38" s="1211"/>
      <c r="D38" s="1211"/>
      <c r="E38" s="1211"/>
      <c r="F38" s="1211"/>
      <c r="G38" s="1211"/>
      <c r="H38" s="1211"/>
      <c r="I38" s="1211"/>
      <c r="J38" s="1211"/>
      <c r="K38" s="1211"/>
      <c r="L38" s="1211"/>
      <c r="M38" s="1212"/>
    </row>
    <row r="39" spans="1:18" s="31" customFormat="1" ht="16" x14ac:dyDescent="0.2">
      <c r="A39" s="305" t="s">
        <v>192</v>
      </c>
      <c r="B39" s="31" t="s">
        <v>198</v>
      </c>
      <c r="C39" s="33" t="s">
        <v>199</v>
      </c>
      <c r="D39" s="33"/>
      <c r="E39" s="33"/>
      <c r="F39" s="33"/>
      <c r="G39" s="312"/>
      <c r="H39" s="312"/>
      <c r="I39" s="312"/>
      <c r="J39" s="312"/>
      <c r="K39" s="312"/>
      <c r="L39" s="312" t="s">
        <v>193</v>
      </c>
      <c r="M39" s="32" t="s">
        <v>12</v>
      </c>
      <c r="N39" s="33"/>
      <c r="O39" s="34"/>
      <c r="P39" s="34"/>
      <c r="Q39" s="34"/>
    </row>
    <row r="40" spans="1:18" x14ac:dyDescent="0.2">
      <c r="A40" s="304">
        <v>41426</v>
      </c>
      <c r="B40" s="26">
        <v>653</v>
      </c>
      <c r="C40" s="26">
        <v>653</v>
      </c>
      <c r="L40" s="317">
        <v>653</v>
      </c>
      <c r="M40" s="45" t="s">
        <v>200</v>
      </c>
      <c r="R40" s="24"/>
    </row>
    <row r="41" spans="1:18" x14ac:dyDescent="0.2">
      <c r="A41" s="304">
        <v>41456</v>
      </c>
      <c r="B41" s="26">
        <v>653</v>
      </c>
      <c r="C41" s="26">
        <v>653</v>
      </c>
      <c r="L41" s="317"/>
      <c r="M41" s="46"/>
      <c r="R41" s="24"/>
    </row>
    <row r="42" spans="1:18" x14ac:dyDescent="0.2">
      <c r="A42" s="304">
        <v>41487</v>
      </c>
      <c r="B42" s="26">
        <v>653</v>
      </c>
      <c r="C42" s="26">
        <v>653</v>
      </c>
      <c r="L42" s="317"/>
      <c r="M42" s="46"/>
      <c r="R42" s="24"/>
    </row>
    <row r="43" spans="1:18" x14ac:dyDescent="0.2">
      <c r="A43" s="304">
        <v>41518</v>
      </c>
      <c r="B43" s="26">
        <v>653</v>
      </c>
      <c r="C43" s="26">
        <v>653</v>
      </c>
      <c r="L43" s="317">
        <f>SUM(C41:C43)</f>
        <v>1959</v>
      </c>
      <c r="M43" s="46"/>
      <c r="R43" s="24"/>
    </row>
    <row r="44" spans="1:18" x14ac:dyDescent="0.2">
      <c r="A44" s="304">
        <v>41548</v>
      </c>
      <c r="B44" s="26">
        <v>653</v>
      </c>
      <c r="C44" s="26">
        <v>653</v>
      </c>
      <c r="L44" s="317"/>
      <c r="M44" s="46"/>
      <c r="R44" s="24"/>
    </row>
    <row r="45" spans="1:18" x14ac:dyDescent="0.2">
      <c r="A45" s="304">
        <v>41579</v>
      </c>
      <c r="B45" s="26">
        <v>737</v>
      </c>
      <c r="C45" s="26">
        <v>737</v>
      </c>
      <c r="L45" s="317">
        <f>SUM(C44:C45)</f>
        <v>1390</v>
      </c>
      <c r="M45" s="46"/>
      <c r="R45" s="24"/>
    </row>
    <row r="46" spans="1:18" x14ac:dyDescent="0.2">
      <c r="A46" s="304"/>
      <c r="B46" s="26">
        <f>SUM(B40:B45)</f>
        <v>4002</v>
      </c>
      <c r="C46" s="26">
        <f>SUM(C40:C45)</f>
        <v>4002</v>
      </c>
      <c r="L46" s="317">
        <f>SUM(L40:L45)</f>
        <v>4002</v>
      </c>
      <c r="M46" s="46"/>
      <c r="R46" s="24"/>
    </row>
    <row r="47" spans="1:18" x14ac:dyDescent="0.2">
      <c r="A47" s="304"/>
      <c r="L47" s="317"/>
      <c r="M47" s="46"/>
      <c r="R47" s="24"/>
    </row>
    <row r="48" spans="1:18" x14ac:dyDescent="0.2">
      <c r="A48" s="304"/>
      <c r="L48" s="317"/>
      <c r="M48" s="46"/>
      <c r="R48" s="24"/>
    </row>
    <row r="49" spans="1:18" s="40" customFormat="1" ht="23" x14ac:dyDescent="0.25">
      <c r="A49" s="1210" t="s">
        <v>201</v>
      </c>
      <c r="B49" s="1211"/>
      <c r="C49" s="1211"/>
      <c r="D49" s="1211"/>
      <c r="E49" s="1211"/>
      <c r="F49" s="1211"/>
      <c r="G49" s="1211"/>
      <c r="H49" s="1211"/>
      <c r="I49" s="1211"/>
      <c r="J49" s="1211"/>
      <c r="K49" s="1211"/>
      <c r="L49" s="1211"/>
      <c r="M49" s="1212"/>
      <c r="N49" s="38"/>
      <c r="O49" s="39"/>
      <c r="P49" s="39"/>
      <c r="Q49" s="39"/>
      <c r="R49" s="47"/>
    </row>
    <row r="50" spans="1:18" s="31" customFormat="1" ht="16" x14ac:dyDescent="0.2">
      <c r="A50" s="305" t="s">
        <v>192</v>
      </c>
      <c r="B50" s="31" t="s">
        <v>198</v>
      </c>
      <c r="C50" s="33" t="s">
        <v>199</v>
      </c>
      <c r="D50" s="33"/>
      <c r="E50" s="33"/>
      <c r="F50" s="33"/>
      <c r="G50" s="312"/>
      <c r="H50" s="312"/>
      <c r="I50" s="312"/>
      <c r="J50" s="312"/>
      <c r="K50" s="312"/>
      <c r="L50" s="312" t="s">
        <v>193</v>
      </c>
      <c r="M50" s="32" t="s">
        <v>12</v>
      </c>
      <c r="N50" s="33"/>
      <c r="O50" s="34"/>
      <c r="P50" s="34"/>
      <c r="Q50" s="34"/>
    </row>
    <row r="51" spans="1:18" x14ac:dyDescent="0.2">
      <c r="A51" s="309">
        <v>41289</v>
      </c>
      <c r="B51" s="48">
        <v>3000</v>
      </c>
      <c r="C51" s="48">
        <v>3000</v>
      </c>
      <c r="D51" s="48"/>
      <c r="E51" s="48"/>
      <c r="F51" s="48"/>
      <c r="G51" s="314"/>
      <c r="H51" s="314"/>
      <c r="I51" s="314"/>
      <c r="J51" s="314"/>
      <c r="K51" s="314"/>
      <c r="L51" s="35">
        <v>3000</v>
      </c>
      <c r="M51" s="49" t="s">
        <v>202</v>
      </c>
    </row>
    <row r="52" spans="1:18" x14ac:dyDescent="0.2">
      <c r="A52" s="304">
        <v>41379</v>
      </c>
      <c r="B52" s="26">
        <v>3000</v>
      </c>
      <c r="C52" s="26">
        <v>3000</v>
      </c>
      <c r="L52" s="35">
        <v>3000</v>
      </c>
      <c r="M52" s="3"/>
    </row>
    <row r="53" spans="1:18" x14ac:dyDescent="0.2">
      <c r="A53" s="304">
        <v>41470</v>
      </c>
      <c r="B53" s="26">
        <v>3000</v>
      </c>
      <c r="C53" s="26">
        <v>3000</v>
      </c>
      <c r="L53" s="35">
        <v>3000</v>
      </c>
      <c r="M53" s="3"/>
    </row>
    <row r="54" spans="1:18" x14ac:dyDescent="0.2">
      <c r="A54" s="304">
        <v>41562</v>
      </c>
      <c r="B54" s="26">
        <v>3000</v>
      </c>
      <c r="C54" s="26">
        <v>3000</v>
      </c>
      <c r="L54" s="35">
        <v>3000</v>
      </c>
      <c r="M54" s="3"/>
    </row>
    <row r="55" spans="1:18" x14ac:dyDescent="0.2">
      <c r="A55" s="304"/>
      <c r="B55" s="26">
        <f>SUM(B51:B54)</f>
        <v>12000</v>
      </c>
      <c r="C55" s="26">
        <f>SUM(C51:C54)</f>
        <v>12000</v>
      </c>
      <c r="M55" s="3"/>
    </row>
    <row r="56" spans="1:18" x14ac:dyDescent="0.2">
      <c r="A56" s="304"/>
      <c r="M56" s="3"/>
    </row>
    <row r="57" spans="1:18" s="40" customFormat="1" ht="23" x14ac:dyDescent="0.25">
      <c r="A57" s="1210" t="s">
        <v>203</v>
      </c>
      <c r="B57" s="1211"/>
      <c r="C57" s="1211"/>
      <c r="D57" s="1211"/>
      <c r="E57" s="1211"/>
      <c r="F57" s="1211"/>
      <c r="G57" s="1211"/>
      <c r="H57" s="1211"/>
      <c r="I57" s="1211"/>
      <c r="J57" s="1211"/>
      <c r="K57" s="1211"/>
      <c r="L57" s="1211"/>
      <c r="M57" s="1212"/>
      <c r="N57" s="38"/>
      <c r="O57" s="39"/>
      <c r="P57" s="39"/>
      <c r="Q57" s="39"/>
    </row>
    <row r="58" spans="1:18" s="31" customFormat="1" ht="16" x14ac:dyDescent="0.2">
      <c r="A58" s="305" t="s">
        <v>192</v>
      </c>
      <c r="B58" s="31" t="s">
        <v>198</v>
      </c>
      <c r="C58" s="33" t="s">
        <v>199</v>
      </c>
      <c r="D58" s="33"/>
      <c r="E58" s="33"/>
      <c r="F58" s="33"/>
      <c r="G58" s="312"/>
      <c r="H58" s="312"/>
      <c r="I58" s="312"/>
      <c r="J58" s="312"/>
      <c r="K58" s="312"/>
      <c r="L58" s="312" t="s">
        <v>193</v>
      </c>
      <c r="M58" s="32" t="s">
        <v>12</v>
      </c>
      <c r="N58" s="33"/>
      <c r="O58" s="34"/>
      <c r="P58" s="34"/>
      <c r="Q58" s="34"/>
    </row>
    <row r="59" spans="1:18" x14ac:dyDescent="0.2">
      <c r="A59" s="304">
        <v>40754</v>
      </c>
      <c r="B59" s="26">
        <v>26666.66</v>
      </c>
      <c r="M59" s="3"/>
    </row>
    <row r="60" spans="1:18" x14ac:dyDescent="0.2">
      <c r="A60" s="304">
        <v>40801</v>
      </c>
      <c r="B60" s="26">
        <v>26667</v>
      </c>
      <c r="M60" s="3"/>
    </row>
    <row r="61" spans="1:18" x14ac:dyDescent="0.2">
      <c r="A61" s="304">
        <v>40846</v>
      </c>
      <c r="B61" s="26">
        <v>26667</v>
      </c>
      <c r="M61" s="3"/>
    </row>
    <row r="62" spans="1:18" x14ac:dyDescent="0.2">
      <c r="A62" s="304"/>
      <c r="M62" s="3"/>
    </row>
    <row r="63" spans="1:18" s="40" customFormat="1" ht="23" x14ac:dyDescent="0.25">
      <c r="A63" s="1210" t="s">
        <v>204</v>
      </c>
      <c r="B63" s="1211"/>
      <c r="C63" s="1211"/>
      <c r="D63" s="1211"/>
      <c r="E63" s="1211"/>
      <c r="F63" s="1211"/>
      <c r="G63" s="1211"/>
      <c r="H63" s="1211"/>
      <c r="I63" s="1211"/>
      <c r="J63" s="1211"/>
      <c r="K63" s="1211"/>
      <c r="L63" s="1211"/>
      <c r="M63" s="1212"/>
      <c r="N63" s="38"/>
      <c r="O63" s="39"/>
      <c r="P63" s="39"/>
      <c r="Q63" s="39"/>
    </row>
    <row r="64" spans="1:18" s="31" customFormat="1" ht="16" x14ac:dyDescent="0.2">
      <c r="A64" s="305" t="s">
        <v>192</v>
      </c>
      <c r="B64" s="31">
        <v>2014</v>
      </c>
      <c r="C64" s="31">
        <v>2015</v>
      </c>
      <c r="D64" s="31">
        <v>2016</v>
      </c>
      <c r="E64" s="31">
        <v>2017</v>
      </c>
      <c r="F64" s="31">
        <v>2018</v>
      </c>
      <c r="G64" s="31">
        <v>2019</v>
      </c>
      <c r="H64" s="31">
        <v>2020</v>
      </c>
      <c r="I64" s="31">
        <v>2021</v>
      </c>
      <c r="J64" s="31">
        <v>2022</v>
      </c>
      <c r="L64" s="312" t="s">
        <v>193</v>
      </c>
      <c r="M64" s="32" t="s">
        <v>12</v>
      </c>
      <c r="N64" s="33"/>
      <c r="O64" s="34"/>
      <c r="P64" s="34"/>
      <c r="Q64" s="34"/>
    </row>
    <row r="65" spans="1:17" x14ac:dyDescent="0.2">
      <c r="A65" s="304">
        <v>41480</v>
      </c>
      <c r="B65" s="35">
        <v>8750</v>
      </c>
      <c r="C65" s="35">
        <v>9000</v>
      </c>
      <c r="D65" s="35">
        <v>8750</v>
      </c>
      <c r="E65" s="35">
        <v>10000</v>
      </c>
      <c r="F65" s="35">
        <v>10250</v>
      </c>
      <c r="G65" s="35">
        <v>10500</v>
      </c>
      <c r="H65" s="35">
        <v>10750</v>
      </c>
      <c r="I65" s="35">
        <v>11000</v>
      </c>
      <c r="J65" s="35">
        <v>11250</v>
      </c>
      <c r="M65" s="3"/>
    </row>
    <row r="66" spans="1:17" x14ac:dyDescent="0.2">
      <c r="A66" s="304">
        <v>41511</v>
      </c>
      <c r="B66" s="35">
        <v>8750</v>
      </c>
      <c r="C66" s="35">
        <v>9000</v>
      </c>
      <c r="D66" s="35">
        <v>8750</v>
      </c>
      <c r="E66" s="35">
        <v>10000</v>
      </c>
      <c r="F66" s="35">
        <v>10250</v>
      </c>
      <c r="G66" s="35">
        <v>10500</v>
      </c>
      <c r="H66" s="35">
        <v>10750</v>
      </c>
      <c r="I66" s="35">
        <v>11000</v>
      </c>
      <c r="J66" s="35">
        <v>11250</v>
      </c>
      <c r="M66" s="3"/>
    </row>
    <row r="67" spans="1:17" x14ac:dyDescent="0.2">
      <c r="A67" s="304">
        <v>41542</v>
      </c>
      <c r="B67" s="35">
        <v>8750</v>
      </c>
      <c r="C67" s="35">
        <v>9000</v>
      </c>
      <c r="D67" s="35">
        <v>8750</v>
      </c>
      <c r="E67" s="35">
        <v>10000</v>
      </c>
      <c r="F67" s="35">
        <v>10250</v>
      </c>
      <c r="G67" s="35">
        <v>10500</v>
      </c>
      <c r="H67" s="35">
        <v>10750</v>
      </c>
      <c r="I67" s="35">
        <v>11000</v>
      </c>
      <c r="J67" s="35">
        <v>11250</v>
      </c>
      <c r="L67" s="35">
        <f>SUM(E65:E67)</f>
        <v>30000</v>
      </c>
      <c r="M67" s="3"/>
    </row>
    <row r="68" spans="1:17" x14ac:dyDescent="0.2">
      <c r="A68" s="304">
        <v>41572</v>
      </c>
      <c r="B68" s="35">
        <v>8750</v>
      </c>
      <c r="C68" s="35">
        <v>9000</v>
      </c>
      <c r="D68" s="35">
        <v>8750</v>
      </c>
      <c r="E68" s="35">
        <v>10000</v>
      </c>
      <c r="F68" s="35">
        <v>10250</v>
      </c>
      <c r="G68" s="35">
        <v>10500</v>
      </c>
      <c r="H68" s="35">
        <v>10750</v>
      </c>
      <c r="I68" s="35">
        <v>11000</v>
      </c>
      <c r="J68" s="35">
        <v>11250</v>
      </c>
      <c r="L68" s="35">
        <f>SUM(E68)</f>
        <v>10000</v>
      </c>
      <c r="M68" s="42"/>
      <c r="N68" s="50">
        <v>33000</v>
      </c>
    </row>
    <row r="69" spans="1:17" x14ac:dyDescent="0.2">
      <c r="A69" s="304"/>
      <c r="B69" s="35">
        <f t="shared" ref="B69:G69" si="4">SUM(B65:B68)</f>
        <v>35000</v>
      </c>
      <c r="C69" s="35">
        <f t="shared" si="4"/>
        <v>36000</v>
      </c>
      <c r="D69" s="35">
        <f t="shared" si="4"/>
        <v>35000</v>
      </c>
      <c r="E69" s="35">
        <f t="shared" si="4"/>
        <v>40000</v>
      </c>
      <c r="F69" s="35">
        <f t="shared" si="4"/>
        <v>41000</v>
      </c>
      <c r="G69" s="35">
        <f t="shared" si="4"/>
        <v>42000</v>
      </c>
      <c r="H69" s="35">
        <f>SUM(H65:H68)</f>
        <v>43000</v>
      </c>
      <c r="I69" s="35">
        <f>SUM(I65:I68)</f>
        <v>44000</v>
      </c>
      <c r="J69" s="35">
        <f>SUM(J65:J68)</f>
        <v>45000</v>
      </c>
      <c r="L69" s="35">
        <f>SUM(L67:L68)</f>
        <v>40000</v>
      </c>
      <c r="M69" s="42"/>
    </row>
    <row r="70" spans="1:17" x14ac:dyDescent="0.2">
      <c r="A70" s="304"/>
      <c r="D70" s="26">
        <v>2500</v>
      </c>
      <c r="M70" s="42"/>
    </row>
    <row r="71" spans="1:17" x14ac:dyDescent="0.2">
      <c r="A71" s="304"/>
      <c r="M71" s="42"/>
    </row>
    <row r="72" spans="1:17" ht="23" x14ac:dyDescent="0.25">
      <c r="A72" s="1210" t="s">
        <v>205</v>
      </c>
      <c r="B72" s="1211"/>
      <c r="C72" s="1211"/>
      <c r="D72" s="1211"/>
      <c r="E72" s="1211"/>
      <c r="F72" s="1211"/>
      <c r="G72" s="1211"/>
      <c r="H72" s="1211"/>
      <c r="I72" s="1211"/>
      <c r="J72" s="1211"/>
      <c r="K72" s="1211"/>
      <c r="L72" s="1211"/>
      <c r="M72" s="1212"/>
    </row>
    <row r="73" spans="1:17" s="31" customFormat="1" ht="16" x14ac:dyDescent="0.2">
      <c r="A73" s="305" t="s">
        <v>192</v>
      </c>
      <c r="D73" s="31">
        <v>2016</v>
      </c>
      <c r="E73" s="31">
        <v>2017</v>
      </c>
      <c r="F73" s="31">
        <v>2018</v>
      </c>
      <c r="G73" s="312">
        <v>2019</v>
      </c>
      <c r="H73" s="31">
        <v>2020</v>
      </c>
      <c r="I73" s="31">
        <v>2021</v>
      </c>
      <c r="J73" s="31">
        <v>2022</v>
      </c>
      <c r="L73" s="312" t="s">
        <v>193</v>
      </c>
      <c r="M73" s="32" t="s">
        <v>12</v>
      </c>
      <c r="N73" s="33"/>
      <c r="O73" s="34"/>
      <c r="P73" s="34"/>
      <c r="Q73" s="34"/>
    </row>
    <row r="74" spans="1:17" x14ac:dyDescent="0.2">
      <c r="A74" s="304">
        <v>42941</v>
      </c>
      <c r="D74" s="35"/>
      <c r="E74" s="35">
        <v>8750</v>
      </c>
      <c r="F74" s="35">
        <v>9000</v>
      </c>
      <c r="G74" s="35">
        <v>9250</v>
      </c>
      <c r="H74" s="35">
        <v>9500</v>
      </c>
      <c r="I74" s="35">
        <v>9750</v>
      </c>
      <c r="M74" s="36" t="s">
        <v>206</v>
      </c>
    </row>
    <row r="75" spans="1:17" x14ac:dyDescent="0.2">
      <c r="A75" s="304">
        <v>42972</v>
      </c>
      <c r="D75" s="35"/>
      <c r="E75" s="35">
        <v>8750</v>
      </c>
      <c r="F75" s="35">
        <v>9000</v>
      </c>
      <c r="G75" s="35">
        <v>9250</v>
      </c>
      <c r="H75" s="35">
        <v>9500</v>
      </c>
      <c r="I75" s="35">
        <v>9750</v>
      </c>
      <c r="M75" s="3"/>
    </row>
    <row r="76" spans="1:17" x14ac:dyDescent="0.2">
      <c r="A76" s="304">
        <v>43003</v>
      </c>
      <c r="D76" s="35"/>
      <c r="E76" s="35">
        <v>8750</v>
      </c>
      <c r="F76" s="35">
        <v>9000</v>
      </c>
      <c r="G76" s="35">
        <v>9250</v>
      </c>
      <c r="H76" s="35">
        <v>9500</v>
      </c>
      <c r="I76" s="35">
        <v>9750</v>
      </c>
      <c r="L76" s="35">
        <f>SUM(E74:E76)</f>
        <v>26250</v>
      </c>
      <c r="M76" s="51"/>
    </row>
    <row r="77" spans="1:17" x14ac:dyDescent="0.2">
      <c r="A77" s="304">
        <v>43033</v>
      </c>
      <c r="D77" s="35"/>
      <c r="E77" s="35">
        <v>8750</v>
      </c>
      <c r="F77" s="35">
        <v>9000</v>
      </c>
      <c r="G77" s="35">
        <v>9250</v>
      </c>
      <c r="H77" s="35">
        <v>9500</v>
      </c>
      <c r="I77" s="35">
        <v>9750</v>
      </c>
      <c r="L77" s="35">
        <f>E77</f>
        <v>8750</v>
      </c>
      <c r="M77" s="3"/>
    </row>
    <row r="78" spans="1:17" x14ac:dyDescent="0.2">
      <c r="A78" s="304">
        <v>41487</v>
      </c>
      <c r="D78" s="35"/>
      <c r="E78" s="35">
        <f>N80*0.16</f>
        <v>0</v>
      </c>
      <c r="F78" s="35"/>
      <c r="M78" s="3"/>
    </row>
    <row r="79" spans="1:17" x14ac:dyDescent="0.2">
      <c r="A79" s="304">
        <v>41518</v>
      </c>
      <c r="D79" s="35"/>
      <c r="E79" s="35">
        <f>N80*0.16</f>
        <v>0</v>
      </c>
      <c r="F79" s="35"/>
      <c r="M79" s="51"/>
    </row>
    <row r="80" spans="1:17" x14ac:dyDescent="0.2">
      <c r="A80" s="304">
        <v>41548</v>
      </c>
      <c r="D80" s="35"/>
      <c r="E80" s="35">
        <f>N80*0.1</f>
        <v>0</v>
      </c>
      <c r="F80" s="35"/>
      <c r="M80" s="52">
        <f>SUM(D74:D80)</f>
        <v>0</v>
      </c>
      <c r="N80" s="50">
        <f>M80*1.045</f>
        <v>0</v>
      </c>
    </row>
    <row r="81" spans="1:17" x14ac:dyDescent="0.2">
      <c r="A81" s="304"/>
      <c r="D81" s="35">
        <v>25000</v>
      </c>
      <c r="E81" s="35">
        <f>SUM(E74:E80)</f>
        <v>35000</v>
      </c>
      <c r="F81" s="35">
        <f>SUM(F74:F80)</f>
        <v>36000</v>
      </c>
      <c r="G81" s="35">
        <f>SUM(G74:G80)</f>
        <v>37000</v>
      </c>
      <c r="H81" s="35">
        <f>SUM(H74:H80)</f>
        <v>38000</v>
      </c>
      <c r="I81" s="35">
        <f>SUM(I74:I80)</f>
        <v>39000</v>
      </c>
      <c r="M81" s="51"/>
    </row>
    <row r="82" spans="1:17" x14ac:dyDescent="0.2">
      <c r="A82" s="304"/>
      <c r="D82" s="26" t="s">
        <v>291</v>
      </c>
      <c r="M82" s="51"/>
    </row>
    <row r="83" spans="1:17" x14ac:dyDescent="0.2">
      <c r="A83" s="304"/>
      <c r="M83" s="51"/>
    </row>
    <row r="84" spans="1:17" ht="23" x14ac:dyDescent="0.25">
      <c r="A84" s="1213" t="s">
        <v>207</v>
      </c>
      <c r="B84" s="1214"/>
      <c r="C84" s="1214"/>
      <c r="D84" s="1214"/>
      <c r="E84" s="1214"/>
      <c r="F84" s="1214"/>
      <c r="G84" s="1214"/>
      <c r="H84" s="1214"/>
      <c r="I84" s="1214"/>
      <c r="J84" s="1214"/>
      <c r="K84" s="1214"/>
      <c r="L84" s="1214"/>
      <c r="M84" s="1215"/>
    </row>
    <row r="85" spans="1:17" s="31" customFormat="1" ht="16" x14ac:dyDescent="0.2">
      <c r="A85" s="305" t="s">
        <v>192</v>
      </c>
      <c r="B85" s="31">
        <v>2014</v>
      </c>
      <c r="C85" s="31">
        <v>2015</v>
      </c>
      <c r="D85" s="31">
        <v>2016</v>
      </c>
      <c r="E85" s="31">
        <v>2017</v>
      </c>
      <c r="F85" s="31">
        <v>2018</v>
      </c>
      <c r="G85" s="31">
        <v>2019</v>
      </c>
      <c r="H85" s="31">
        <v>2020</v>
      </c>
      <c r="I85" s="31">
        <v>2021</v>
      </c>
      <c r="J85" s="31">
        <v>2022</v>
      </c>
      <c r="L85" s="312" t="s">
        <v>193</v>
      </c>
      <c r="M85" s="32" t="s">
        <v>12</v>
      </c>
      <c r="N85" s="33"/>
      <c r="O85" s="34"/>
      <c r="P85" s="34"/>
      <c r="Q85" s="34"/>
    </row>
    <row r="86" spans="1:17" s="53" customFormat="1" ht="13" x14ac:dyDescent="0.15">
      <c r="A86" s="310"/>
      <c r="D86" s="54"/>
      <c r="E86" s="54"/>
      <c r="F86" s="54"/>
      <c r="G86" s="315"/>
      <c r="H86" s="315"/>
      <c r="I86" s="315"/>
      <c r="J86" s="315"/>
      <c r="K86" s="315"/>
      <c r="L86" s="315" t="s">
        <v>208</v>
      </c>
      <c r="M86" s="55" t="s">
        <v>12</v>
      </c>
      <c r="N86" s="54"/>
      <c r="O86" s="56"/>
      <c r="P86" s="56"/>
      <c r="Q86" s="56"/>
    </row>
    <row r="87" spans="1:17" x14ac:dyDescent="0.2">
      <c r="A87" s="304">
        <v>43739</v>
      </c>
      <c r="B87" s="26">
        <v>3828.3</v>
      </c>
      <c r="C87" s="26">
        <f t="shared" ref="C87:E88" si="5">B87*1.05</f>
        <v>4019.7150000000001</v>
      </c>
      <c r="D87" s="26">
        <f t="shared" si="5"/>
        <v>4220.70075</v>
      </c>
      <c r="E87" s="26">
        <f t="shared" si="5"/>
        <v>4431.7357874999998</v>
      </c>
      <c r="F87" s="26">
        <v>4653.33</v>
      </c>
      <c r="G87" s="35">
        <v>4886</v>
      </c>
      <c r="H87" s="35">
        <f t="shared" ref="H87:J89" si="6">G87*1.05</f>
        <v>5130.3</v>
      </c>
      <c r="I87" s="35">
        <f t="shared" si="6"/>
        <v>5386.8150000000005</v>
      </c>
      <c r="J87" s="35">
        <f t="shared" si="6"/>
        <v>5656.1557500000008</v>
      </c>
      <c r="M87" s="3" t="s">
        <v>209</v>
      </c>
    </row>
    <row r="88" spans="1:17" x14ac:dyDescent="0.2">
      <c r="A88" s="304">
        <v>43739</v>
      </c>
      <c r="B88" s="1026">
        <v>2552.5500000000002</v>
      </c>
      <c r="C88" s="1026">
        <f t="shared" si="5"/>
        <v>2680.1775000000002</v>
      </c>
      <c r="D88" s="1026">
        <f t="shared" si="5"/>
        <v>2814.1863750000002</v>
      </c>
      <c r="E88" s="1026">
        <f t="shared" si="5"/>
        <v>2954.8956937500002</v>
      </c>
      <c r="F88" s="1026">
        <v>3102.65</v>
      </c>
      <c r="G88" s="1024">
        <v>3257.78</v>
      </c>
      <c r="H88" s="1024">
        <f t="shared" si="6"/>
        <v>3420.6690000000003</v>
      </c>
      <c r="I88" s="1024">
        <f t="shared" si="6"/>
        <v>3591.7024500000007</v>
      </c>
      <c r="J88" s="1024">
        <f t="shared" si="6"/>
        <v>3771.2875725000008</v>
      </c>
      <c r="K88" s="1024"/>
      <c r="M88" s="3" t="s">
        <v>215</v>
      </c>
    </row>
    <row r="89" spans="1:17" ht="16" thickBot="1" x14ac:dyDescent="0.25">
      <c r="A89" s="307"/>
      <c r="B89" s="43">
        <f t="shared" ref="B89:G89" si="7">SUM(B87:B88)</f>
        <v>6380.85</v>
      </c>
      <c r="C89" s="43">
        <f t="shared" si="7"/>
        <v>6699.8924999999999</v>
      </c>
      <c r="D89" s="43">
        <f t="shared" si="7"/>
        <v>7034.8871250000002</v>
      </c>
      <c r="E89" s="43">
        <f t="shared" si="7"/>
        <v>7386.6314812500004</v>
      </c>
      <c r="F89" s="43">
        <f t="shared" si="7"/>
        <v>7755.98</v>
      </c>
      <c r="G89" s="313">
        <f t="shared" si="7"/>
        <v>8143.7800000000007</v>
      </c>
      <c r="H89" s="313">
        <f t="shared" si="6"/>
        <v>8550.969000000001</v>
      </c>
      <c r="I89" s="313">
        <f t="shared" si="6"/>
        <v>8978.5174500000012</v>
      </c>
      <c r="J89" s="313">
        <f t="shared" si="6"/>
        <v>9427.4433225000012</v>
      </c>
      <c r="K89" s="313">
        <v>9993</v>
      </c>
      <c r="L89" s="1025"/>
      <c r="M89" s="22"/>
    </row>
    <row r="90" spans="1:17" x14ac:dyDescent="0.2">
      <c r="H90" s="35">
        <f>G90*1.05</f>
        <v>0</v>
      </c>
    </row>
    <row r="92" spans="1:17" ht="23" x14ac:dyDescent="0.25">
      <c r="A92" s="1211" t="s">
        <v>210</v>
      </c>
      <c r="B92" s="1211"/>
      <c r="C92" s="1211"/>
      <c r="D92" s="1211"/>
      <c r="E92" s="1211"/>
      <c r="F92" s="1211"/>
      <c r="G92" s="1211"/>
      <c r="H92" s="1211"/>
      <c r="I92" s="1211"/>
      <c r="J92" s="1211"/>
      <c r="K92" s="1211"/>
      <c r="L92" s="1211"/>
      <c r="M92" s="1211"/>
    </row>
    <row r="93" spans="1:17" s="31" customFormat="1" ht="16" x14ac:dyDescent="0.2">
      <c r="A93" s="311" t="s">
        <v>192</v>
      </c>
      <c r="B93" s="31" t="s">
        <v>198</v>
      </c>
      <c r="C93" s="33" t="s">
        <v>199</v>
      </c>
      <c r="D93" s="33"/>
      <c r="E93" s="33"/>
      <c r="F93" s="31">
        <v>2018</v>
      </c>
      <c r="G93" s="312"/>
      <c r="H93" s="312"/>
      <c r="I93" s="312"/>
      <c r="J93" s="312"/>
      <c r="K93" s="312"/>
      <c r="L93" s="312" t="s">
        <v>193</v>
      </c>
      <c r="M93" s="33" t="s">
        <v>12</v>
      </c>
      <c r="N93" s="33"/>
      <c r="O93" s="34"/>
      <c r="P93" s="34"/>
      <c r="Q93" s="34"/>
    </row>
    <row r="94" spans="1:17" x14ac:dyDescent="0.2">
      <c r="A94" s="308">
        <v>41609</v>
      </c>
      <c r="C94" s="26">
        <v>1200</v>
      </c>
      <c r="L94" s="35" t="s">
        <v>121</v>
      </c>
      <c r="M94" s="58" t="s">
        <v>211</v>
      </c>
    </row>
    <row r="95" spans="1:17" x14ac:dyDescent="0.2">
      <c r="A95" s="308">
        <v>41623</v>
      </c>
      <c r="C95" s="26">
        <v>1200</v>
      </c>
      <c r="L95" s="35" t="s">
        <v>121</v>
      </c>
      <c r="M95" t="s">
        <v>212</v>
      </c>
    </row>
    <row r="96" spans="1:17" x14ac:dyDescent="0.2">
      <c r="A96" s="308">
        <v>41638</v>
      </c>
      <c r="C96" s="26">
        <v>1200</v>
      </c>
      <c r="L96" s="35">
        <f>SUM(C94:C96)</f>
        <v>3600</v>
      </c>
      <c r="M96" t="s">
        <v>213</v>
      </c>
    </row>
    <row r="97" spans="1:13" x14ac:dyDescent="0.2">
      <c r="A97" s="308">
        <v>41281</v>
      </c>
      <c r="C97" s="26">
        <v>1133</v>
      </c>
      <c r="F97" s="26">
        <v>1388.89</v>
      </c>
      <c r="M97" t="s">
        <v>214</v>
      </c>
    </row>
    <row r="98" spans="1:13" x14ac:dyDescent="0.2">
      <c r="A98" s="308">
        <v>41289</v>
      </c>
      <c r="C98" s="26">
        <v>1133</v>
      </c>
      <c r="F98" s="26">
        <v>1388.89</v>
      </c>
    </row>
    <row r="99" spans="1:13" x14ac:dyDescent="0.2">
      <c r="A99" s="308">
        <v>36922</v>
      </c>
      <c r="C99" s="26">
        <v>1133</v>
      </c>
      <c r="F99" s="26">
        <v>1388.89</v>
      </c>
    </row>
    <row r="100" spans="1:13" x14ac:dyDescent="0.2">
      <c r="A100" s="308">
        <v>41320</v>
      </c>
      <c r="C100" s="26">
        <v>1133</v>
      </c>
      <c r="F100" s="26">
        <v>1388.89</v>
      </c>
    </row>
    <row r="101" spans="1:13" x14ac:dyDescent="0.2">
      <c r="A101" s="308">
        <v>41348</v>
      </c>
      <c r="C101" s="26">
        <v>1133</v>
      </c>
      <c r="F101" s="26">
        <v>1388.89</v>
      </c>
      <c r="L101" s="35">
        <f>SUM(C97:C101)</f>
        <v>5665</v>
      </c>
    </row>
    <row r="102" spans="1:13" x14ac:dyDescent="0.2">
      <c r="A102" s="308">
        <v>41379</v>
      </c>
      <c r="C102" s="26">
        <v>1133</v>
      </c>
      <c r="F102" s="26">
        <v>1388.89</v>
      </c>
      <c r="L102" s="35">
        <v>1133</v>
      </c>
    </row>
    <row r="103" spans="1:13" x14ac:dyDescent="0.2">
      <c r="C103" s="26">
        <f>SUM(C94:C102)</f>
        <v>10398</v>
      </c>
      <c r="F103" s="26">
        <f>SUM(F97:F102)</f>
        <v>8333.34</v>
      </c>
      <c r="L103" s="35">
        <f>SUM(L96:L102)</f>
        <v>10398</v>
      </c>
    </row>
  </sheetData>
  <mergeCells count="11">
    <mergeCell ref="A49:M49"/>
    <mergeCell ref="A1:M2"/>
    <mergeCell ref="A3:M3"/>
    <mergeCell ref="A19:M19"/>
    <mergeCell ref="A36:M37"/>
    <mergeCell ref="A38:M38"/>
    <mergeCell ref="A57:M57"/>
    <mergeCell ref="A63:M63"/>
    <mergeCell ref="A72:M72"/>
    <mergeCell ref="A84:M84"/>
    <mergeCell ref="A92:M9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2:O88"/>
  <sheetViews>
    <sheetView zoomScale="130" zoomScaleNormal="130" workbookViewId="0">
      <pane xSplit="2" ySplit="3" topLeftCell="C36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2.83203125" customWidth="1"/>
    <col min="2" max="2" width="34" customWidth="1"/>
    <col min="3" max="4" width="13.6640625" customWidth="1"/>
    <col min="5" max="5" width="1.83203125" customWidth="1"/>
    <col min="6" max="7" width="13.6640625" customWidth="1"/>
    <col min="8" max="8" width="1.83203125" customWidth="1"/>
    <col min="9" max="10" width="13.6640625" customWidth="1"/>
    <col min="11" max="11" width="1.83203125" customWidth="1"/>
    <col min="12" max="13" width="13.6640625" customWidth="1"/>
    <col min="14" max="14" width="4.1640625" customWidth="1"/>
  </cols>
  <sheetData>
    <row r="2" spans="2:13" ht="21" x14ac:dyDescent="0.25">
      <c r="B2" s="1065" t="s">
        <v>95</v>
      </c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1065"/>
    </row>
    <row r="3" spans="2:13" ht="19" x14ac:dyDescent="0.25">
      <c r="B3" s="744"/>
      <c r="C3" s="743" t="s">
        <v>690</v>
      </c>
      <c r="D3" s="743" t="s">
        <v>696</v>
      </c>
      <c r="E3" s="743"/>
      <c r="F3" s="743" t="s">
        <v>1188</v>
      </c>
      <c r="G3" s="743" t="s">
        <v>689</v>
      </c>
      <c r="H3" s="743"/>
      <c r="I3" s="743" t="s">
        <v>1413</v>
      </c>
      <c r="J3" s="743" t="s">
        <v>1197</v>
      </c>
      <c r="K3" s="743"/>
      <c r="L3" s="743" t="s">
        <v>1415</v>
      </c>
      <c r="M3" s="743" t="s">
        <v>1414</v>
      </c>
    </row>
    <row r="4" spans="2:13" ht="19" x14ac:dyDescent="0.25">
      <c r="B4" s="722" t="s">
        <v>331</v>
      </c>
      <c r="C4" s="746"/>
      <c r="D4" s="746"/>
      <c r="E4" s="746"/>
      <c r="F4" s="746"/>
      <c r="G4" s="747"/>
      <c r="H4" s="747"/>
      <c r="I4" s="747"/>
      <c r="J4" s="568"/>
      <c r="K4" s="568"/>
      <c r="L4" s="747"/>
      <c r="M4" s="568"/>
    </row>
    <row r="5" spans="2:13" ht="16" x14ac:dyDescent="0.2">
      <c r="B5" s="750" t="s">
        <v>595</v>
      </c>
      <c r="C5" s="748"/>
      <c r="D5" s="748"/>
      <c r="E5" s="748"/>
      <c r="F5" s="748"/>
      <c r="G5" s="735"/>
      <c r="H5" s="735"/>
      <c r="I5" s="735"/>
      <c r="J5" s="732"/>
      <c r="K5" s="732"/>
      <c r="L5" s="735"/>
      <c r="M5" s="732"/>
    </row>
    <row r="6" spans="2:13" x14ac:dyDescent="0.2">
      <c r="B6" s="723" t="s">
        <v>596</v>
      </c>
      <c r="C6" s="724">
        <v>42948</v>
      </c>
      <c r="D6" s="724">
        <v>36575</v>
      </c>
      <c r="E6" s="724"/>
      <c r="F6" s="724">
        <v>63242</v>
      </c>
      <c r="G6" s="724">
        <v>57245</v>
      </c>
      <c r="H6" s="724"/>
      <c r="I6" s="724">
        <f>77110+22700</f>
        <v>99810</v>
      </c>
      <c r="J6" s="588">
        <v>79400</v>
      </c>
      <c r="K6" s="588"/>
      <c r="L6" s="724"/>
      <c r="M6" s="725">
        <v>82856</v>
      </c>
    </row>
    <row r="7" spans="2:13" x14ac:dyDescent="0.2">
      <c r="B7" s="723" t="s">
        <v>597</v>
      </c>
      <c r="C7" s="724">
        <v>24655</v>
      </c>
      <c r="D7" s="724">
        <v>19690</v>
      </c>
      <c r="E7" s="724"/>
      <c r="F7" s="724">
        <v>25611</v>
      </c>
      <c r="G7" s="724">
        <v>26937</v>
      </c>
      <c r="H7" s="724"/>
      <c r="I7" s="726">
        <f>47580+3520</f>
        <v>51100</v>
      </c>
      <c r="J7" s="588">
        <v>42460</v>
      </c>
      <c r="K7" s="588"/>
      <c r="L7" s="724"/>
      <c r="M7" s="725">
        <v>44252</v>
      </c>
    </row>
    <row r="8" spans="2:13" x14ac:dyDescent="0.2">
      <c r="B8" s="723" t="s">
        <v>598</v>
      </c>
      <c r="C8" s="724">
        <v>43426</v>
      </c>
      <c r="D8" s="724">
        <v>64235</v>
      </c>
      <c r="E8" s="724"/>
      <c r="F8" s="724">
        <v>43476</v>
      </c>
      <c r="G8" s="724">
        <v>74898</v>
      </c>
      <c r="H8" s="724"/>
      <c r="I8" s="724">
        <v>66120</v>
      </c>
      <c r="J8" s="588">
        <v>66120</v>
      </c>
      <c r="K8" s="588"/>
      <c r="L8" s="724"/>
      <c r="M8" s="725">
        <v>69776</v>
      </c>
    </row>
    <row r="9" spans="2:13" x14ac:dyDescent="0.2">
      <c r="B9" s="723" t="s">
        <v>599</v>
      </c>
      <c r="C9" s="724">
        <v>20799</v>
      </c>
      <c r="D9" s="724">
        <v>23767</v>
      </c>
      <c r="E9" s="724"/>
      <c r="F9" s="724">
        <v>18592</v>
      </c>
      <c r="G9" s="724">
        <v>14173</v>
      </c>
      <c r="H9" s="724"/>
      <c r="I9" s="724">
        <v>17240</v>
      </c>
      <c r="J9" s="588">
        <v>11680</v>
      </c>
      <c r="K9" s="588"/>
      <c r="L9" s="724"/>
      <c r="M9" s="725">
        <v>13776</v>
      </c>
    </row>
    <row r="10" spans="2:13" x14ac:dyDescent="0.2">
      <c r="B10" s="723" t="s">
        <v>1400</v>
      </c>
      <c r="C10" s="724">
        <v>21054</v>
      </c>
      <c r="D10" s="724">
        <v>25000</v>
      </c>
      <c r="E10" s="724"/>
      <c r="F10" s="724">
        <v>50814</v>
      </c>
      <c r="G10" s="724">
        <v>7018</v>
      </c>
      <c r="H10" s="724"/>
      <c r="I10" s="724">
        <v>28623.1</v>
      </c>
      <c r="J10" s="588">
        <v>25000</v>
      </c>
      <c r="K10" s="588"/>
      <c r="L10" s="724"/>
      <c r="M10" s="588">
        <v>30000</v>
      </c>
    </row>
    <row r="11" spans="2:13" x14ac:dyDescent="0.2">
      <c r="B11" s="1007" t="s">
        <v>1330</v>
      </c>
      <c r="C11" s="727"/>
      <c r="D11" s="727"/>
      <c r="E11" s="727"/>
      <c r="F11" s="727"/>
      <c r="G11" s="727"/>
      <c r="H11" s="727"/>
      <c r="I11" s="727"/>
      <c r="J11" s="727"/>
      <c r="K11" s="727"/>
      <c r="L11" s="727"/>
      <c r="M11" s="727"/>
    </row>
    <row r="12" spans="2:13" x14ac:dyDescent="0.2">
      <c r="B12" s="728" t="s">
        <v>600</v>
      </c>
      <c r="C12" s="729">
        <f>ROUND(SUM(C5:C10),5)</f>
        <v>152882</v>
      </c>
      <c r="D12" s="729">
        <f>ROUND(SUM(D5:D10),5)</f>
        <v>169267</v>
      </c>
      <c r="E12" s="729"/>
      <c r="F12" s="729">
        <f>ROUND(SUM(F5:F10),5)</f>
        <v>201735</v>
      </c>
      <c r="G12" s="729">
        <f t="shared" ref="G12:M12" si="0">ROUND(SUM(G5:G10),5)</f>
        <v>180271</v>
      </c>
      <c r="H12" s="729">
        <f t="shared" si="0"/>
        <v>0</v>
      </c>
      <c r="I12" s="729">
        <f t="shared" si="0"/>
        <v>262893.09999999998</v>
      </c>
      <c r="J12" s="729">
        <f t="shared" si="0"/>
        <v>224660</v>
      </c>
      <c r="K12" s="729"/>
      <c r="L12" s="729">
        <f t="shared" si="0"/>
        <v>0</v>
      </c>
      <c r="M12" s="729">
        <f t="shared" si="0"/>
        <v>240660</v>
      </c>
    </row>
    <row r="13" spans="2:13" x14ac:dyDescent="0.2">
      <c r="B13" s="730"/>
      <c r="C13" s="724"/>
      <c r="D13" s="724"/>
      <c r="E13" s="724"/>
      <c r="F13" s="724"/>
      <c r="G13" s="724"/>
      <c r="H13" s="724"/>
      <c r="I13" s="724"/>
      <c r="J13" s="727"/>
      <c r="K13" s="727"/>
      <c r="L13" s="724"/>
      <c r="M13" s="727"/>
    </row>
    <row r="14" spans="2:13" x14ac:dyDescent="0.2">
      <c r="B14" s="728" t="s">
        <v>560</v>
      </c>
      <c r="C14" s="731"/>
      <c r="D14" s="731"/>
      <c r="E14" s="731"/>
      <c r="F14" s="731"/>
      <c r="G14" s="731"/>
      <c r="H14" s="731"/>
      <c r="I14" s="731"/>
      <c r="J14" s="732"/>
      <c r="K14" s="732"/>
      <c r="L14" s="731"/>
      <c r="M14" s="732"/>
    </row>
    <row r="15" spans="2:13" x14ac:dyDescent="0.2">
      <c r="B15" s="723" t="s">
        <v>602</v>
      </c>
      <c r="C15" s="724">
        <v>500</v>
      </c>
      <c r="D15" s="724">
        <v>1500</v>
      </c>
      <c r="E15" s="724"/>
      <c r="F15" s="724">
        <v>0</v>
      </c>
      <c r="G15" s="724">
        <v>1000</v>
      </c>
      <c r="H15" s="724"/>
      <c r="I15" s="724"/>
      <c r="J15" s="551">
        <v>2500</v>
      </c>
      <c r="K15" s="551"/>
      <c r="L15" s="724"/>
      <c r="M15" s="751">
        <v>1800</v>
      </c>
    </row>
    <row r="16" spans="2:13" x14ac:dyDescent="0.2">
      <c r="B16" s="723" t="s">
        <v>603</v>
      </c>
      <c r="C16" s="724">
        <v>43000</v>
      </c>
      <c r="D16" s="724">
        <v>43000</v>
      </c>
      <c r="E16" s="724"/>
      <c r="F16" s="724">
        <v>44000</v>
      </c>
      <c r="G16" s="724">
        <v>44000</v>
      </c>
      <c r="H16" s="724"/>
      <c r="I16" s="724">
        <v>45000</v>
      </c>
      <c r="J16" s="551">
        <v>45000</v>
      </c>
      <c r="K16" s="551"/>
      <c r="L16" s="724"/>
      <c r="M16" s="551">
        <v>46000</v>
      </c>
    </row>
    <row r="17" spans="2:15" x14ac:dyDescent="0.2">
      <c r="B17" s="723" t="s">
        <v>1116</v>
      </c>
      <c r="C17" s="724">
        <v>100000</v>
      </c>
      <c r="D17" s="724">
        <v>100000</v>
      </c>
      <c r="E17" s="724"/>
      <c r="F17" s="724">
        <v>100000</v>
      </c>
      <c r="G17" s="724">
        <v>100000</v>
      </c>
      <c r="H17" s="724"/>
      <c r="I17" s="726">
        <v>36667</v>
      </c>
      <c r="J17" s="551">
        <v>100000</v>
      </c>
      <c r="K17" s="551"/>
      <c r="L17" s="724"/>
      <c r="M17" s="551">
        <v>100000</v>
      </c>
    </row>
    <row r="18" spans="2:15" x14ac:dyDescent="0.2">
      <c r="B18" s="723" t="s">
        <v>1115</v>
      </c>
      <c r="C18" s="724">
        <v>12000</v>
      </c>
      <c r="D18" s="724">
        <v>12000</v>
      </c>
      <c r="E18" s="724"/>
      <c r="F18" s="724">
        <v>0</v>
      </c>
      <c r="G18" s="724">
        <v>20000</v>
      </c>
      <c r="H18" s="724"/>
      <c r="I18" s="724">
        <v>0</v>
      </c>
      <c r="J18" s="551">
        <v>15000</v>
      </c>
      <c r="K18" s="551"/>
      <c r="L18" s="724"/>
      <c r="M18" s="551">
        <v>15000</v>
      </c>
    </row>
    <row r="19" spans="2:15" x14ac:dyDescent="0.2">
      <c r="B19" s="723" t="s">
        <v>604</v>
      </c>
      <c r="C19" s="724">
        <v>38000</v>
      </c>
      <c r="D19" s="724">
        <v>38000</v>
      </c>
      <c r="E19" s="724"/>
      <c r="F19" s="724">
        <v>39000</v>
      </c>
      <c r="G19" s="724">
        <v>39000</v>
      </c>
      <c r="H19" s="724"/>
      <c r="I19" s="733"/>
      <c r="J19" s="551">
        <v>39000</v>
      </c>
      <c r="K19" s="551"/>
      <c r="L19" s="724"/>
      <c r="M19" s="551">
        <v>45000</v>
      </c>
    </row>
    <row r="20" spans="2:15" x14ac:dyDescent="0.2">
      <c r="B20" s="723" t="s">
        <v>605</v>
      </c>
      <c r="C20" s="724">
        <v>8551</v>
      </c>
      <c r="D20" s="724">
        <v>8551</v>
      </c>
      <c r="E20" s="724"/>
      <c r="F20" s="724">
        <v>8979</v>
      </c>
      <c r="G20" s="734">
        <f>Contracts!I89</f>
        <v>8978.5174500000012</v>
      </c>
      <c r="H20" s="724"/>
      <c r="I20" s="724">
        <v>9427</v>
      </c>
      <c r="J20" s="551">
        <v>9427</v>
      </c>
      <c r="K20" s="551"/>
      <c r="L20" s="724"/>
      <c r="M20" s="751">
        <v>9993</v>
      </c>
    </row>
    <row r="21" spans="2:15" x14ac:dyDescent="0.2">
      <c r="B21" s="723" t="s">
        <v>606</v>
      </c>
      <c r="C21" s="724">
        <v>13400</v>
      </c>
      <c r="D21" s="724">
        <v>5000</v>
      </c>
      <c r="E21" s="724"/>
      <c r="F21" s="724">
        <v>42740</v>
      </c>
      <c r="G21" s="724">
        <v>5000</v>
      </c>
      <c r="H21" s="724"/>
      <c r="I21" s="724">
        <v>96410</v>
      </c>
      <c r="J21" s="551">
        <v>2000</v>
      </c>
      <c r="K21" s="551"/>
      <c r="L21" s="724"/>
      <c r="M21" s="551">
        <f>J21*1.03</f>
        <v>2060</v>
      </c>
    </row>
    <row r="22" spans="2:15" x14ac:dyDescent="0.2">
      <c r="B22" s="723" t="s">
        <v>601</v>
      </c>
      <c r="C22" s="724">
        <v>600</v>
      </c>
      <c r="D22" s="724">
        <v>4000</v>
      </c>
      <c r="E22" s="724"/>
      <c r="F22" s="724">
        <v>10150</v>
      </c>
      <c r="G22" s="724">
        <v>4000</v>
      </c>
      <c r="H22" s="724"/>
      <c r="I22" s="724">
        <v>4400</v>
      </c>
      <c r="J22" s="551">
        <v>10000</v>
      </c>
      <c r="K22" s="551"/>
      <c r="L22" s="724"/>
      <c r="M22" s="551">
        <v>10000</v>
      </c>
    </row>
    <row r="23" spans="2:15" x14ac:dyDescent="0.2">
      <c r="B23" s="723" t="s">
        <v>1491</v>
      </c>
      <c r="C23" s="724"/>
      <c r="D23" s="724"/>
      <c r="E23" s="724"/>
      <c r="F23" s="724"/>
      <c r="G23" s="724"/>
      <c r="H23" s="724"/>
      <c r="I23" s="724">
        <v>126964</v>
      </c>
      <c r="J23" s="551">
        <v>0</v>
      </c>
      <c r="K23" s="551"/>
      <c r="L23" s="724"/>
      <c r="M23" s="551"/>
    </row>
    <row r="24" spans="2:15" x14ac:dyDescent="0.2">
      <c r="B24" s="735" t="s">
        <v>561</v>
      </c>
      <c r="C24" s="731">
        <f>ROUND(SUM(C14:C21),5)</f>
        <v>215451</v>
      </c>
      <c r="D24" s="729">
        <f>ROUND(SUM(D14:D21),5)</f>
        <v>208051</v>
      </c>
      <c r="E24" s="729"/>
      <c r="F24" s="729">
        <f>ROUND(SUM(F14:F22),5)</f>
        <v>244869</v>
      </c>
      <c r="G24" s="729">
        <f t="shared" ref="G24:H24" si="1">ROUND(SUM(G14:G22),5)</f>
        <v>221978.51745000001</v>
      </c>
      <c r="H24" s="729">
        <f t="shared" si="1"/>
        <v>0</v>
      </c>
      <c r="I24" s="729">
        <f>ROUND(SUM(I15:I23),5)</f>
        <v>318868</v>
      </c>
      <c r="J24" s="729">
        <f t="shared" ref="J24" si="2">ROUND(SUM(J15:J23),5)</f>
        <v>222927</v>
      </c>
      <c r="K24" s="729"/>
      <c r="L24" s="729"/>
      <c r="M24" s="729">
        <f>ROUND(SUM(M15:M22),5)</f>
        <v>229853</v>
      </c>
    </row>
    <row r="25" spans="2:15" x14ac:dyDescent="0.2">
      <c r="B25" s="730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</row>
    <row r="26" spans="2:15" ht="16" x14ac:dyDescent="0.2">
      <c r="B26" s="1004" t="s">
        <v>563</v>
      </c>
      <c r="C26" s="1003">
        <f>ROUND(C12+C24,5)</f>
        <v>368333</v>
      </c>
      <c r="D26" s="1003">
        <f>ROUND(D12+D24,5)</f>
        <v>377318</v>
      </c>
      <c r="E26" s="1003"/>
      <c r="F26" s="1003">
        <f>ROUND(F12+F24,5)</f>
        <v>446604</v>
      </c>
      <c r="G26" s="1003">
        <f t="shared" ref="G26:J26" si="3">ROUND(G12+G24,5)</f>
        <v>402249.51744999998</v>
      </c>
      <c r="H26" s="1003">
        <f t="shared" si="3"/>
        <v>0</v>
      </c>
      <c r="I26" s="1003">
        <f t="shared" si="3"/>
        <v>581761.1</v>
      </c>
      <c r="J26" s="1003">
        <f t="shared" si="3"/>
        <v>447587</v>
      </c>
      <c r="K26" s="1003"/>
      <c r="L26" s="1003"/>
      <c r="M26" s="1003">
        <f>ROUND(M12+M24,5)</f>
        <v>470513</v>
      </c>
      <c r="N26" s="1062"/>
      <c r="O26" s="1062"/>
    </row>
    <row r="27" spans="2:15" x14ac:dyDescent="0.2">
      <c r="B27" s="730"/>
      <c r="C27" s="724"/>
      <c r="D27" s="724"/>
      <c r="E27" s="724"/>
      <c r="F27" s="724"/>
      <c r="G27" s="724"/>
      <c r="H27" s="724"/>
      <c r="I27" s="724"/>
      <c r="J27" s="727"/>
      <c r="K27" s="727"/>
      <c r="L27" s="724"/>
      <c r="M27" s="727"/>
    </row>
    <row r="28" spans="2:15" ht="16" x14ac:dyDescent="0.2">
      <c r="B28" s="1004" t="s">
        <v>8</v>
      </c>
      <c r="C28" s="1005"/>
      <c r="D28" s="1005"/>
      <c r="E28" s="1005"/>
      <c r="F28" s="1005"/>
      <c r="G28" s="1005"/>
      <c r="H28" s="1005"/>
      <c r="I28" s="1005"/>
      <c r="J28" s="1006"/>
      <c r="K28" s="1006"/>
      <c r="L28" s="1005"/>
      <c r="M28" s="1006"/>
    </row>
    <row r="29" spans="2:15" x14ac:dyDescent="0.2">
      <c r="B29" s="728" t="s">
        <v>9</v>
      </c>
      <c r="C29" s="731"/>
      <c r="D29" s="731"/>
      <c r="E29" s="731"/>
      <c r="F29" s="731"/>
      <c r="G29" s="731"/>
      <c r="H29" s="731"/>
      <c r="I29" s="731"/>
      <c r="J29" s="732"/>
      <c r="K29" s="732"/>
      <c r="L29" s="731"/>
      <c r="M29" s="732"/>
    </row>
    <row r="30" spans="2:15" x14ac:dyDescent="0.2">
      <c r="B30" s="723" t="s">
        <v>607</v>
      </c>
      <c r="C30" s="724">
        <v>28719</v>
      </c>
      <c r="D30" s="724">
        <v>30337</v>
      </c>
      <c r="E30" s="724"/>
      <c r="F30" s="724">
        <v>31733</v>
      </c>
      <c r="G30" s="724">
        <f>Insurance!BY22</f>
        <v>34742.1</v>
      </c>
      <c r="H30" s="724"/>
      <c r="I30" s="726">
        <v>30536</v>
      </c>
      <c r="J30" s="727">
        <f>Insurance!CB22</f>
        <v>30536.347439434725</v>
      </c>
      <c r="K30" s="727"/>
      <c r="L30" s="724"/>
      <c r="M30" s="897">
        <f>Insurance!CE22</f>
        <v>33589.982183378204</v>
      </c>
    </row>
    <row r="31" spans="2:15" x14ac:dyDescent="0.2">
      <c r="B31" s="728" t="s">
        <v>570</v>
      </c>
      <c r="C31" s="729">
        <f>ROUND(SUM(C29:C30),5)</f>
        <v>28719</v>
      </c>
      <c r="D31" s="729">
        <f>ROUND(SUM(D29:D30),5)</f>
        <v>30337</v>
      </c>
      <c r="E31" s="729"/>
      <c r="F31" s="729">
        <f>ROUND(SUM(F29:F30),5)</f>
        <v>31733</v>
      </c>
      <c r="G31" s="729">
        <f t="shared" ref="G31:J31" si="4">ROUND(SUM(G29:G30),5)</f>
        <v>34742.1</v>
      </c>
      <c r="H31" s="729">
        <f t="shared" si="4"/>
        <v>0</v>
      </c>
      <c r="I31" s="729">
        <f t="shared" si="4"/>
        <v>30536</v>
      </c>
      <c r="J31" s="729">
        <f t="shared" si="4"/>
        <v>30536.347440000001</v>
      </c>
      <c r="K31" s="729"/>
      <c r="L31" s="729"/>
      <c r="M31" s="729">
        <f>ROUND(SUM(M29:M30),5)</f>
        <v>33589.982179999999</v>
      </c>
    </row>
    <row r="32" spans="2:15" x14ac:dyDescent="0.2">
      <c r="B32" s="730"/>
      <c r="C32" s="724"/>
      <c r="D32" s="724"/>
      <c r="E32" s="724"/>
      <c r="F32" s="724"/>
      <c r="G32" s="724"/>
      <c r="H32" s="724"/>
      <c r="I32" s="724"/>
      <c r="J32" s="727"/>
      <c r="K32" s="727"/>
      <c r="L32" s="724"/>
      <c r="M32" s="727"/>
    </row>
    <row r="33" spans="2:15" x14ac:dyDescent="0.2">
      <c r="B33" s="728" t="s">
        <v>575</v>
      </c>
      <c r="C33" s="731"/>
      <c r="D33" s="731"/>
      <c r="E33" s="731"/>
      <c r="F33" s="731"/>
      <c r="G33" s="731"/>
      <c r="H33" s="731"/>
      <c r="I33" s="731"/>
      <c r="J33" s="732"/>
      <c r="K33" s="732"/>
      <c r="L33" s="731"/>
      <c r="M33" s="732"/>
    </row>
    <row r="34" spans="2:15" x14ac:dyDescent="0.2">
      <c r="B34" s="723" t="s">
        <v>610</v>
      </c>
      <c r="C34" s="724">
        <v>12986</v>
      </c>
      <c r="D34" s="724">
        <v>17000</v>
      </c>
      <c r="E34" s="724"/>
      <c r="F34" s="724">
        <v>21667</v>
      </c>
      <c r="G34" s="724">
        <v>10000</v>
      </c>
      <c r="H34" s="724"/>
      <c r="I34" s="726">
        <f>27758+662.5+1340+274</f>
        <v>30034.5</v>
      </c>
      <c r="J34" s="736">
        <v>50000</v>
      </c>
      <c r="K34" s="736"/>
      <c r="L34" s="724"/>
      <c r="M34" s="1008">
        <v>11200</v>
      </c>
    </row>
    <row r="35" spans="2:15" x14ac:dyDescent="0.2">
      <c r="B35" s="874" t="s">
        <v>1385</v>
      </c>
      <c r="C35" s="724"/>
      <c r="D35" s="724"/>
      <c r="E35" s="724"/>
      <c r="F35" s="724"/>
      <c r="G35" s="724"/>
      <c r="H35" s="724"/>
      <c r="I35" s="733"/>
      <c r="J35" s="551"/>
      <c r="K35" s="551"/>
      <c r="L35" s="724"/>
      <c r="M35" s="551"/>
    </row>
    <row r="36" spans="2:15" x14ac:dyDescent="0.2">
      <c r="B36" s="723" t="s">
        <v>1156</v>
      </c>
      <c r="C36" s="724"/>
      <c r="D36" s="724"/>
      <c r="E36" s="724"/>
      <c r="F36" s="724">
        <v>0</v>
      </c>
      <c r="G36" s="724">
        <v>1200</v>
      </c>
      <c r="H36" s="724"/>
      <c r="I36" s="724">
        <v>1002</v>
      </c>
      <c r="J36" s="736">
        <v>2500</v>
      </c>
      <c r="K36" s="736"/>
      <c r="L36" s="724"/>
      <c r="M36" s="737">
        <v>2500</v>
      </c>
    </row>
    <row r="37" spans="2:15" x14ac:dyDescent="0.2">
      <c r="B37" s="723" t="s">
        <v>611</v>
      </c>
      <c r="C37" s="724">
        <v>985</v>
      </c>
      <c r="D37" s="724">
        <v>20000</v>
      </c>
      <c r="E37" s="724"/>
      <c r="F37" s="724">
        <v>0</v>
      </c>
      <c r="G37" s="724">
        <v>1000</v>
      </c>
      <c r="H37" s="724"/>
      <c r="I37" s="733"/>
      <c r="J37" s="736">
        <v>15000</v>
      </c>
      <c r="K37" s="736"/>
      <c r="L37" s="724"/>
      <c r="M37" s="737">
        <v>5000</v>
      </c>
    </row>
    <row r="38" spans="2:15" x14ac:dyDescent="0.2">
      <c r="B38" s="723" t="s">
        <v>1493</v>
      </c>
      <c r="C38" s="724">
        <v>1962</v>
      </c>
      <c r="D38" s="724">
        <v>10000</v>
      </c>
      <c r="E38" s="724"/>
      <c r="F38" s="724">
        <v>13453</v>
      </c>
      <c r="G38" s="724">
        <v>5000</v>
      </c>
      <c r="H38" s="724"/>
      <c r="I38" s="724">
        <v>1185</v>
      </c>
      <c r="J38" s="736">
        <v>6000</v>
      </c>
      <c r="K38" s="736"/>
      <c r="L38" s="724"/>
      <c r="M38" s="751">
        <f>5600+3100+250+5455</f>
        <v>14405</v>
      </c>
    </row>
    <row r="39" spans="2:15" x14ac:dyDescent="0.2">
      <c r="B39" s="723" t="s">
        <v>1489</v>
      </c>
      <c r="C39" s="724"/>
      <c r="D39" s="724"/>
      <c r="E39" s="724"/>
      <c r="F39" s="724"/>
      <c r="G39" s="724"/>
      <c r="H39" s="724"/>
      <c r="I39" s="733"/>
      <c r="J39" s="727"/>
      <c r="K39" s="727"/>
      <c r="L39" s="724"/>
      <c r="M39" s="551">
        <v>1000</v>
      </c>
    </row>
    <row r="40" spans="2:15" x14ac:dyDescent="0.2">
      <c r="B40" s="728" t="s">
        <v>577</v>
      </c>
      <c r="C40" s="729">
        <f>ROUND(SUM(C33:C38),5)</f>
        <v>15933</v>
      </c>
      <c r="D40" s="729">
        <f>ROUND(SUM(D33:D38),5)</f>
        <v>47000</v>
      </c>
      <c r="E40" s="729"/>
      <c r="F40" s="729">
        <f>ROUND(SUM(F33:F38),5)</f>
        <v>35120</v>
      </c>
      <c r="G40" s="729">
        <f>ROUND(SUM(G33:G38),5)</f>
        <v>17200</v>
      </c>
      <c r="H40" s="729">
        <f>ROUND(SUM(H33:H38),5)</f>
        <v>0</v>
      </c>
      <c r="I40" s="729">
        <f>ROUND(SUM(I33:I38),5)</f>
        <v>32221.5</v>
      </c>
      <c r="J40" s="729">
        <f>ROUND(SUM(J33:J38),5)</f>
        <v>73500</v>
      </c>
      <c r="K40" s="729"/>
      <c r="L40" s="729"/>
      <c r="M40" s="729">
        <f>ROUND(SUM(M34:M38),5)</f>
        <v>33105</v>
      </c>
      <c r="O40" s="1062"/>
    </row>
    <row r="41" spans="2:15" x14ac:dyDescent="0.2">
      <c r="B41" s="730"/>
      <c r="C41" s="724"/>
      <c r="D41" s="724"/>
      <c r="E41" s="724"/>
      <c r="F41" s="724"/>
      <c r="G41" s="724"/>
      <c r="H41" s="724"/>
      <c r="I41" s="724"/>
      <c r="J41" s="727"/>
      <c r="K41" s="727"/>
      <c r="L41" s="724"/>
      <c r="M41" s="727"/>
    </row>
    <row r="42" spans="2:15" x14ac:dyDescent="0.2">
      <c r="B42" s="728" t="s">
        <v>1525</v>
      </c>
      <c r="C42" s="731"/>
      <c r="D42" s="731"/>
      <c r="E42" s="731"/>
      <c r="F42" s="731"/>
      <c r="G42" s="731"/>
      <c r="H42" s="731"/>
      <c r="I42" s="731"/>
      <c r="J42" s="732"/>
      <c r="K42" s="732"/>
      <c r="L42" s="731"/>
      <c r="M42" s="732"/>
    </row>
    <row r="43" spans="2:15" x14ac:dyDescent="0.2">
      <c r="B43" s="723" t="s">
        <v>1141</v>
      </c>
      <c r="C43" s="724">
        <v>3166</v>
      </c>
      <c r="D43" s="724">
        <v>5520</v>
      </c>
      <c r="E43" s="724"/>
      <c r="F43" s="724">
        <v>4000</v>
      </c>
      <c r="G43" s="724">
        <v>0</v>
      </c>
      <c r="H43" s="724"/>
      <c r="I43" s="724"/>
      <c r="J43" s="727"/>
      <c r="K43" s="727"/>
      <c r="L43" s="724"/>
      <c r="M43" s="897">
        <f>Payroll!H6</f>
        <v>0</v>
      </c>
    </row>
    <row r="44" spans="2:15" x14ac:dyDescent="0.2">
      <c r="B44" s="723" t="s">
        <v>1417</v>
      </c>
      <c r="C44" s="724"/>
      <c r="D44" s="724"/>
      <c r="E44" s="724"/>
      <c r="F44" s="724">
        <v>4842</v>
      </c>
      <c r="G44" s="724">
        <v>6240</v>
      </c>
      <c r="H44" s="724"/>
      <c r="I44" s="739"/>
      <c r="J44" s="727">
        <v>6240</v>
      </c>
      <c r="K44" s="727"/>
      <c r="L44" s="724"/>
      <c r="M44" s="897">
        <f>Payroll!H5</f>
        <v>13500</v>
      </c>
    </row>
    <row r="45" spans="2:15" x14ac:dyDescent="0.2">
      <c r="B45" s="723" t="s">
        <v>1314</v>
      </c>
      <c r="C45" s="724"/>
      <c r="D45" s="724"/>
      <c r="E45" s="724"/>
      <c r="F45" s="724">
        <v>2810</v>
      </c>
      <c r="G45" s="724">
        <v>11250</v>
      </c>
      <c r="H45" s="724"/>
      <c r="I45" s="726"/>
      <c r="J45" s="727">
        <v>11250</v>
      </c>
      <c r="K45" s="727"/>
      <c r="L45" s="724"/>
      <c r="M45" s="897">
        <f>Payroll!H7</f>
        <v>12000</v>
      </c>
    </row>
    <row r="46" spans="2:15" x14ac:dyDescent="0.2">
      <c r="B46" s="723" t="s">
        <v>1142</v>
      </c>
      <c r="C46" s="724">
        <v>49000</v>
      </c>
      <c r="D46" s="724">
        <v>49000</v>
      </c>
      <c r="E46" s="724"/>
      <c r="F46" s="724">
        <v>50885</v>
      </c>
      <c r="G46" s="724">
        <v>51883</v>
      </c>
      <c r="H46" s="724"/>
      <c r="I46" s="724"/>
      <c r="J46" s="727">
        <v>50470</v>
      </c>
      <c r="K46" s="727"/>
      <c r="L46" s="724"/>
      <c r="M46" s="897">
        <f>Payroll!H9</f>
        <v>52993.5</v>
      </c>
    </row>
    <row r="47" spans="2:15" x14ac:dyDescent="0.2">
      <c r="B47" s="723" t="s">
        <v>1418</v>
      </c>
      <c r="C47" s="724">
        <v>7567</v>
      </c>
      <c r="D47" s="724">
        <v>7200</v>
      </c>
      <c r="E47" s="724"/>
      <c r="F47" s="724">
        <v>8401</v>
      </c>
      <c r="G47" s="724">
        <v>10500</v>
      </c>
      <c r="H47" s="724"/>
      <c r="I47" s="739"/>
      <c r="J47" s="727">
        <v>10500</v>
      </c>
      <c r="K47" s="727"/>
      <c r="L47" s="724"/>
      <c r="M47" s="897">
        <f>Payroll!H4</f>
        <v>11025</v>
      </c>
    </row>
    <row r="48" spans="2:15" x14ac:dyDescent="0.2">
      <c r="B48" s="723" t="s">
        <v>1143</v>
      </c>
      <c r="C48" s="724">
        <v>19729</v>
      </c>
      <c r="D48" s="724">
        <v>18000</v>
      </c>
      <c r="E48" s="724"/>
      <c r="F48" s="724">
        <v>27635</v>
      </c>
      <c r="G48" s="724">
        <v>35000</v>
      </c>
      <c r="H48" s="724"/>
      <c r="I48" s="724">
        <v>32177</v>
      </c>
      <c r="J48" s="740">
        <v>40000</v>
      </c>
      <c r="K48" s="740"/>
      <c r="L48" s="724"/>
      <c r="M48" s="954">
        <v>40000</v>
      </c>
    </row>
    <row r="49" spans="2:13" x14ac:dyDescent="0.2">
      <c r="B49" s="723" t="s">
        <v>1528</v>
      </c>
      <c r="C49" s="724"/>
      <c r="D49" s="724"/>
      <c r="E49" s="724"/>
      <c r="F49" s="724"/>
      <c r="G49" s="724"/>
      <c r="H49" s="724"/>
      <c r="I49" s="724"/>
      <c r="J49" s="740"/>
      <c r="K49" s="740"/>
      <c r="L49" s="724"/>
      <c r="M49" s="954">
        <f>Payroll!H11</f>
        <v>1000</v>
      </c>
    </row>
    <row r="50" spans="2:13" x14ac:dyDescent="0.2">
      <c r="B50" s="723" t="s">
        <v>694</v>
      </c>
      <c r="C50" s="724">
        <v>6131</v>
      </c>
      <c r="D50" s="724">
        <v>7450</v>
      </c>
      <c r="E50" s="724"/>
      <c r="F50" s="724">
        <v>6971</v>
      </c>
      <c r="G50" s="724">
        <v>7927.1594999999998</v>
      </c>
      <c r="H50" s="724"/>
      <c r="I50" s="724">
        <v>6123</v>
      </c>
      <c r="J50" s="727">
        <v>7250</v>
      </c>
      <c r="K50" s="727"/>
      <c r="L50" s="724"/>
      <c r="M50" s="897">
        <v>7250</v>
      </c>
    </row>
    <row r="51" spans="2:13" x14ac:dyDescent="0.2">
      <c r="B51" s="723" t="s">
        <v>613</v>
      </c>
      <c r="C51" s="724">
        <v>2128</v>
      </c>
      <c r="D51" s="724">
        <v>2000</v>
      </c>
      <c r="E51" s="724"/>
      <c r="F51" s="724">
        <v>1020</v>
      </c>
      <c r="G51" s="724">
        <v>2200</v>
      </c>
      <c r="H51" s="724"/>
      <c r="I51" s="724">
        <v>0</v>
      </c>
      <c r="J51" s="727">
        <v>1100</v>
      </c>
      <c r="K51" s="727"/>
      <c r="L51" s="724"/>
      <c r="M51" s="897">
        <v>1100</v>
      </c>
    </row>
    <row r="52" spans="2:13" x14ac:dyDescent="0.2">
      <c r="B52" s="728" t="s">
        <v>1524</v>
      </c>
      <c r="C52" s="729">
        <f>ROUND(SUM(C42:C51),5)</f>
        <v>87721</v>
      </c>
      <c r="D52" s="729">
        <f>ROUND(SUM(D42:D51),5)</f>
        <v>89170</v>
      </c>
      <c r="E52" s="729"/>
      <c r="F52" s="729">
        <f>ROUND(SUM(F42:F51),5)</f>
        <v>106564</v>
      </c>
      <c r="G52" s="729">
        <f t="shared" ref="G52:M52" si="5">ROUND(SUM(G42:G51),5)</f>
        <v>125000.15949999999</v>
      </c>
      <c r="H52" s="729">
        <f t="shared" si="5"/>
        <v>0</v>
      </c>
      <c r="I52" s="729">
        <f t="shared" si="5"/>
        <v>38300</v>
      </c>
      <c r="J52" s="729">
        <f t="shared" si="5"/>
        <v>126810</v>
      </c>
      <c r="K52" s="729"/>
      <c r="L52" s="729">
        <f t="shared" si="5"/>
        <v>0</v>
      </c>
      <c r="M52" s="729">
        <f t="shared" si="5"/>
        <v>138868.5</v>
      </c>
    </row>
    <row r="53" spans="2:13" x14ac:dyDescent="0.2">
      <c r="B53" s="730"/>
      <c r="C53" s="724"/>
      <c r="D53" s="724"/>
      <c r="E53" s="724"/>
      <c r="F53" s="724"/>
      <c r="G53" s="724"/>
      <c r="H53" s="724"/>
      <c r="I53" s="724"/>
      <c r="J53" s="727"/>
      <c r="K53" s="727"/>
      <c r="L53" s="724"/>
      <c r="M53" s="727"/>
    </row>
    <row r="54" spans="2:13" x14ac:dyDescent="0.2">
      <c r="B54" s="728" t="s">
        <v>632</v>
      </c>
      <c r="C54" s="731"/>
      <c r="D54" s="731"/>
      <c r="E54" s="731"/>
      <c r="F54" s="731"/>
      <c r="G54" s="731"/>
      <c r="H54" s="731"/>
      <c r="I54" s="731"/>
      <c r="J54" s="732"/>
      <c r="K54" s="732"/>
      <c r="L54" s="731"/>
      <c r="M54" s="732"/>
    </row>
    <row r="55" spans="2:13" x14ac:dyDescent="0.2">
      <c r="B55" s="723" t="s">
        <v>608</v>
      </c>
      <c r="C55" s="724">
        <v>13993</v>
      </c>
      <c r="D55" s="724">
        <v>6250</v>
      </c>
      <c r="E55" s="724"/>
      <c r="F55" s="724">
        <v>1401</v>
      </c>
      <c r="G55" s="724">
        <v>2500</v>
      </c>
      <c r="H55" s="724"/>
      <c r="I55" s="724">
        <v>813</v>
      </c>
      <c r="J55" s="727">
        <v>2500</v>
      </c>
      <c r="K55" s="727"/>
      <c r="L55" s="724"/>
      <c r="M55" s="551">
        <f>J55*1.03</f>
        <v>2575</v>
      </c>
    </row>
    <row r="56" spans="2:13" x14ac:dyDescent="0.2">
      <c r="B56" s="840" t="s">
        <v>609</v>
      </c>
      <c r="C56" s="724">
        <v>0</v>
      </c>
      <c r="D56" s="724">
        <v>1000</v>
      </c>
      <c r="E56" s="724"/>
      <c r="F56" s="724"/>
      <c r="G56" s="724">
        <v>0</v>
      </c>
      <c r="H56" s="724"/>
      <c r="I56" s="724"/>
      <c r="J56" s="727"/>
      <c r="K56" s="727"/>
      <c r="L56" s="724"/>
      <c r="M56" s="551"/>
    </row>
    <row r="57" spans="2:13" x14ac:dyDescent="0.2">
      <c r="B57" s="723" t="s">
        <v>1526</v>
      </c>
      <c r="C57" s="724">
        <v>2840</v>
      </c>
      <c r="D57" s="724">
        <v>3000</v>
      </c>
      <c r="E57" s="724"/>
      <c r="F57" s="724">
        <v>2270</v>
      </c>
      <c r="G57" s="724">
        <v>3000</v>
      </c>
      <c r="H57" s="724"/>
      <c r="I57" s="724">
        <v>290</v>
      </c>
      <c r="J57" s="727">
        <v>0</v>
      </c>
      <c r="K57" s="727"/>
      <c r="L57" s="724"/>
      <c r="M57" s="551">
        <f>154*12</f>
        <v>1848</v>
      </c>
    </row>
    <row r="58" spans="2:13" x14ac:dyDescent="0.2">
      <c r="B58" s="723" t="s">
        <v>612</v>
      </c>
      <c r="C58" s="724">
        <v>811</v>
      </c>
      <c r="D58" s="724">
        <v>1000</v>
      </c>
      <c r="E58" s="724"/>
      <c r="F58" s="724">
        <v>0</v>
      </c>
      <c r="G58" s="724">
        <v>1250</v>
      </c>
      <c r="H58" s="724"/>
      <c r="I58" s="733"/>
      <c r="J58" s="727">
        <v>1500</v>
      </c>
      <c r="K58" s="727"/>
      <c r="L58" s="724"/>
      <c r="M58" s="551">
        <f>J58*1.03</f>
        <v>1545</v>
      </c>
    </row>
    <row r="59" spans="2:13" x14ac:dyDescent="0.2">
      <c r="B59" s="723" t="s">
        <v>1117</v>
      </c>
      <c r="C59" s="724">
        <v>600</v>
      </c>
      <c r="D59" s="724">
        <v>600</v>
      </c>
      <c r="E59" s="724"/>
      <c r="F59" s="724">
        <v>600</v>
      </c>
      <c r="G59" s="724">
        <v>600</v>
      </c>
      <c r="H59" s="724"/>
      <c r="I59" s="724">
        <v>0</v>
      </c>
      <c r="J59" s="727">
        <v>600</v>
      </c>
      <c r="K59" s="727"/>
      <c r="L59" s="724"/>
      <c r="M59" s="551">
        <v>600</v>
      </c>
    </row>
    <row r="60" spans="2:13" x14ac:dyDescent="0.2">
      <c r="B60" s="723" t="s">
        <v>614</v>
      </c>
      <c r="C60" s="724">
        <v>3203</v>
      </c>
      <c r="D60" s="724">
        <v>3206</v>
      </c>
      <c r="E60" s="724"/>
      <c r="F60" s="724">
        <v>3206</v>
      </c>
      <c r="G60" s="724">
        <v>3500</v>
      </c>
      <c r="H60" s="724"/>
      <c r="I60" s="724">
        <v>0</v>
      </c>
      <c r="J60" s="727">
        <v>3500</v>
      </c>
      <c r="K60" s="727"/>
      <c r="L60" s="724"/>
      <c r="M60" s="551">
        <f>J60*1.03</f>
        <v>3605</v>
      </c>
    </row>
    <row r="61" spans="2:13" x14ac:dyDescent="0.2">
      <c r="B61" s="738" t="s">
        <v>1387</v>
      </c>
      <c r="C61" s="724"/>
      <c r="D61" s="724"/>
      <c r="E61" s="724"/>
      <c r="F61" s="724"/>
      <c r="G61" s="724"/>
      <c r="H61" s="724"/>
      <c r="I61" s="733"/>
      <c r="J61" s="551">
        <v>2000</v>
      </c>
      <c r="K61" s="551"/>
      <c r="L61" s="724"/>
      <c r="M61" s="551"/>
    </row>
    <row r="62" spans="2:13" x14ac:dyDescent="0.2">
      <c r="B62" s="738" t="s">
        <v>693</v>
      </c>
      <c r="C62" s="724">
        <v>406</v>
      </c>
      <c r="D62" s="724"/>
      <c r="E62" s="724"/>
      <c r="F62" s="724">
        <v>877</v>
      </c>
      <c r="G62" s="724">
        <v>500</v>
      </c>
      <c r="H62" s="724"/>
      <c r="I62" s="724">
        <v>645</v>
      </c>
      <c r="J62" s="727">
        <v>1000</v>
      </c>
      <c r="K62" s="727"/>
      <c r="L62" s="724"/>
      <c r="M62" s="551">
        <v>1000</v>
      </c>
    </row>
    <row r="63" spans="2:13" x14ac:dyDescent="0.2">
      <c r="B63" s="738" t="s">
        <v>1124</v>
      </c>
      <c r="C63" s="724">
        <v>4050</v>
      </c>
      <c r="D63" s="724">
        <v>2000</v>
      </c>
      <c r="E63" s="724"/>
      <c r="F63" s="724">
        <v>2279</v>
      </c>
      <c r="G63" s="724">
        <v>4000</v>
      </c>
      <c r="H63" s="724"/>
      <c r="I63" s="724">
        <v>0</v>
      </c>
      <c r="J63" s="727">
        <v>3000</v>
      </c>
      <c r="K63" s="727"/>
      <c r="L63" s="724"/>
      <c r="M63" s="551">
        <v>2500</v>
      </c>
    </row>
    <row r="64" spans="2:13" x14ac:dyDescent="0.2">
      <c r="B64" s="723" t="s">
        <v>615</v>
      </c>
      <c r="C64" s="724">
        <v>1724</v>
      </c>
      <c r="D64" s="724">
        <v>1600</v>
      </c>
      <c r="E64" s="724"/>
      <c r="F64" s="724">
        <v>1440</v>
      </c>
      <c r="G64" s="724">
        <v>1824</v>
      </c>
      <c r="H64" s="724"/>
      <c r="I64" s="724">
        <v>1262</v>
      </c>
      <c r="J64" s="727">
        <v>2000</v>
      </c>
      <c r="K64" s="727"/>
      <c r="L64" s="724"/>
      <c r="M64" s="551">
        <v>1500</v>
      </c>
    </row>
    <row r="65" spans="2:13" x14ac:dyDescent="0.2">
      <c r="B65" s="723" t="s">
        <v>616</v>
      </c>
      <c r="C65" s="724">
        <v>3460</v>
      </c>
      <c r="D65" s="724">
        <v>5000</v>
      </c>
      <c r="E65" s="724"/>
      <c r="F65" s="724">
        <v>4400</v>
      </c>
      <c r="G65" s="724">
        <v>4500</v>
      </c>
      <c r="H65" s="724"/>
      <c r="I65" s="724">
        <v>8274</v>
      </c>
      <c r="J65" s="740">
        <v>4500</v>
      </c>
      <c r="K65" s="740"/>
      <c r="L65" s="724"/>
      <c r="M65" s="725">
        <v>3700</v>
      </c>
    </row>
    <row r="66" spans="2:13" x14ac:dyDescent="0.2">
      <c r="B66" s="723" t="s">
        <v>617</v>
      </c>
      <c r="C66" s="724">
        <v>27729</v>
      </c>
      <c r="D66" s="724">
        <v>27500</v>
      </c>
      <c r="E66" s="724"/>
      <c r="F66" s="724">
        <v>26859</v>
      </c>
      <c r="G66" s="724">
        <v>27600</v>
      </c>
      <c r="H66" s="724"/>
      <c r="I66" s="724">
        <v>29540</v>
      </c>
      <c r="J66" s="727">
        <v>30000</v>
      </c>
      <c r="K66" s="727"/>
      <c r="L66" s="724"/>
      <c r="M66" s="551">
        <f>J66*1.03</f>
        <v>30900</v>
      </c>
    </row>
    <row r="67" spans="2:13" x14ac:dyDescent="0.2">
      <c r="B67" s="723" t="s">
        <v>618</v>
      </c>
      <c r="C67" s="724">
        <v>1712</v>
      </c>
      <c r="D67" s="724">
        <v>2500</v>
      </c>
      <c r="E67" s="724"/>
      <c r="F67" s="724">
        <v>2042</v>
      </c>
      <c r="G67" s="724">
        <v>2500</v>
      </c>
      <c r="H67" s="724"/>
      <c r="I67" s="724">
        <v>3313</v>
      </c>
      <c r="J67" s="727">
        <v>2500</v>
      </c>
      <c r="K67" s="727"/>
      <c r="L67" s="724"/>
      <c r="M67" s="551">
        <f>J67*1.03</f>
        <v>2575</v>
      </c>
    </row>
    <row r="68" spans="2:13" x14ac:dyDescent="0.2">
      <c r="B68" s="723" t="s">
        <v>695</v>
      </c>
      <c r="C68" s="724">
        <v>19053</v>
      </c>
      <c r="D68" s="724"/>
      <c r="E68" s="724"/>
      <c r="F68" s="724">
        <v>8129</v>
      </c>
      <c r="G68" s="724">
        <v>0</v>
      </c>
      <c r="H68" s="724"/>
      <c r="I68" s="724">
        <v>16251</v>
      </c>
      <c r="J68" s="727">
        <v>8000</v>
      </c>
      <c r="K68" s="727"/>
      <c r="L68" s="724"/>
      <c r="M68" s="751">
        <v>18480</v>
      </c>
    </row>
    <row r="69" spans="2:13" x14ac:dyDescent="0.2">
      <c r="B69" s="738" t="s">
        <v>1157</v>
      </c>
      <c r="C69" s="724">
        <v>891</v>
      </c>
      <c r="D69" s="724"/>
      <c r="E69" s="724"/>
      <c r="F69" s="741">
        <v>1188</v>
      </c>
      <c r="G69" s="724">
        <v>1500</v>
      </c>
      <c r="H69" s="724"/>
      <c r="I69" s="733"/>
      <c r="J69" s="727">
        <v>1500</v>
      </c>
      <c r="K69" s="727"/>
      <c r="L69" s="724"/>
      <c r="M69" s="751">
        <v>4612</v>
      </c>
    </row>
    <row r="70" spans="2:13" x14ac:dyDescent="0.2">
      <c r="B70" s="840" t="s">
        <v>1196</v>
      </c>
      <c r="C70" s="724">
        <v>65</v>
      </c>
      <c r="D70" s="724">
        <v>500</v>
      </c>
      <c r="E70" s="724"/>
      <c r="F70" s="724">
        <v>11973</v>
      </c>
      <c r="G70" s="724"/>
      <c r="H70" s="724"/>
      <c r="I70" s="724">
        <v>9604</v>
      </c>
      <c r="J70" s="727">
        <v>12000</v>
      </c>
      <c r="K70" s="727"/>
      <c r="L70" s="724"/>
      <c r="M70" s="551">
        <v>0</v>
      </c>
    </row>
    <row r="71" spans="2:13" x14ac:dyDescent="0.2">
      <c r="B71" s="728" t="s">
        <v>702</v>
      </c>
      <c r="C71" s="729">
        <f>SUM(C55:C70)</f>
        <v>80537</v>
      </c>
      <c r="D71" s="729">
        <f>SUM(D55:D70)</f>
        <v>54156</v>
      </c>
      <c r="E71" s="729"/>
      <c r="F71" s="729">
        <f>SUM(F55:F70)</f>
        <v>66664</v>
      </c>
      <c r="G71" s="729">
        <f>SUM(G55:G70)</f>
        <v>53274</v>
      </c>
      <c r="H71" s="729">
        <f>SUM(H55:H70)</f>
        <v>0</v>
      </c>
      <c r="I71" s="729">
        <f>SUM(I55:I70)</f>
        <v>69992</v>
      </c>
      <c r="J71" s="729">
        <f>SUM(J55:J70)</f>
        <v>74600</v>
      </c>
      <c r="K71" s="729"/>
      <c r="L71" s="729"/>
      <c r="M71" s="729">
        <f>SUM(M55:M70)</f>
        <v>75440</v>
      </c>
    </row>
    <row r="72" spans="2:13" x14ac:dyDescent="0.2">
      <c r="B72" s="730"/>
      <c r="C72" s="724"/>
      <c r="D72" s="724"/>
      <c r="E72" s="724"/>
      <c r="F72" s="724"/>
      <c r="G72" s="724"/>
      <c r="H72" s="724"/>
      <c r="I72" s="724"/>
      <c r="J72" s="727"/>
      <c r="K72" s="727"/>
      <c r="L72" s="724"/>
      <c r="M72" s="727"/>
    </row>
    <row r="73" spans="2:13" x14ac:dyDescent="0.2">
      <c r="B73" s="728" t="s">
        <v>1093</v>
      </c>
      <c r="C73" s="731"/>
      <c r="D73" s="731"/>
      <c r="E73" s="731"/>
      <c r="F73" s="731"/>
      <c r="G73" s="731"/>
      <c r="H73" s="731"/>
      <c r="I73" s="731"/>
      <c r="J73" s="732"/>
      <c r="K73" s="732"/>
      <c r="L73" s="731"/>
      <c r="M73" s="732"/>
    </row>
    <row r="74" spans="2:13" x14ac:dyDescent="0.2">
      <c r="B74" s="723" t="s">
        <v>1158</v>
      </c>
      <c r="C74" s="724"/>
      <c r="D74" s="724"/>
      <c r="E74" s="724"/>
      <c r="F74" s="724">
        <v>7022</v>
      </c>
      <c r="G74" s="724">
        <v>5214</v>
      </c>
      <c r="H74" s="724"/>
      <c r="I74" s="724">
        <v>10496</v>
      </c>
      <c r="J74" s="727">
        <v>7000</v>
      </c>
      <c r="K74" s="727"/>
      <c r="L74" s="724"/>
      <c r="M74" s="897">
        <f>SharedAdmin!I5</f>
        <v>9000</v>
      </c>
    </row>
    <row r="75" spans="2:13" x14ac:dyDescent="0.2">
      <c r="B75" s="723" t="s">
        <v>1100</v>
      </c>
      <c r="C75" s="724"/>
      <c r="D75" s="724"/>
      <c r="E75" s="724"/>
      <c r="F75" s="724"/>
      <c r="G75" s="724"/>
      <c r="H75" s="724"/>
      <c r="I75" s="724"/>
      <c r="J75" s="727"/>
      <c r="K75" s="727"/>
      <c r="L75" s="724"/>
      <c r="M75" s="551"/>
    </row>
    <row r="76" spans="2:13" x14ac:dyDescent="0.2">
      <c r="B76" s="840" t="s">
        <v>1160</v>
      </c>
      <c r="C76" s="724"/>
      <c r="D76" s="724"/>
      <c r="E76" s="724"/>
      <c r="F76" s="724"/>
      <c r="G76" s="724"/>
      <c r="H76" s="724"/>
      <c r="I76" s="733"/>
      <c r="J76" s="727">
        <v>1500</v>
      </c>
      <c r="K76" s="727"/>
      <c r="L76" s="724"/>
      <c r="M76" s="897">
        <f>SharedAdmin!I6</f>
        <v>0</v>
      </c>
    </row>
    <row r="77" spans="2:13" x14ac:dyDescent="0.2">
      <c r="B77" s="742" t="s">
        <v>1161</v>
      </c>
      <c r="C77" s="724"/>
      <c r="D77" s="724"/>
      <c r="E77" s="724"/>
      <c r="F77" s="724">
        <v>478</v>
      </c>
      <c r="G77" s="724">
        <v>450</v>
      </c>
      <c r="H77" s="724"/>
      <c r="I77" s="724">
        <v>459</v>
      </c>
      <c r="J77" s="727">
        <v>1200</v>
      </c>
      <c r="K77" s="727"/>
      <c r="L77" s="724"/>
      <c r="M77" s="897">
        <f>SharedAdmin!I7</f>
        <v>1236</v>
      </c>
    </row>
    <row r="78" spans="2:13" x14ac:dyDescent="0.2">
      <c r="B78" s="742" t="s">
        <v>1159</v>
      </c>
      <c r="C78" s="724"/>
      <c r="D78" s="724"/>
      <c r="E78" s="724"/>
      <c r="F78" s="724">
        <v>1140</v>
      </c>
      <c r="G78" s="724">
        <v>850</v>
      </c>
      <c r="H78" s="724"/>
      <c r="I78" s="724">
        <v>0</v>
      </c>
      <c r="J78" s="727">
        <v>1200</v>
      </c>
      <c r="K78" s="727"/>
      <c r="L78" s="724"/>
      <c r="M78" s="897">
        <f>SharedAdmin!I8</f>
        <v>1708.6000000000001</v>
      </c>
    </row>
    <row r="79" spans="2:13" x14ac:dyDescent="0.2">
      <c r="B79" s="742" t="s">
        <v>1101</v>
      </c>
      <c r="C79" s="724"/>
      <c r="D79" s="724"/>
      <c r="E79" s="724"/>
      <c r="F79" s="724"/>
      <c r="G79" s="724"/>
      <c r="H79" s="724"/>
      <c r="I79" s="733"/>
      <c r="J79" s="727">
        <v>0</v>
      </c>
      <c r="K79" s="727"/>
      <c r="L79" s="724"/>
      <c r="M79" s="897">
        <f>SharedAdmin!I9</f>
        <v>0</v>
      </c>
    </row>
    <row r="80" spans="2:13" x14ac:dyDescent="0.2">
      <c r="B80" s="742" t="s">
        <v>1102</v>
      </c>
      <c r="C80" s="724"/>
      <c r="D80" s="724"/>
      <c r="E80" s="724"/>
      <c r="F80" s="724"/>
      <c r="G80" s="724"/>
      <c r="H80" s="724"/>
      <c r="I80" s="733"/>
      <c r="J80" s="727">
        <v>0</v>
      </c>
      <c r="K80" s="727"/>
      <c r="L80" s="724"/>
      <c r="M80" s="897">
        <f>SharedAdmin!I10</f>
        <v>0</v>
      </c>
    </row>
    <row r="81" spans="2:15" x14ac:dyDescent="0.2">
      <c r="B81" s="742" t="s">
        <v>1103</v>
      </c>
      <c r="C81" s="724"/>
      <c r="D81" s="724"/>
      <c r="E81" s="724"/>
      <c r="F81" s="724"/>
      <c r="G81" s="724"/>
      <c r="H81" s="724"/>
      <c r="I81" s="733"/>
      <c r="J81" s="727">
        <v>0</v>
      </c>
      <c r="K81" s="727"/>
      <c r="L81" s="724"/>
      <c r="M81" s="897">
        <f>SharedAdmin!I11</f>
        <v>0</v>
      </c>
    </row>
    <row r="82" spans="2:15" x14ac:dyDescent="0.2">
      <c r="B82" s="742" t="s">
        <v>1104</v>
      </c>
      <c r="C82" s="724"/>
      <c r="D82" s="724"/>
      <c r="E82" s="724"/>
      <c r="F82" s="724"/>
      <c r="G82" s="724"/>
      <c r="H82" s="724"/>
      <c r="I82" s="733"/>
      <c r="J82" s="727">
        <v>0</v>
      </c>
      <c r="K82" s="727"/>
      <c r="L82" s="724"/>
      <c r="M82" s="897">
        <f>SharedAdmin!I12</f>
        <v>0</v>
      </c>
    </row>
    <row r="83" spans="2:15" x14ac:dyDescent="0.2">
      <c r="B83" s="742" t="s">
        <v>1105</v>
      </c>
      <c r="C83" s="724"/>
      <c r="D83" s="724"/>
      <c r="E83" s="724"/>
      <c r="F83" s="724"/>
      <c r="G83" s="724"/>
      <c r="H83" s="724"/>
      <c r="I83" s="726">
        <f>987+177</f>
        <v>1164</v>
      </c>
      <c r="J83" s="727">
        <v>0</v>
      </c>
      <c r="K83" s="727"/>
      <c r="L83" s="724"/>
      <c r="M83" s="897">
        <f>SharedAdmin!I13</f>
        <v>0</v>
      </c>
    </row>
    <row r="84" spans="2:15" x14ac:dyDescent="0.2">
      <c r="B84" s="728" t="s">
        <v>1094</v>
      </c>
      <c r="C84" s="729">
        <f>ROUND(SUM(C73:C83),5)</f>
        <v>0</v>
      </c>
      <c r="D84" s="729">
        <f>ROUND(SUM(D73:D83),5)</f>
        <v>0</v>
      </c>
      <c r="E84" s="729"/>
      <c r="F84" s="729">
        <f>ROUND(SUM(F73:F83),5)</f>
        <v>8640</v>
      </c>
      <c r="G84" s="729">
        <f>SUM(G74:G83)</f>
        <v>6514</v>
      </c>
      <c r="H84" s="729"/>
      <c r="I84" s="729">
        <f t="shared" ref="I84" si="6">SUM(I74:I83)</f>
        <v>12119</v>
      </c>
      <c r="J84" s="729">
        <f>SUM(J74:J83)</f>
        <v>10900</v>
      </c>
      <c r="K84" s="729"/>
      <c r="L84" s="729"/>
      <c r="M84" s="729">
        <f>SUM(M74:M83)</f>
        <v>11944.6</v>
      </c>
    </row>
    <row r="85" spans="2:15" x14ac:dyDescent="0.2">
      <c r="B85" s="730"/>
      <c r="C85" s="724"/>
      <c r="D85" s="724"/>
      <c r="E85" s="724"/>
      <c r="F85" s="724"/>
      <c r="G85" s="724"/>
      <c r="H85" s="724"/>
      <c r="I85" s="724"/>
      <c r="J85" s="724"/>
      <c r="K85" s="724"/>
      <c r="L85" s="724"/>
      <c r="M85" s="724"/>
    </row>
    <row r="86" spans="2:15" ht="16" x14ac:dyDescent="0.2">
      <c r="B86" s="1004" t="s">
        <v>591</v>
      </c>
      <c r="C86" s="1003">
        <f>C31+C40+C52+C84+C71</f>
        <v>212910</v>
      </c>
      <c r="D86" s="1003">
        <f>D31+D40+D52+D84+D71</f>
        <v>220663</v>
      </c>
      <c r="E86" s="1003"/>
      <c r="F86" s="1003">
        <f>F31+F40+F52+F84+F71</f>
        <v>248721</v>
      </c>
      <c r="G86" s="1003">
        <f>G31+G40+G52+G84+G71</f>
        <v>236730.25949999999</v>
      </c>
      <c r="H86" s="1003"/>
      <c r="I86" s="1003">
        <f>I31+I40+I52+I84+I71</f>
        <v>183168.5</v>
      </c>
      <c r="J86" s="1003">
        <f>J31+J40+J52+J84+J71</f>
        <v>316346.34743999998</v>
      </c>
      <c r="K86" s="1003"/>
      <c r="L86" s="1003"/>
      <c r="M86" s="1003">
        <f>M31+M40+M52+M84+M71</f>
        <v>292948.08218000003</v>
      </c>
      <c r="N86" s="1062"/>
      <c r="O86" s="1062"/>
    </row>
    <row r="87" spans="2:15" x14ac:dyDescent="0.2">
      <c r="B87" s="730"/>
      <c r="C87" s="724"/>
      <c r="D87" s="724"/>
      <c r="E87" s="724"/>
      <c r="F87" s="724"/>
      <c r="G87" s="724"/>
      <c r="H87" s="724"/>
      <c r="I87" s="724"/>
      <c r="J87" s="724"/>
      <c r="K87" s="724"/>
      <c r="L87" s="724"/>
      <c r="M87" s="724"/>
    </row>
    <row r="88" spans="2:15" ht="19" x14ac:dyDescent="0.25">
      <c r="B88" s="1000" t="s">
        <v>1125</v>
      </c>
      <c r="C88" s="1001">
        <f>ROUND(C26-C86,5)</f>
        <v>155423</v>
      </c>
      <c r="D88" s="1001">
        <f>ROUND(D26-D86,5)</f>
        <v>156655</v>
      </c>
      <c r="E88" s="1001"/>
      <c r="F88" s="1001">
        <f>ROUND(F26-F86,5)</f>
        <v>197883</v>
      </c>
      <c r="G88" s="1001">
        <f>ROUND(G26-G86,5)</f>
        <v>165519.25795</v>
      </c>
      <c r="H88" s="1001"/>
      <c r="I88" s="1001">
        <f>ROUND(I26-I86,5)</f>
        <v>398592.6</v>
      </c>
      <c r="J88" s="1001">
        <f>ROUND(J26-J86,5)</f>
        <v>131240.65255999999</v>
      </c>
      <c r="K88" s="1001"/>
      <c r="L88" s="1002"/>
      <c r="M88" s="1001">
        <f>ROUND(M26-M86,5)</f>
        <v>177564.91782</v>
      </c>
      <c r="N88" s="1062"/>
      <c r="O88" s="1062"/>
    </row>
  </sheetData>
  <sheetProtection algorithmName="SHA-512" hashValue="faDUKid0dp3WRrZCxclpXsUQGu+0hLe2WARzWpEBJhu8vBlEukoTqmevBYFNBnkqcRp5LdlgUp9YZ0T5nkSU7A==" saltValue="ONf9PgHaH313aYwL+ZNX/g==" spinCount="100000" sheet="1" objects="1" scenarios="1"/>
  <mergeCells count="1">
    <mergeCell ref="B2:M2"/>
  </mergeCells>
  <pageMargins left="0.7" right="0.7" top="0.5" bottom="0.5" header="0.3" footer="0.3"/>
  <pageSetup fitToWidth="0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8400-58D5-40C2-9E28-A28C96CF71A3}">
  <sheetPr>
    <tabColor theme="4" tint="0.79998168889431442"/>
  </sheetPr>
  <dimension ref="B2:M67"/>
  <sheetViews>
    <sheetView zoomScale="130" zoomScaleNormal="130" workbookViewId="0">
      <pane xSplit="2" ySplit="3" topLeftCell="C4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3.83203125" customWidth="1"/>
    <col min="2" max="2" width="43.1640625" customWidth="1"/>
    <col min="3" max="4" width="14.1640625" customWidth="1"/>
    <col min="5" max="5" width="1.83203125" customWidth="1"/>
    <col min="6" max="7" width="14.1640625" customWidth="1"/>
    <col min="8" max="8" width="1.83203125" customWidth="1"/>
    <col min="9" max="10" width="14.1640625" customWidth="1"/>
    <col min="11" max="11" width="1.83203125" customWidth="1"/>
    <col min="12" max="13" width="14.1640625" customWidth="1"/>
  </cols>
  <sheetData>
    <row r="2" spans="2:13" ht="21" x14ac:dyDescent="0.25">
      <c r="B2" s="1066" t="s">
        <v>726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8"/>
    </row>
    <row r="3" spans="2:13" x14ac:dyDescent="0.2">
      <c r="B3" s="835"/>
      <c r="C3" s="835" t="s">
        <v>699</v>
      </c>
      <c r="D3" s="835" t="s">
        <v>592</v>
      </c>
      <c r="E3" s="835"/>
      <c r="F3" s="835" t="s">
        <v>1188</v>
      </c>
      <c r="G3" s="68" t="s">
        <v>689</v>
      </c>
      <c r="H3" s="68"/>
      <c r="I3" s="764" t="s">
        <v>1413</v>
      </c>
      <c r="J3" s="764" t="s">
        <v>1197</v>
      </c>
      <c r="K3" s="764"/>
      <c r="L3" s="764" t="s">
        <v>1415</v>
      </c>
      <c r="M3" s="764" t="s">
        <v>1414</v>
      </c>
    </row>
    <row r="4" spans="2:13" x14ac:dyDescent="0.2">
      <c r="B4" s="836"/>
      <c r="C4" s="771"/>
      <c r="D4" s="771"/>
      <c r="E4" s="771"/>
      <c r="F4" s="771"/>
      <c r="G4" s="65"/>
      <c r="H4" s="65"/>
      <c r="I4" s="65"/>
      <c r="J4" s="65"/>
      <c r="K4" s="65"/>
      <c r="L4" s="65"/>
      <c r="M4" s="443"/>
    </row>
    <row r="5" spans="2:13" ht="16" x14ac:dyDescent="0.2">
      <c r="B5" s="1009" t="s">
        <v>331</v>
      </c>
      <c r="C5" s="1010"/>
      <c r="D5" s="1010"/>
      <c r="E5" s="1010"/>
      <c r="F5" s="1010"/>
      <c r="G5" s="1011"/>
      <c r="H5" s="1011"/>
      <c r="I5" s="1011"/>
      <c r="J5" s="1011"/>
      <c r="K5" s="1011"/>
      <c r="L5" s="1011"/>
      <c r="M5" s="1012"/>
    </row>
    <row r="6" spans="2:13" x14ac:dyDescent="0.2">
      <c r="B6" s="723" t="s">
        <v>559</v>
      </c>
      <c r="C6" s="724">
        <v>49638</v>
      </c>
      <c r="D6" s="724">
        <v>52018</v>
      </c>
      <c r="E6" s="724"/>
      <c r="F6" s="724">
        <v>79649</v>
      </c>
      <c r="G6" s="740">
        <f>CorralRev!G39</f>
        <v>50018</v>
      </c>
      <c r="H6" s="740"/>
      <c r="I6" s="921">
        <v>107865</v>
      </c>
      <c r="J6" s="740">
        <f>CorralRev!O21</f>
        <v>77260</v>
      </c>
      <c r="K6" s="740"/>
      <c r="L6" s="740"/>
      <c r="M6" s="751">
        <v>77170</v>
      </c>
    </row>
    <row r="7" spans="2:13" x14ac:dyDescent="0.2">
      <c r="B7" s="723" t="s">
        <v>1558</v>
      </c>
      <c r="C7" s="724">
        <v>15537</v>
      </c>
      <c r="D7" s="724">
        <v>13400</v>
      </c>
      <c r="E7" s="724"/>
      <c r="F7" s="724">
        <v>13110</v>
      </c>
      <c r="G7" s="724">
        <f>ParkingRev!H53</f>
        <v>17145</v>
      </c>
      <c r="H7" s="724"/>
      <c r="I7" s="922">
        <v>34290</v>
      </c>
      <c r="J7" s="724">
        <f>ParkingRev!H27</f>
        <v>17710</v>
      </c>
      <c r="K7" s="724"/>
      <c r="L7" s="724"/>
      <c r="M7" s="751">
        <f>15130</f>
        <v>15130</v>
      </c>
    </row>
    <row r="8" spans="2:13" x14ac:dyDescent="0.2">
      <c r="B8" s="994" t="s">
        <v>1557</v>
      </c>
      <c r="C8" s="724"/>
      <c r="D8" s="724"/>
      <c r="E8" s="724"/>
      <c r="F8" s="724"/>
      <c r="G8" s="724"/>
      <c r="H8" s="724"/>
      <c r="I8" s="922"/>
      <c r="J8" s="724"/>
      <c r="K8" s="724"/>
      <c r="L8" s="724"/>
      <c r="M8" s="751">
        <v>15000</v>
      </c>
    </row>
    <row r="9" spans="2:13" x14ac:dyDescent="0.2">
      <c r="B9" s="723" t="s">
        <v>1332</v>
      </c>
      <c r="C9" s="724"/>
      <c r="D9" s="724"/>
      <c r="E9" s="724"/>
      <c r="F9" s="724"/>
      <c r="G9" s="724"/>
      <c r="H9" s="724"/>
      <c r="I9" s="741">
        <v>11100</v>
      </c>
      <c r="J9" s="727">
        <v>12000</v>
      </c>
      <c r="K9" s="727"/>
      <c r="L9" s="724"/>
      <c r="M9" s="551">
        <v>12000</v>
      </c>
    </row>
    <row r="10" spans="2:13" x14ac:dyDescent="0.2">
      <c r="B10" s="840" t="s">
        <v>1331</v>
      </c>
      <c r="C10" s="443"/>
      <c r="D10" s="443"/>
      <c r="E10" s="443"/>
      <c r="F10" s="443"/>
      <c r="G10" s="443"/>
      <c r="H10" s="443"/>
      <c r="I10" s="568"/>
      <c r="J10" s="443"/>
      <c r="K10" s="443"/>
      <c r="L10" s="443"/>
      <c r="M10" s="551"/>
    </row>
    <row r="11" spans="2:13" ht="16" x14ac:dyDescent="0.2">
      <c r="B11" s="1004" t="s">
        <v>563</v>
      </c>
      <c r="C11" s="1003">
        <f>ROUND(SUM(C5:C7),5)</f>
        <v>65175</v>
      </c>
      <c r="D11" s="1003">
        <f>ROUND(SUM(D5:D7),5)</f>
        <v>65418</v>
      </c>
      <c r="E11" s="1003"/>
      <c r="F11" s="1003">
        <f>ROUND(SUM(F5:F7),5)</f>
        <v>92759</v>
      </c>
      <c r="G11" s="1003">
        <f t="shared" ref="G11:L11" si="0">ROUND(SUM(G5:G7),5)</f>
        <v>67163</v>
      </c>
      <c r="H11" s="1003">
        <f t="shared" si="0"/>
        <v>0</v>
      </c>
      <c r="I11" s="1003">
        <f t="shared" si="0"/>
        <v>142155</v>
      </c>
      <c r="J11" s="1003">
        <f t="shared" si="0"/>
        <v>94970</v>
      </c>
      <c r="K11" s="1003"/>
      <c r="L11" s="1003">
        <f t="shared" si="0"/>
        <v>0</v>
      </c>
      <c r="M11" s="1003">
        <f>ROUND(SUM(M6:M9),5)</f>
        <v>119300</v>
      </c>
    </row>
    <row r="12" spans="2:13" x14ac:dyDescent="0.2">
      <c r="B12" s="837"/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38"/>
    </row>
    <row r="13" spans="2:13" ht="16" x14ac:dyDescent="0.2">
      <c r="B13" s="1004" t="s">
        <v>8</v>
      </c>
      <c r="C13" s="1005"/>
      <c r="D13" s="1005"/>
      <c r="E13" s="1005"/>
      <c r="F13" s="1005"/>
      <c r="G13" s="1005"/>
      <c r="H13" s="1005"/>
      <c r="I13" s="1005"/>
      <c r="J13" s="1005"/>
      <c r="K13" s="1005"/>
      <c r="L13" s="1005"/>
      <c r="M13" s="1006"/>
    </row>
    <row r="14" spans="2:13" ht="6" customHeight="1" x14ac:dyDescent="0.2">
      <c r="B14" s="730"/>
      <c r="C14" s="724"/>
      <c r="D14" s="724"/>
      <c r="E14" s="724"/>
      <c r="F14" s="724"/>
      <c r="G14" s="724"/>
      <c r="H14" s="724"/>
      <c r="I14" s="724"/>
      <c r="J14" s="724"/>
      <c r="K14" s="724"/>
      <c r="L14" s="724"/>
      <c r="M14" s="727"/>
    </row>
    <row r="15" spans="2:13" x14ac:dyDescent="0.2">
      <c r="B15" s="728" t="s">
        <v>9</v>
      </c>
      <c r="C15" s="731"/>
      <c r="D15" s="731"/>
      <c r="E15" s="731"/>
      <c r="F15" s="731"/>
      <c r="G15" s="731"/>
      <c r="H15" s="731"/>
      <c r="I15" s="731"/>
      <c r="J15" s="731"/>
      <c r="K15" s="731"/>
      <c r="L15" s="731"/>
      <c r="M15" s="732"/>
    </row>
    <row r="16" spans="2:13" x14ac:dyDescent="0.2">
      <c r="B16" s="738" t="s">
        <v>674</v>
      </c>
      <c r="C16" s="739">
        <v>6739</v>
      </c>
      <c r="D16" s="739">
        <v>6739</v>
      </c>
      <c r="E16" s="739"/>
      <c r="F16" s="739">
        <v>10005</v>
      </c>
      <c r="G16" s="724">
        <f>Insurance!AW22</f>
        <v>12670</v>
      </c>
      <c r="H16" s="724"/>
      <c r="I16" s="726">
        <v>8879</v>
      </c>
      <c r="J16" s="910">
        <f>Insurance!AZ22</f>
        <v>8878.9687224350346</v>
      </c>
      <c r="K16" s="724"/>
      <c r="L16" s="724"/>
      <c r="M16" s="897">
        <f>Insurance!BC22</f>
        <v>9766.8655946785384</v>
      </c>
    </row>
    <row r="17" spans="2:13" x14ac:dyDescent="0.2">
      <c r="B17" s="728" t="s">
        <v>570</v>
      </c>
      <c r="C17" s="729">
        <f>ROUND(SUM(C15:C16),5)</f>
        <v>6739</v>
      </c>
      <c r="D17" s="729">
        <f>ROUND(SUM(D15:D16),5)</f>
        <v>6739</v>
      </c>
      <c r="E17" s="729"/>
      <c r="F17" s="729">
        <f>ROUND(SUM(F15:F16),5)</f>
        <v>10005</v>
      </c>
      <c r="G17" s="729">
        <f t="shared" ref="G17:J17" si="1">ROUND(SUM(G15:G16),5)</f>
        <v>12670</v>
      </c>
      <c r="H17" s="729">
        <f t="shared" si="1"/>
        <v>0</v>
      </c>
      <c r="I17" s="729">
        <f t="shared" si="1"/>
        <v>8879</v>
      </c>
      <c r="J17" s="729">
        <f t="shared" si="1"/>
        <v>8878.9687200000008</v>
      </c>
      <c r="K17" s="729"/>
      <c r="L17" s="729"/>
      <c r="M17" s="729">
        <f>ROUND(SUM(M15:M16),5)</f>
        <v>9766.8655899999994</v>
      </c>
    </row>
    <row r="18" spans="2:13" ht="6" customHeight="1" x14ac:dyDescent="0.2">
      <c r="B18" s="730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27"/>
    </row>
    <row r="19" spans="2:13" x14ac:dyDescent="0.2">
      <c r="B19" s="728" t="s">
        <v>575</v>
      </c>
      <c r="C19" s="731"/>
      <c r="D19" s="731"/>
      <c r="E19" s="731"/>
      <c r="F19" s="731"/>
      <c r="G19" s="731"/>
      <c r="H19" s="731"/>
      <c r="I19" s="731"/>
      <c r="J19" s="731"/>
      <c r="K19" s="731"/>
      <c r="L19" s="731"/>
      <c r="M19" s="732"/>
    </row>
    <row r="20" spans="2:13" hidden="1" x14ac:dyDescent="0.2">
      <c r="B20" s="738" t="s">
        <v>619</v>
      </c>
      <c r="C20" s="739">
        <v>0</v>
      </c>
      <c r="D20" s="739">
        <v>0</v>
      </c>
      <c r="E20" s="739"/>
      <c r="F20" s="739"/>
      <c r="G20" s="739">
        <v>0</v>
      </c>
      <c r="H20" s="739"/>
      <c r="I20" s="739"/>
      <c r="J20" s="739"/>
      <c r="K20" s="739"/>
      <c r="L20" s="739"/>
      <c r="M20" s="443"/>
    </row>
    <row r="21" spans="2:13" x14ac:dyDescent="0.2">
      <c r="B21" s="738" t="s">
        <v>620</v>
      </c>
      <c r="C21" s="739">
        <v>15415</v>
      </c>
      <c r="D21" s="739">
        <v>17000</v>
      </c>
      <c r="E21" s="739"/>
      <c r="F21" s="739">
        <v>66</v>
      </c>
      <c r="G21" s="724">
        <v>500</v>
      </c>
      <c r="H21" s="724"/>
      <c r="I21" s="922">
        <v>0</v>
      </c>
      <c r="J21" s="839">
        <v>10000</v>
      </c>
      <c r="K21" s="839"/>
      <c r="L21" s="724"/>
      <c r="M21" s="588">
        <v>10000</v>
      </c>
    </row>
    <row r="22" spans="2:13" x14ac:dyDescent="0.2">
      <c r="B22" s="738" t="s">
        <v>1320</v>
      </c>
      <c r="C22" s="739"/>
      <c r="D22" s="739"/>
      <c r="E22" s="739"/>
      <c r="F22" s="739"/>
      <c r="G22" s="724"/>
      <c r="H22" s="724"/>
      <c r="I22" s="922">
        <v>11451.35</v>
      </c>
      <c r="J22" s="740">
        <v>14250</v>
      </c>
      <c r="K22" s="740"/>
      <c r="L22" s="724"/>
      <c r="M22" s="588">
        <v>12000</v>
      </c>
    </row>
    <row r="23" spans="2:13" x14ac:dyDescent="0.2">
      <c r="B23" s="738" t="s">
        <v>1470</v>
      </c>
      <c r="C23" s="739"/>
      <c r="D23" s="739"/>
      <c r="E23" s="739"/>
      <c r="F23" s="739"/>
      <c r="G23" s="724"/>
      <c r="H23" s="724"/>
      <c r="I23" s="739"/>
      <c r="J23" s="740"/>
      <c r="K23" s="740"/>
      <c r="L23" s="724"/>
      <c r="M23" s="725">
        <v>5000</v>
      </c>
    </row>
    <row r="24" spans="2:13" x14ac:dyDescent="0.2">
      <c r="B24" s="874" t="s">
        <v>1149</v>
      </c>
      <c r="C24" s="739">
        <v>3159</v>
      </c>
      <c r="D24" s="739">
        <v>3000</v>
      </c>
      <c r="E24" s="739"/>
      <c r="F24" s="739">
        <v>100</v>
      </c>
      <c r="G24" s="724">
        <v>200</v>
      </c>
      <c r="H24" s="724"/>
      <c r="I24" s="724">
        <v>0</v>
      </c>
      <c r="J24" s="740">
        <v>200</v>
      </c>
      <c r="K24" s="740"/>
      <c r="L24" s="724"/>
      <c r="M24" s="588"/>
    </row>
    <row r="25" spans="2:13" x14ac:dyDescent="0.2">
      <c r="B25" s="738" t="s">
        <v>621</v>
      </c>
      <c r="C25" s="739">
        <v>1591</v>
      </c>
      <c r="D25" s="739">
        <v>2500</v>
      </c>
      <c r="E25" s="739"/>
      <c r="F25" s="739">
        <v>2897</v>
      </c>
      <c r="G25" s="724">
        <v>1500</v>
      </c>
      <c r="H25" s="724"/>
      <c r="I25" s="724">
        <v>5638</v>
      </c>
      <c r="J25" s="727">
        <v>6000</v>
      </c>
      <c r="K25" s="727"/>
      <c r="L25" s="724"/>
      <c r="M25" s="551">
        <v>6000</v>
      </c>
    </row>
    <row r="26" spans="2:13" x14ac:dyDescent="0.2">
      <c r="B26" s="728" t="s">
        <v>577</v>
      </c>
      <c r="C26" s="729">
        <f>ROUND(SUM(C19:C25),5)</f>
        <v>20165</v>
      </c>
      <c r="D26" s="729">
        <f>ROUND(SUM(D19:D25),5)</f>
        <v>22500</v>
      </c>
      <c r="E26" s="729"/>
      <c r="F26" s="729">
        <f>ROUND(SUM(F19:F25),5)</f>
        <v>3063</v>
      </c>
      <c r="G26" s="729">
        <f t="shared" ref="G26:J26" si="2">ROUND(SUM(G19:G25),5)</f>
        <v>2200</v>
      </c>
      <c r="H26" s="729">
        <f t="shared" si="2"/>
        <v>0</v>
      </c>
      <c r="I26" s="729">
        <f t="shared" si="2"/>
        <v>17089.349999999999</v>
      </c>
      <c r="J26" s="729">
        <f t="shared" si="2"/>
        <v>30450</v>
      </c>
      <c r="K26" s="729"/>
      <c r="L26" s="729"/>
      <c r="M26" s="729">
        <f>ROUND(SUM(M21:M25),5)</f>
        <v>33000</v>
      </c>
    </row>
    <row r="27" spans="2:13" ht="6" customHeight="1" x14ac:dyDescent="0.2">
      <c r="B27" s="730"/>
      <c r="C27" s="724"/>
      <c r="D27" s="724"/>
      <c r="E27" s="724"/>
      <c r="F27" s="724"/>
      <c r="G27" s="724"/>
      <c r="H27" s="724"/>
      <c r="I27" s="724"/>
      <c r="J27" s="724"/>
      <c r="K27" s="724"/>
      <c r="L27" s="724"/>
      <c r="M27" s="727"/>
    </row>
    <row r="28" spans="2:13" x14ac:dyDescent="0.2">
      <c r="B28" s="728" t="s">
        <v>1113</v>
      </c>
      <c r="C28" s="731"/>
      <c r="D28" s="731"/>
      <c r="E28" s="731"/>
      <c r="F28" s="731"/>
      <c r="G28" s="731"/>
      <c r="H28" s="731"/>
      <c r="I28" s="731"/>
      <c r="J28" s="731"/>
      <c r="K28" s="731"/>
      <c r="L28" s="731"/>
      <c r="M28" s="732"/>
    </row>
    <row r="29" spans="2:13" x14ac:dyDescent="0.2">
      <c r="B29" s="723" t="s">
        <v>1150</v>
      </c>
      <c r="C29" s="724">
        <v>5151</v>
      </c>
      <c r="D29" s="724">
        <v>18630</v>
      </c>
      <c r="E29" s="724"/>
      <c r="F29" s="724">
        <v>3686</v>
      </c>
      <c r="G29" s="724">
        <f>Payroll!N36</f>
        <v>3308</v>
      </c>
      <c r="H29" s="724"/>
      <c r="I29" s="733"/>
      <c r="J29" s="724">
        <v>2100</v>
      </c>
      <c r="K29" s="724"/>
      <c r="L29" s="724"/>
      <c r="M29" s="897">
        <f>Payroll!G6</f>
        <v>3308</v>
      </c>
    </row>
    <row r="30" spans="2:13" x14ac:dyDescent="0.2">
      <c r="B30" s="723" t="s">
        <v>1148</v>
      </c>
      <c r="C30" s="724"/>
      <c r="D30" s="724"/>
      <c r="E30" s="724"/>
      <c r="F30" s="724">
        <v>4842</v>
      </c>
      <c r="G30" s="724">
        <f>Payroll!N35</f>
        <v>20250</v>
      </c>
      <c r="H30" s="724"/>
      <c r="I30" s="724">
        <v>3857</v>
      </c>
      <c r="J30" s="724">
        <v>10335</v>
      </c>
      <c r="K30" s="724"/>
      <c r="L30" s="724"/>
      <c r="M30" s="897">
        <f>Payroll!G5</f>
        <v>20250</v>
      </c>
    </row>
    <row r="31" spans="2:13" x14ac:dyDescent="0.2">
      <c r="B31" s="723" t="s">
        <v>1419</v>
      </c>
      <c r="C31" s="724">
        <v>25537</v>
      </c>
      <c r="D31" s="724">
        <v>24300</v>
      </c>
      <c r="E31" s="724"/>
      <c r="F31" s="724">
        <v>47665</v>
      </c>
      <c r="G31" s="724">
        <f>Payroll!G4</f>
        <v>27562.5</v>
      </c>
      <c r="H31" s="724"/>
      <c r="I31" s="724">
        <v>42569</v>
      </c>
      <c r="J31" s="724">
        <v>26250</v>
      </c>
      <c r="K31" s="724"/>
      <c r="L31" s="724"/>
      <c r="M31" s="897">
        <f>Payroll!G4</f>
        <v>27562.5</v>
      </c>
    </row>
    <row r="32" spans="2:13" x14ac:dyDescent="0.2">
      <c r="B32" s="723" t="s">
        <v>1314</v>
      </c>
      <c r="C32" s="724"/>
      <c r="D32" s="724"/>
      <c r="E32" s="724"/>
      <c r="F32" s="724">
        <v>5621</v>
      </c>
      <c r="G32" s="724">
        <f>Payroll!N37</f>
        <v>25600</v>
      </c>
      <c r="H32" s="724"/>
      <c r="I32" s="733"/>
      <c r="J32" s="724">
        <v>22500</v>
      </c>
      <c r="K32" s="724"/>
      <c r="L32" s="724"/>
      <c r="M32" s="897">
        <f>Payroll!G7</f>
        <v>24000</v>
      </c>
    </row>
    <row r="33" spans="2:13" x14ac:dyDescent="0.2">
      <c r="B33" s="723" t="s">
        <v>1528</v>
      </c>
      <c r="C33" s="724"/>
      <c r="D33" s="724"/>
      <c r="E33" s="724"/>
      <c r="F33" s="724"/>
      <c r="G33" s="724"/>
      <c r="H33" s="724"/>
      <c r="I33" s="733"/>
      <c r="J33" s="724"/>
      <c r="K33" s="724"/>
      <c r="L33" s="724"/>
      <c r="M33" s="897">
        <f>Payroll!G11</f>
        <v>1600</v>
      </c>
    </row>
    <row r="34" spans="2:13" x14ac:dyDescent="0.2">
      <c r="B34" s="723" t="s">
        <v>1123</v>
      </c>
      <c r="C34" s="724">
        <v>1001</v>
      </c>
      <c r="D34" s="724">
        <v>646</v>
      </c>
      <c r="E34" s="724"/>
      <c r="F34" s="724">
        <v>853</v>
      </c>
      <c r="G34" s="724">
        <v>1000</v>
      </c>
      <c r="H34" s="724"/>
      <c r="I34" s="724">
        <v>0</v>
      </c>
      <c r="J34" s="724"/>
      <c r="K34" s="724"/>
      <c r="L34" s="724"/>
      <c r="M34" s="551">
        <v>1000</v>
      </c>
    </row>
    <row r="35" spans="2:13" x14ac:dyDescent="0.2">
      <c r="B35" s="723" t="s">
        <v>700</v>
      </c>
      <c r="C35" s="724"/>
      <c r="D35" s="724"/>
      <c r="E35" s="724"/>
      <c r="F35" s="724">
        <v>3571</v>
      </c>
      <c r="G35" s="724">
        <f>(G29+G30+G31+G32)*0.0765</f>
        <v>5869.1182499999995</v>
      </c>
      <c r="H35" s="724"/>
      <c r="I35" s="724">
        <v>0</v>
      </c>
      <c r="J35" s="724"/>
      <c r="K35" s="724"/>
      <c r="L35" s="724"/>
      <c r="M35" s="551">
        <v>4000</v>
      </c>
    </row>
    <row r="36" spans="2:13" x14ac:dyDescent="0.2">
      <c r="B36" s="728" t="s">
        <v>584</v>
      </c>
      <c r="C36" s="729">
        <f>ROUND(SUM(C28:C35),5)</f>
        <v>31689</v>
      </c>
      <c r="D36" s="729">
        <f>ROUND(SUM(D28:D35),5)</f>
        <v>43576</v>
      </c>
      <c r="E36" s="729"/>
      <c r="F36" s="729">
        <f>ROUND(SUM(F28:F35),5)</f>
        <v>66238</v>
      </c>
      <c r="G36" s="729">
        <f t="shared" ref="G36:L36" si="3">ROUND(SUM(G28:G35),5)</f>
        <v>83589.61825</v>
      </c>
      <c r="H36" s="729">
        <f t="shared" si="3"/>
        <v>0</v>
      </c>
      <c r="I36" s="729">
        <f t="shared" si="3"/>
        <v>46426</v>
      </c>
      <c r="J36" s="729">
        <f t="shared" si="3"/>
        <v>61185</v>
      </c>
      <c r="K36" s="729"/>
      <c r="L36" s="729">
        <f t="shared" si="3"/>
        <v>0</v>
      </c>
      <c r="M36" s="729">
        <f>ROUND(SUM(M29:M35),5)</f>
        <v>81720.5</v>
      </c>
    </row>
    <row r="37" spans="2:13" ht="6" customHeight="1" x14ac:dyDescent="0.2">
      <c r="B37" s="730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443"/>
    </row>
    <row r="38" spans="2:13" x14ac:dyDescent="0.2">
      <c r="B38" s="728" t="s">
        <v>632</v>
      </c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2"/>
    </row>
    <row r="39" spans="2:13" x14ac:dyDescent="0.2">
      <c r="B39" s="738" t="s">
        <v>1151</v>
      </c>
      <c r="C39" s="739"/>
      <c r="D39" s="739"/>
      <c r="E39" s="739"/>
      <c r="F39" s="739">
        <v>6776</v>
      </c>
      <c r="G39" s="724">
        <v>5000</v>
      </c>
      <c r="H39" s="724"/>
      <c r="I39" s="726">
        <f>585+585</f>
        <v>1170</v>
      </c>
      <c r="J39" s="443">
        <v>5000</v>
      </c>
      <c r="K39" s="443"/>
      <c r="L39" s="724"/>
      <c r="M39" s="551">
        <f>J39*1.03</f>
        <v>5150</v>
      </c>
    </row>
    <row r="40" spans="2:13" x14ac:dyDescent="0.2">
      <c r="B40" s="723" t="s">
        <v>1152</v>
      </c>
      <c r="C40" s="739"/>
      <c r="D40" s="739"/>
      <c r="E40" s="739"/>
      <c r="F40" s="739"/>
      <c r="G40" s="724">
        <v>10000</v>
      </c>
      <c r="H40" s="724"/>
      <c r="I40" s="733"/>
      <c r="J40" s="443">
        <v>0</v>
      </c>
      <c r="K40" s="443"/>
      <c r="L40" s="724"/>
      <c r="M40" s="551">
        <f t="shared" ref="M40:M48" si="4">J40*1.03</f>
        <v>0</v>
      </c>
    </row>
    <row r="41" spans="2:13" hidden="1" x14ac:dyDescent="0.2">
      <c r="B41" s="738" t="s">
        <v>622</v>
      </c>
      <c r="C41" s="739">
        <v>0</v>
      </c>
      <c r="D41" s="739">
        <v>0</v>
      </c>
      <c r="E41" s="739"/>
      <c r="F41" s="739"/>
      <c r="G41" s="739">
        <v>0</v>
      </c>
      <c r="H41" s="739"/>
      <c r="I41" s="739"/>
      <c r="J41" s="443"/>
      <c r="K41" s="443"/>
      <c r="L41" s="739"/>
      <c r="M41" s="551">
        <f t="shared" si="4"/>
        <v>0</v>
      </c>
    </row>
    <row r="42" spans="2:13" x14ac:dyDescent="0.2">
      <c r="B42" s="738" t="s">
        <v>1195</v>
      </c>
      <c r="C42" s="739"/>
      <c r="D42" s="739"/>
      <c r="E42" s="739"/>
      <c r="F42" s="739">
        <v>1591</v>
      </c>
      <c r="G42" s="739"/>
      <c r="H42" s="739"/>
      <c r="I42" s="739">
        <v>1294</v>
      </c>
      <c r="J42" s="727">
        <v>2000</v>
      </c>
      <c r="K42" s="727"/>
      <c r="L42" s="739"/>
      <c r="M42" s="551">
        <f t="shared" si="4"/>
        <v>2060</v>
      </c>
    </row>
    <row r="43" spans="2:13" x14ac:dyDescent="0.2">
      <c r="B43" s="738" t="s">
        <v>623</v>
      </c>
      <c r="C43" s="739">
        <v>1140</v>
      </c>
      <c r="D43" s="739">
        <v>0</v>
      </c>
      <c r="E43" s="739"/>
      <c r="F43" s="739">
        <v>570</v>
      </c>
      <c r="G43" s="724">
        <v>1805</v>
      </c>
      <c r="H43" s="724"/>
      <c r="I43" s="724">
        <v>0</v>
      </c>
      <c r="J43" s="727">
        <v>600</v>
      </c>
      <c r="K43" s="727"/>
      <c r="L43" s="724"/>
      <c r="M43" s="551">
        <f t="shared" si="4"/>
        <v>618</v>
      </c>
    </row>
    <row r="44" spans="2:13" x14ac:dyDescent="0.2">
      <c r="B44" s="738" t="s">
        <v>701</v>
      </c>
      <c r="C44" s="739">
        <v>458</v>
      </c>
      <c r="D44" s="739">
        <v>2000</v>
      </c>
      <c r="E44" s="739"/>
      <c r="F44" s="739">
        <v>2675</v>
      </c>
      <c r="G44" s="724">
        <v>1000</v>
      </c>
      <c r="H44" s="724"/>
      <c r="I44" s="724">
        <v>91</v>
      </c>
      <c r="J44" s="551">
        <v>2600</v>
      </c>
      <c r="K44" s="551"/>
      <c r="L44" s="724"/>
      <c r="M44" s="551">
        <f t="shared" si="4"/>
        <v>2678</v>
      </c>
    </row>
    <row r="45" spans="2:13" x14ac:dyDescent="0.2">
      <c r="B45" s="738" t="s">
        <v>1397</v>
      </c>
      <c r="C45" s="739"/>
      <c r="D45" s="739"/>
      <c r="E45" s="739"/>
      <c r="F45" s="739"/>
      <c r="G45" s="724"/>
      <c r="H45" s="724"/>
      <c r="I45" s="733"/>
      <c r="J45" s="443">
        <v>5000</v>
      </c>
      <c r="K45" s="443"/>
      <c r="L45" s="724"/>
      <c r="M45" s="551">
        <f t="shared" si="4"/>
        <v>5150</v>
      </c>
    </row>
    <row r="46" spans="2:13" x14ac:dyDescent="0.2">
      <c r="B46" s="738" t="s">
        <v>1329</v>
      </c>
      <c r="C46" s="739"/>
      <c r="D46" s="739"/>
      <c r="E46" s="739"/>
      <c r="F46" s="739"/>
      <c r="G46" s="724"/>
      <c r="H46" s="724"/>
      <c r="I46" s="726">
        <v>5000</v>
      </c>
      <c r="J46" s="551">
        <v>10000</v>
      </c>
      <c r="K46" s="551"/>
      <c r="L46" s="724"/>
      <c r="M46" s="551">
        <f t="shared" si="4"/>
        <v>10300</v>
      </c>
    </row>
    <row r="47" spans="2:13" x14ac:dyDescent="0.2">
      <c r="B47" s="738" t="s">
        <v>1321</v>
      </c>
      <c r="C47" s="724"/>
      <c r="D47" s="724"/>
      <c r="E47" s="724"/>
      <c r="F47" s="724"/>
      <c r="G47" s="724">
        <v>6255</v>
      </c>
      <c r="H47" s="724"/>
      <c r="I47" s="733"/>
      <c r="J47" s="727"/>
      <c r="K47" s="727"/>
      <c r="L47" s="724"/>
      <c r="M47" s="551">
        <f t="shared" si="4"/>
        <v>0</v>
      </c>
    </row>
    <row r="48" spans="2:13" x14ac:dyDescent="0.2">
      <c r="B48" s="723" t="s">
        <v>1420</v>
      </c>
      <c r="C48" s="724"/>
      <c r="D48" s="724"/>
      <c r="E48" s="724"/>
      <c r="F48" s="724">
        <v>14605</v>
      </c>
      <c r="G48" s="724">
        <v>2000</v>
      </c>
      <c r="H48" s="724"/>
      <c r="I48" s="739">
        <v>8255</v>
      </c>
      <c r="J48" s="551">
        <v>10255</v>
      </c>
      <c r="K48" s="551"/>
      <c r="L48" s="724"/>
      <c r="M48" s="551">
        <f t="shared" si="4"/>
        <v>10562.65</v>
      </c>
    </row>
    <row r="49" spans="2:13" x14ac:dyDescent="0.2">
      <c r="B49" s="840" t="s">
        <v>1328</v>
      </c>
      <c r="C49" s="724"/>
      <c r="D49" s="724"/>
      <c r="E49" s="843"/>
      <c r="F49" s="843"/>
      <c r="G49" s="843"/>
      <c r="H49" s="843"/>
      <c r="I49" s="844"/>
      <c r="J49" s="843"/>
      <c r="K49" s="843"/>
      <c r="L49" s="843"/>
      <c r="M49" s="843"/>
    </row>
    <row r="50" spans="2:13" x14ac:dyDescent="0.2">
      <c r="B50" s="728" t="s">
        <v>702</v>
      </c>
      <c r="C50" s="845"/>
      <c r="D50" s="845"/>
      <c r="E50" s="729"/>
      <c r="F50" s="729">
        <f>SUM(F39:F48)</f>
        <v>26217</v>
      </c>
      <c r="G50" s="729">
        <f t="shared" ref="G50:J50" si="5">SUM(G39:G48)</f>
        <v>26060</v>
      </c>
      <c r="H50" s="729">
        <f t="shared" si="5"/>
        <v>0</v>
      </c>
      <c r="I50" s="729">
        <f t="shared" si="5"/>
        <v>15810</v>
      </c>
      <c r="J50" s="729">
        <f t="shared" si="5"/>
        <v>35455</v>
      </c>
      <c r="K50" s="729"/>
      <c r="L50" s="729"/>
      <c r="M50" s="729">
        <f>SUM(M39:M49)</f>
        <v>36518.65</v>
      </c>
    </row>
    <row r="51" spans="2:13" x14ac:dyDescent="0.2">
      <c r="B51" s="723"/>
      <c r="C51" s="724"/>
      <c r="D51" s="724"/>
      <c r="E51" s="739"/>
      <c r="F51" s="739"/>
      <c r="G51" s="739"/>
      <c r="H51" s="739"/>
      <c r="I51" s="739"/>
      <c r="J51" s="739"/>
      <c r="K51" s="739"/>
      <c r="L51" s="739"/>
      <c r="M51" s="741"/>
    </row>
    <row r="52" spans="2:13" ht="24.5" customHeight="1" x14ac:dyDescent="0.2">
      <c r="B52" s="728" t="s">
        <v>1093</v>
      </c>
      <c r="C52" s="729"/>
      <c r="D52" s="731"/>
      <c r="E52" s="829"/>
      <c r="F52" s="829"/>
      <c r="G52" s="829"/>
      <c r="H52" s="829"/>
      <c r="I52" s="829"/>
      <c r="J52" s="829"/>
      <c r="K52" s="829"/>
      <c r="L52" s="829"/>
      <c r="M52" s="829"/>
    </row>
    <row r="53" spans="2:13" x14ac:dyDescent="0.2">
      <c r="B53" s="723" t="s">
        <v>1153</v>
      </c>
      <c r="C53" s="724"/>
      <c r="D53" s="724"/>
      <c r="E53" s="724"/>
      <c r="F53" s="724">
        <v>7022</v>
      </c>
      <c r="G53" s="724">
        <v>5214</v>
      </c>
      <c r="H53" s="724"/>
      <c r="I53" s="724">
        <v>10496</v>
      </c>
      <c r="J53" s="724">
        <v>7000</v>
      </c>
      <c r="K53" s="724"/>
      <c r="L53" s="724"/>
      <c r="M53" s="910">
        <f>SharedAdmin!O5</f>
        <v>9000</v>
      </c>
    </row>
    <row r="54" spans="2:13" x14ac:dyDescent="0.2">
      <c r="B54" s="840" t="s">
        <v>1154</v>
      </c>
      <c r="C54" s="724"/>
      <c r="D54" s="724"/>
      <c r="E54" s="724"/>
      <c r="F54" s="724">
        <v>2389</v>
      </c>
      <c r="G54" s="724">
        <v>2250</v>
      </c>
      <c r="H54" s="724"/>
      <c r="I54" s="733"/>
      <c r="J54" s="724">
        <v>2000</v>
      </c>
      <c r="K54" s="724"/>
      <c r="L54" s="724"/>
      <c r="M54" s="741"/>
    </row>
    <row r="55" spans="2:13" x14ac:dyDescent="0.2">
      <c r="B55" s="742" t="s">
        <v>1411</v>
      </c>
      <c r="C55" s="724"/>
      <c r="D55" s="724"/>
      <c r="E55" s="724"/>
      <c r="F55" s="724">
        <v>1140</v>
      </c>
      <c r="G55" s="724">
        <v>850</v>
      </c>
      <c r="H55" s="724"/>
      <c r="I55" s="724">
        <v>2294</v>
      </c>
      <c r="J55" s="724">
        <v>1200</v>
      </c>
      <c r="K55" s="724"/>
      <c r="L55" s="724"/>
      <c r="M55" s="910">
        <f>SharedAdmin!O7</f>
        <v>1236</v>
      </c>
    </row>
    <row r="56" spans="2:13" x14ac:dyDescent="0.2">
      <c r="B56" s="742" t="s">
        <v>1412</v>
      </c>
      <c r="C56" s="724"/>
      <c r="D56" s="724"/>
      <c r="E56" s="724"/>
      <c r="F56" s="724">
        <v>735</v>
      </c>
      <c r="G56" s="724">
        <v>250</v>
      </c>
      <c r="H56" s="724"/>
      <c r="I56" s="724">
        <v>741</v>
      </c>
      <c r="J56" s="724">
        <v>1200</v>
      </c>
      <c r="K56" s="724"/>
      <c r="L56" s="724"/>
      <c r="M56" s="910">
        <f>SharedAdmin!O8</f>
        <v>1708.6000000000001</v>
      </c>
    </row>
    <row r="57" spans="2:13" hidden="1" x14ac:dyDescent="0.2">
      <c r="B57" s="742" t="s">
        <v>1155</v>
      </c>
      <c r="C57" s="724"/>
      <c r="D57" s="724"/>
      <c r="E57" s="724"/>
      <c r="F57" s="724"/>
      <c r="G57" s="724">
        <f>SharedAdmin!C10*SharedAdmin!N10</f>
        <v>0</v>
      </c>
      <c r="H57" s="724"/>
      <c r="I57" s="724"/>
      <c r="J57" s="724"/>
      <c r="K57" s="724"/>
      <c r="L57" s="724"/>
      <c r="M57" s="910"/>
    </row>
    <row r="58" spans="2:13" hidden="1" x14ac:dyDescent="0.2">
      <c r="B58" s="742" t="s">
        <v>1102</v>
      </c>
      <c r="C58" s="724"/>
      <c r="D58" s="724"/>
      <c r="E58" s="724"/>
      <c r="F58" s="724"/>
      <c r="G58" s="724">
        <f>SharedAdmin!C11*SharedAdmin!N11</f>
        <v>0</v>
      </c>
      <c r="H58" s="724"/>
      <c r="I58" s="724"/>
      <c r="J58" s="724"/>
      <c r="K58" s="724"/>
      <c r="L58" s="724"/>
      <c r="M58" s="910"/>
    </row>
    <row r="59" spans="2:13" hidden="1" x14ac:dyDescent="0.2">
      <c r="B59" s="742" t="s">
        <v>1103</v>
      </c>
      <c r="C59" s="724"/>
      <c r="D59" s="724"/>
      <c r="E59" s="724"/>
      <c r="F59" s="724"/>
      <c r="G59" s="724">
        <f>SharedAdmin!C12*SharedAdmin!N12</f>
        <v>0</v>
      </c>
      <c r="H59" s="724"/>
      <c r="I59" s="724"/>
      <c r="J59" s="724"/>
      <c r="K59" s="724"/>
      <c r="L59" s="724"/>
      <c r="M59" s="910"/>
    </row>
    <row r="60" spans="2:13" hidden="1" x14ac:dyDescent="0.2">
      <c r="B60" s="742" t="s">
        <v>1104</v>
      </c>
      <c r="C60" s="724"/>
      <c r="D60" s="724"/>
      <c r="E60" s="724"/>
      <c r="F60" s="724"/>
      <c r="G60" s="724">
        <f>SharedAdmin!C13*SharedAdmin!N13</f>
        <v>0</v>
      </c>
      <c r="H60" s="724"/>
      <c r="I60" s="724"/>
      <c r="J60" s="724"/>
      <c r="K60" s="724"/>
      <c r="L60" s="724"/>
      <c r="M60" s="910"/>
    </row>
    <row r="61" spans="2:13" x14ac:dyDescent="0.2">
      <c r="B61" s="742" t="s">
        <v>1105</v>
      </c>
      <c r="C61" s="724"/>
      <c r="D61" s="724"/>
      <c r="E61" s="727"/>
      <c r="F61" s="727"/>
      <c r="G61" s="727"/>
      <c r="H61" s="727"/>
      <c r="I61" s="726">
        <f>2436+3050+112</f>
        <v>5598</v>
      </c>
      <c r="J61" s="727"/>
      <c r="K61" s="727"/>
      <c r="L61" s="727"/>
      <c r="M61" s="897">
        <f>SharedAdmin!O13</f>
        <v>0</v>
      </c>
    </row>
    <row r="62" spans="2:13" x14ac:dyDescent="0.2">
      <c r="B62" s="728" t="s">
        <v>1094</v>
      </c>
      <c r="C62" s="729"/>
      <c r="D62" s="729"/>
      <c r="E62" s="729"/>
      <c r="F62" s="729">
        <f>SUM(F53:F60)</f>
        <v>11286</v>
      </c>
      <c r="G62" s="729">
        <f>SUM(G53:G60)</f>
        <v>8564</v>
      </c>
      <c r="H62" s="729"/>
      <c r="I62" s="729">
        <f t="shared" ref="I62:M62" si="6">SUM(I53:I60)</f>
        <v>13531</v>
      </c>
      <c r="J62" s="729">
        <f t="shared" si="6"/>
        <v>11400</v>
      </c>
      <c r="K62" s="729"/>
      <c r="L62" s="729">
        <f t="shared" si="6"/>
        <v>0</v>
      </c>
      <c r="M62" s="729">
        <f t="shared" si="6"/>
        <v>11944.6</v>
      </c>
    </row>
    <row r="63" spans="2:13" ht="8.5" customHeight="1" x14ac:dyDescent="0.2">
      <c r="B63" s="730"/>
      <c r="C63" s="774"/>
      <c r="D63" s="774"/>
      <c r="E63" s="719"/>
      <c r="F63" s="554"/>
      <c r="G63" s="554"/>
      <c r="H63" s="554"/>
      <c r="I63" s="554"/>
      <c r="J63" s="554"/>
      <c r="K63" s="554"/>
      <c r="L63" s="554"/>
      <c r="M63" s="554"/>
    </row>
    <row r="64" spans="2:13" ht="16" x14ac:dyDescent="0.2">
      <c r="B64" s="1004" t="s">
        <v>10</v>
      </c>
      <c r="C64" s="1005">
        <f>ROUND(C13+C17+C26+C36,5)</f>
        <v>58593</v>
      </c>
      <c r="D64" s="1003">
        <f>ROUND(D13+D17+D26+D36,5)</f>
        <v>72815</v>
      </c>
      <c r="E64" s="1003"/>
      <c r="F64" s="1003">
        <f>ROUND(F13+F17+F26+F36+F62+F50,5)</f>
        <v>116809</v>
      </c>
      <c r="G64" s="1003">
        <f>ROUND(G13+G17+G26+G36+G62+G50,5)</f>
        <v>133083.61825</v>
      </c>
      <c r="H64" s="1003"/>
      <c r="I64" s="1003">
        <f t="shared" ref="I64:M64" si="7">ROUND(I13+I17+I26+I36+I62+I50,5)</f>
        <v>101735.35</v>
      </c>
      <c r="J64" s="1003">
        <f t="shared" si="7"/>
        <v>147368.96872</v>
      </c>
      <c r="K64" s="1003"/>
      <c r="L64" s="1003">
        <f t="shared" si="7"/>
        <v>0</v>
      </c>
      <c r="M64" s="1003">
        <f t="shared" si="7"/>
        <v>172950.61559</v>
      </c>
    </row>
    <row r="65" spans="2:13" ht="4.75" customHeight="1" x14ac:dyDescent="0.2">
      <c r="B65" s="730"/>
      <c r="C65" s="724"/>
      <c r="D65" s="724"/>
      <c r="E65" s="724"/>
      <c r="F65" s="724"/>
      <c r="G65" s="724"/>
      <c r="H65" s="724"/>
      <c r="I65" s="724"/>
      <c r="J65" s="724"/>
      <c r="K65" s="724"/>
      <c r="L65" s="724"/>
      <c r="M65" s="724"/>
    </row>
    <row r="66" spans="2:13" ht="19" x14ac:dyDescent="0.25">
      <c r="B66" s="1000" t="s">
        <v>1122</v>
      </c>
      <c r="C66" s="1001">
        <f>C11-C64</f>
        <v>6582</v>
      </c>
      <c r="D66" s="1001">
        <f>D11-D64</f>
        <v>-7397</v>
      </c>
      <c r="E66" s="1001"/>
      <c r="F66" s="1001">
        <f>F11-F64</f>
        <v>-24050</v>
      </c>
      <c r="G66" s="1001">
        <f>G11-G64</f>
        <v>-65920.61825</v>
      </c>
      <c r="H66" s="1001"/>
      <c r="I66" s="1001">
        <f t="shared" ref="I66:M66" si="8">I11-I64</f>
        <v>40419.649999999994</v>
      </c>
      <c r="J66" s="1001">
        <f t="shared" si="8"/>
        <v>-52398.968720000004</v>
      </c>
      <c r="K66" s="1001"/>
      <c r="L66" s="1001">
        <f t="shared" si="8"/>
        <v>0</v>
      </c>
      <c r="M66" s="1001">
        <f t="shared" si="8"/>
        <v>-53650.615590000001</v>
      </c>
    </row>
    <row r="67" spans="2:13" x14ac:dyDescent="0.2">
      <c r="C67" s="841"/>
      <c r="D67" s="841"/>
    </row>
  </sheetData>
  <sheetProtection algorithmName="SHA-512" hashValue="f3wVkGWdzBzgnPhfyMQEPHZ6ydRhz5qTjGD3243pZ+k4tLxJGovA3TkEeDrUaA08kSIsYD2f+vkUosFM+m7suw==" saltValue="qTxSLAya5lNttSk+mm+yXQ==" spinCount="100000" sheet="1" objects="1" scenarios="1"/>
  <mergeCells count="1">
    <mergeCell ref="B2:M2"/>
  </mergeCells>
  <pageMargins left="0.7" right="0.7" top="0.75" bottom="1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B2:O78"/>
  <sheetViews>
    <sheetView zoomScale="130" zoomScaleNormal="130" workbookViewId="0">
      <pane xSplit="2" ySplit="3" topLeftCell="C23" activePane="bottomRight" state="frozen"/>
      <selection activeCell="G52" sqref="G52"/>
      <selection pane="topRight" activeCell="G52" sqref="G52"/>
      <selection pane="bottomLeft" activeCell="G52" sqref="G52"/>
      <selection pane="bottomRight" activeCell="G52" sqref="G52"/>
    </sheetView>
  </sheetViews>
  <sheetFormatPr baseColWidth="10" defaultColWidth="8.83203125" defaultRowHeight="15" x14ac:dyDescent="0.2"/>
  <cols>
    <col min="1" max="1" width="3" customWidth="1"/>
    <col min="2" max="2" width="34.33203125" bestFit="1" customWidth="1"/>
    <col min="3" max="4" width="14.1640625" customWidth="1"/>
    <col min="5" max="5" width="1.83203125" customWidth="1"/>
    <col min="6" max="7" width="14.1640625" customWidth="1"/>
    <col min="8" max="8" width="1.83203125" customWidth="1"/>
    <col min="9" max="10" width="14.1640625" customWidth="1"/>
    <col min="11" max="11" width="1.83203125" customWidth="1"/>
    <col min="12" max="13" width="14.1640625" customWidth="1"/>
    <col min="14" max="14" width="3.33203125" customWidth="1"/>
  </cols>
  <sheetData>
    <row r="2" spans="2:13" ht="24" x14ac:dyDescent="0.3">
      <c r="B2" s="1069" t="s">
        <v>1483</v>
      </c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1"/>
    </row>
    <row r="3" spans="2:13" x14ac:dyDescent="0.2">
      <c r="B3" s="744"/>
      <c r="C3" s="745" t="s">
        <v>690</v>
      </c>
      <c r="D3" s="745" t="s">
        <v>592</v>
      </c>
      <c r="E3" s="745"/>
      <c r="F3" s="745" t="s">
        <v>1188</v>
      </c>
      <c r="G3" s="745" t="s">
        <v>689</v>
      </c>
      <c r="H3" s="745"/>
      <c r="I3" s="745" t="s">
        <v>1413</v>
      </c>
      <c r="J3" s="745" t="s">
        <v>1197</v>
      </c>
      <c r="K3" s="745"/>
      <c r="L3" s="745" t="s">
        <v>1415</v>
      </c>
      <c r="M3" s="763" t="s">
        <v>1414</v>
      </c>
    </row>
    <row r="4" spans="2:13" ht="16" x14ac:dyDescent="0.2">
      <c r="B4" s="1004" t="s">
        <v>331</v>
      </c>
      <c r="C4" s="1004"/>
      <c r="D4" s="1004"/>
      <c r="E4" s="1004"/>
      <c r="F4" s="1004"/>
      <c r="G4" s="1004"/>
      <c r="H4" s="1004"/>
      <c r="I4" s="1004"/>
      <c r="J4" s="1006"/>
      <c r="K4" s="1006"/>
      <c r="L4" s="1004"/>
      <c r="M4" s="1006"/>
    </row>
    <row r="5" spans="2:13" ht="6" customHeight="1" x14ac:dyDescent="0.2">
      <c r="B5" s="730"/>
      <c r="C5" s="730"/>
      <c r="D5" s="730"/>
      <c r="E5" s="730"/>
      <c r="F5" s="730"/>
      <c r="G5" s="730"/>
      <c r="H5" s="730"/>
      <c r="I5" s="730"/>
      <c r="J5" s="727"/>
      <c r="K5" s="727"/>
      <c r="L5" s="730"/>
      <c r="M5" s="727"/>
    </row>
    <row r="6" spans="2:13" x14ac:dyDescent="0.2">
      <c r="B6" s="728" t="s">
        <v>555</v>
      </c>
      <c r="C6" s="748"/>
      <c r="D6" s="748"/>
      <c r="E6" s="748"/>
      <c r="F6" s="748"/>
      <c r="G6" s="728"/>
      <c r="H6" s="728"/>
      <c r="I6" s="728"/>
      <c r="J6" s="732"/>
      <c r="K6" s="732"/>
      <c r="L6" s="728"/>
      <c r="M6" s="732"/>
    </row>
    <row r="7" spans="2:13" x14ac:dyDescent="0.2">
      <c r="B7" s="723" t="s">
        <v>556</v>
      </c>
      <c r="C7" s="724">
        <v>118900</v>
      </c>
      <c r="D7" s="724">
        <v>102500</v>
      </c>
      <c r="E7" s="724"/>
      <c r="F7" s="739">
        <v>112200</v>
      </c>
      <c r="G7" s="724">
        <f>Membershiponly!F6</f>
        <v>102500</v>
      </c>
      <c r="H7" s="724"/>
      <c r="I7" s="724">
        <v>117770</v>
      </c>
      <c r="J7" s="727">
        <v>105000</v>
      </c>
      <c r="K7" s="727"/>
      <c r="L7" s="724"/>
      <c r="M7" s="751">
        <v>110000</v>
      </c>
    </row>
    <row r="8" spans="2:13" x14ac:dyDescent="0.2">
      <c r="B8" s="728" t="s">
        <v>557</v>
      </c>
      <c r="C8" s="729">
        <f>ROUND(SUM(C6:C7),5)</f>
        <v>118900</v>
      </c>
      <c r="D8" s="729">
        <f>ROUND(SUM(D6:D7),5)</f>
        <v>102500</v>
      </c>
      <c r="E8" s="729"/>
      <c r="F8" s="765">
        <f>ROUND(SUM(F6:F7),5)</f>
        <v>112200</v>
      </c>
      <c r="G8" s="765">
        <f t="shared" ref="G8:I8" si="0">ROUND(SUM(G6:G7),5)</f>
        <v>102500</v>
      </c>
      <c r="H8" s="765">
        <f t="shared" si="0"/>
        <v>0</v>
      </c>
      <c r="I8" s="765">
        <f t="shared" si="0"/>
        <v>117770</v>
      </c>
      <c r="J8" s="729">
        <f>ROUND(SUM(J6:J7),5)</f>
        <v>105000</v>
      </c>
      <c r="K8" s="729"/>
      <c r="L8" s="729"/>
      <c r="M8" s="729">
        <f>ROUND(SUM(M6:M7),5)</f>
        <v>110000</v>
      </c>
    </row>
    <row r="9" spans="2:13" ht="6" customHeight="1" x14ac:dyDescent="0.2">
      <c r="B9" s="730"/>
      <c r="C9" s="774"/>
      <c r="D9" s="774"/>
      <c r="E9" s="774"/>
      <c r="F9" s="766"/>
      <c r="G9" s="766"/>
      <c r="H9" s="766"/>
      <c r="I9" s="766"/>
      <c r="J9" s="727"/>
      <c r="K9" s="727"/>
      <c r="L9" s="766"/>
      <c r="M9" s="727"/>
    </row>
    <row r="10" spans="2:13" x14ac:dyDescent="0.2">
      <c r="B10" s="728" t="s">
        <v>1126</v>
      </c>
      <c r="C10" s="729"/>
      <c r="D10" s="729"/>
      <c r="E10" s="729"/>
      <c r="F10" s="729"/>
      <c r="G10" s="729"/>
      <c r="H10" s="729"/>
      <c r="I10" s="729"/>
      <c r="J10" s="767"/>
      <c r="K10" s="767"/>
      <c r="L10" s="729"/>
      <c r="M10" s="767"/>
    </row>
    <row r="11" spans="2:13" x14ac:dyDescent="0.2">
      <c r="B11" s="723" t="s">
        <v>562</v>
      </c>
      <c r="C11" s="724">
        <v>26000</v>
      </c>
      <c r="D11" s="724">
        <v>26000</v>
      </c>
      <c r="E11" s="724"/>
      <c r="F11" s="724">
        <v>26000</v>
      </c>
      <c r="G11" s="724">
        <v>26000</v>
      </c>
      <c r="H11" s="724"/>
      <c r="I11" s="724">
        <v>0</v>
      </c>
      <c r="J11" s="727">
        <v>30000</v>
      </c>
      <c r="K11" s="727"/>
      <c r="L11" s="724"/>
      <c r="M11" s="751">
        <v>30000</v>
      </c>
    </row>
    <row r="12" spans="2:13" x14ac:dyDescent="0.2">
      <c r="B12" s="723" t="s">
        <v>1193</v>
      </c>
      <c r="C12" s="724"/>
      <c r="D12" s="724"/>
      <c r="E12" s="724"/>
      <c r="F12" s="724">
        <v>350</v>
      </c>
      <c r="G12" s="724"/>
      <c r="H12" s="724"/>
      <c r="I12" s="741">
        <v>0</v>
      </c>
      <c r="J12" s="727"/>
      <c r="K12" s="727"/>
      <c r="L12" s="724"/>
      <c r="M12" s="551"/>
    </row>
    <row r="13" spans="2:13" x14ac:dyDescent="0.2">
      <c r="B13" s="723" t="s">
        <v>1130</v>
      </c>
      <c r="C13" s="724">
        <v>11000</v>
      </c>
      <c r="D13" s="724">
        <v>11000</v>
      </c>
      <c r="E13" s="724"/>
      <c r="F13" s="724">
        <v>11000</v>
      </c>
      <c r="G13" s="724">
        <v>11000</v>
      </c>
      <c r="H13" s="724"/>
      <c r="I13" s="724">
        <f>7463+50</f>
        <v>7513</v>
      </c>
      <c r="J13" s="727">
        <v>11000</v>
      </c>
      <c r="K13" s="727"/>
      <c r="L13" s="724"/>
      <c r="M13" s="551">
        <v>11000</v>
      </c>
    </row>
    <row r="14" spans="2:13" x14ac:dyDescent="0.2">
      <c r="B14" s="723" t="s">
        <v>554</v>
      </c>
      <c r="C14" s="724">
        <v>213</v>
      </c>
      <c r="D14" s="724">
        <v>300</v>
      </c>
      <c r="E14" s="724"/>
      <c r="F14" s="724">
        <v>147</v>
      </c>
      <c r="G14" s="724">
        <v>200</v>
      </c>
      <c r="H14" s="724"/>
      <c r="I14" s="724">
        <v>33</v>
      </c>
      <c r="J14" s="727">
        <v>160</v>
      </c>
      <c r="K14" s="727"/>
      <c r="L14" s="724"/>
      <c r="M14" s="751">
        <v>32000</v>
      </c>
    </row>
    <row r="15" spans="2:13" x14ac:dyDescent="0.2">
      <c r="B15" s="723" t="s">
        <v>1432</v>
      </c>
      <c r="C15" s="724"/>
      <c r="D15" s="724"/>
      <c r="E15" s="724"/>
      <c r="F15" s="724"/>
      <c r="G15" s="724"/>
      <c r="H15" s="724"/>
      <c r="I15" s="724"/>
      <c r="J15" s="727"/>
      <c r="K15" s="727"/>
      <c r="L15" s="724"/>
      <c r="M15" s="751">
        <v>78000</v>
      </c>
    </row>
    <row r="16" spans="2:13" x14ac:dyDescent="0.2">
      <c r="B16" s="723" t="s">
        <v>558</v>
      </c>
      <c r="C16" s="724">
        <v>540</v>
      </c>
      <c r="D16" s="724">
        <v>0</v>
      </c>
      <c r="E16" s="724"/>
      <c r="F16" s="724"/>
      <c r="G16" s="768" t="s">
        <v>691</v>
      </c>
      <c r="H16" s="768"/>
      <c r="I16" s="768"/>
      <c r="J16" s="727"/>
      <c r="K16" s="727"/>
      <c r="L16" s="768"/>
      <c r="M16" s="551"/>
    </row>
    <row r="17" spans="2:15" x14ac:dyDescent="0.2">
      <c r="B17" s="723" t="s">
        <v>1192</v>
      </c>
      <c r="C17" s="724"/>
      <c r="D17" s="724"/>
      <c r="E17" s="724"/>
      <c r="F17" s="724">
        <v>31200</v>
      </c>
      <c r="G17" s="768"/>
      <c r="H17" s="768"/>
      <c r="I17" s="768">
        <v>0</v>
      </c>
      <c r="J17" s="727"/>
      <c r="K17" s="727"/>
      <c r="L17" s="768"/>
      <c r="M17" s="551"/>
    </row>
    <row r="18" spans="2:15" x14ac:dyDescent="0.2">
      <c r="B18" s="769" t="s">
        <v>1127</v>
      </c>
      <c r="C18" s="770">
        <f>SUM(C11:C16)</f>
        <v>37753</v>
      </c>
      <c r="D18" s="770">
        <f>SUM(D11:D16)</f>
        <v>37300</v>
      </c>
      <c r="E18" s="770"/>
      <c r="F18" s="770">
        <f>SUM(F11:F17)</f>
        <v>68697</v>
      </c>
      <c r="G18" s="770">
        <f t="shared" ref="G18:M18" si="1">SUM(G11:G17)</f>
        <v>37200</v>
      </c>
      <c r="H18" s="770">
        <f t="shared" si="1"/>
        <v>0</v>
      </c>
      <c r="I18" s="770">
        <f t="shared" si="1"/>
        <v>7546</v>
      </c>
      <c r="J18" s="770">
        <f t="shared" si="1"/>
        <v>41160</v>
      </c>
      <c r="K18" s="770"/>
      <c r="L18" s="770">
        <f t="shared" si="1"/>
        <v>0</v>
      </c>
      <c r="M18" s="770">
        <f t="shared" si="1"/>
        <v>151000</v>
      </c>
    </row>
    <row r="19" spans="2:15" ht="6" customHeight="1" x14ac:dyDescent="0.2">
      <c r="B19" s="730"/>
      <c r="C19" s="774"/>
      <c r="D19" s="774"/>
      <c r="E19" s="774"/>
      <c r="F19" s="766"/>
      <c r="G19" s="766"/>
      <c r="H19" s="766"/>
      <c r="I19" s="766"/>
      <c r="J19" s="766"/>
      <c r="K19" s="766"/>
      <c r="L19" s="766"/>
      <c r="M19" s="766"/>
    </row>
    <row r="20" spans="2:15" ht="16" x14ac:dyDescent="0.2">
      <c r="B20" s="1004" t="s">
        <v>563</v>
      </c>
      <c r="C20" s="1003">
        <f>ROUND(C4+C14+C8+C13+C16+C11,5)</f>
        <v>156653</v>
      </c>
      <c r="D20" s="1003">
        <f>ROUND(D4+D14+D8+D13+D16+D11,5)</f>
        <v>139800</v>
      </c>
      <c r="E20" s="1003"/>
      <c r="F20" s="1003">
        <f>ROUND(F8+F18,5)</f>
        <v>180897</v>
      </c>
      <c r="G20" s="1003">
        <f t="shared" ref="G20:M20" si="2">ROUND(G8+G18,5)</f>
        <v>139700</v>
      </c>
      <c r="H20" s="1003">
        <f t="shared" si="2"/>
        <v>0</v>
      </c>
      <c r="I20" s="1003">
        <f t="shared" si="2"/>
        <v>125316</v>
      </c>
      <c r="J20" s="1003">
        <f t="shared" si="2"/>
        <v>146160</v>
      </c>
      <c r="K20" s="1003"/>
      <c r="L20" s="1003">
        <f t="shared" si="2"/>
        <v>0</v>
      </c>
      <c r="M20" s="1003">
        <f t="shared" si="2"/>
        <v>261000</v>
      </c>
      <c r="O20" s="1062">
        <f>M20-J20</f>
        <v>114840</v>
      </c>
    </row>
    <row r="21" spans="2:15" x14ac:dyDescent="0.2">
      <c r="B21" s="730"/>
      <c r="C21" s="774"/>
      <c r="D21" s="774"/>
      <c r="E21" s="774"/>
      <c r="F21" s="774"/>
      <c r="G21" s="774"/>
      <c r="H21" s="774"/>
      <c r="I21" s="774"/>
      <c r="J21" s="727"/>
      <c r="K21" s="727"/>
      <c r="L21" s="774"/>
      <c r="M21" s="727"/>
    </row>
    <row r="22" spans="2:15" ht="16" x14ac:dyDescent="0.2">
      <c r="B22" s="1004" t="s">
        <v>1430</v>
      </c>
      <c r="C22" s="1005"/>
      <c r="D22" s="1005"/>
      <c r="E22" s="1005"/>
      <c r="F22" s="1005"/>
      <c r="G22" s="1003"/>
      <c r="H22" s="1003"/>
      <c r="I22" s="1003"/>
      <c r="J22" s="1006"/>
      <c r="K22" s="1006"/>
      <c r="L22" s="1003"/>
      <c r="M22" s="1006"/>
    </row>
    <row r="23" spans="2:15" ht="6" customHeight="1" x14ac:dyDescent="0.2">
      <c r="B23" s="730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27"/>
    </row>
    <row r="24" spans="2:15" x14ac:dyDescent="0.2">
      <c r="B24" s="728" t="s">
        <v>9</v>
      </c>
      <c r="C24" s="731"/>
      <c r="D24" s="731"/>
      <c r="E24" s="731"/>
      <c r="F24" s="731"/>
      <c r="G24" s="731"/>
      <c r="H24" s="731"/>
      <c r="I24" s="731"/>
      <c r="J24" s="731"/>
      <c r="K24" s="731"/>
      <c r="L24" s="731"/>
      <c r="M24" s="732"/>
    </row>
    <row r="25" spans="2:15" x14ac:dyDescent="0.2">
      <c r="B25" s="723" t="s">
        <v>569</v>
      </c>
      <c r="C25" s="724">
        <v>37131</v>
      </c>
      <c r="D25" s="724">
        <v>46361</v>
      </c>
      <c r="E25" s="724"/>
      <c r="F25" s="739">
        <v>41442</v>
      </c>
      <c r="G25" s="724">
        <f>Insurance!U22</f>
        <v>37244</v>
      </c>
      <c r="H25" s="724"/>
      <c r="I25" s="726">
        <v>40949</v>
      </c>
      <c r="J25" s="910">
        <f>Insurance!X22</f>
        <v>40949.166679521688</v>
      </c>
      <c r="K25" s="724"/>
      <c r="L25" s="724"/>
      <c r="M25" s="954">
        <f>Insurance!AA22</f>
        <v>45044.083347473868</v>
      </c>
    </row>
    <row r="26" spans="2:15" x14ac:dyDescent="0.2">
      <c r="B26" s="728" t="s">
        <v>570</v>
      </c>
      <c r="C26" s="729">
        <f>ROUND(SUM(C24:C25),5)</f>
        <v>37131</v>
      </c>
      <c r="D26" s="739">
        <v>41442</v>
      </c>
      <c r="E26" s="729"/>
      <c r="F26" s="729">
        <f>ROUND(SUM(F24:F25),5)</f>
        <v>41442</v>
      </c>
      <c r="G26" s="729">
        <f t="shared" ref="G26:M26" si="3">ROUND(SUM(G24:G25),5)</f>
        <v>37244</v>
      </c>
      <c r="H26" s="729">
        <f t="shared" si="3"/>
        <v>0</v>
      </c>
      <c r="I26" s="729">
        <f t="shared" si="3"/>
        <v>40949</v>
      </c>
      <c r="J26" s="729">
        <f t="shared" si="3"/>
        <v>40949.166680000002</v>
      </c>
      <c r="K26" s="729"/>
      <c r="L26" s="729">
        <f t="shared" si="3"/>
        <v>0</v>
      </c>
      <c r="M26" s="729">
        <f t="shared" si="3"/>
        <v>45044.083350000001</v>
      </c>
    </row>
    <row r="27" spans="2:15" ht="6" customHeight="1" x14ac:dyDescent="0.2">
      <c r="B27" s="730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27"/>
    </row>
    <row r="28" spans="2:15" x14ac:dyDescent="0.2">
      <c r="B28" s="728" t="s">
        <v>1422</v>
      </c>
      <c r="C28" s="731"/>
      <c r="D28" s="731"/>
      <c r="E28" s="731"/>
      <c r="F28" s="731"/>
      <c r="G28" s="729"/>
      <c r="H28" s="729"/>
      <c r="I28" s="729"/>
      <c r="J28" s="729"/>
      <c r="K28" s="729"/>
      <c r="L28" s="729"/>
      <c r="M28" s="732"/>
    </row>
    <row r="29" spans="2:15" x14ac:dyDescent="0.2">
      <c r="B29" s="723" t="s">
        <v>1139</v>
      </c>
      <c r="C29" s="724">
        <v>5151</v>
      </c>
      <c r="D29" s="724">
        <v>18630</v>
      </c>
      <c r="E29" s="724"/>
      <c r="F29" s="724"/>
      <c r="G29" s="724"/>
      <c r="H29" s="724"/>
      <c r="I29" s="724"/>
      <c r="J29" s="724">
        <v>16800</v>
      </c>
      <c r="K29" s="724"/>
      <c r="L29" s="724"/>
      <c r="M29" s="897">
        <f>Payroll!F6</f>
        <v>26464</v>
      </c>
    </row>
    <row r="30" spans="2:15" x14ac:dyDescent="0.2">
      <c r="B30" s="723" t="s">
        <v>1162</v>
      </c>
      <c r="C30" s="724"/>
      <c r="D30" s="724"/>
      <c r="E30" s="724"/>
      <c r="F30" s="724"/>
      <c r="G30" s="724"/>
      <c r="H30" s="724"/>
      <c r="I30" s="724"/>
      <c r="J30" s="724">
        <v>18720</v>
      </c>
      <c r="K30" s="724"/>
      <c r="L30" s="724"/>
      <c r="M30" s="897">
        <f>Payroll!F5</f>
        <v>40500</v>
      </c>
    </row>
    <row r="31" spans="2:15" x14ac:dyDescent="0.2">
      <c r="B31" s="723" t="s">
        <v>1407</v>
      </c>
      <c r="C31" s="724"/>
      <c r="D31" s="724"/>
      <c r="E31" s="724"/>
      <c r="F31" s="724"/>
      <c r="G31" s="724"/>
      <c r="H31" s="724"/>
      <c r="I31" s="724"/>
      <c r="J31" s="724"/>
      <c r="K31" s="724"/>
      <c r="L31" s="724"/>
      <c r="M31" s="897"/>
    </row>
    <row r="32" spans="2:15" x14ac:dyDescent="0.2">
      <c r="B32" s="723" t="s">
        <v>1140</v>
      </c>
      <c r="C32" s="724">
        <v>25537</v>
      </c>
      <c r="D32" s="724">
        <v>24300</v>
      </c>
      <c r="E32" s="724"/>
      <c r="F32" s="724"/>
      <c r="G32" s="724"/>
      <c r="H32" s="724"/>
      <c r="I32" s="724"/>
      <c r="J32" s="724">
        <v>26250</v>
      </c>
      <c r="K32" s="724"/>
      <c r="L32" s="724"/>
      <c r="M32" s="897">
        <f>Payroll!F4</f>
        <v>27562.5</v>
      </c>
    </row>
    <row r="33" spans="2:13" x14ac:dyDescent="0.2">
      <c r="B33" s="723" t="s">
        <v>1133</v>
      </c>
      <c r="C33" s="724"/>
      <c r="D33" s="724"/>
      <c r="E33" s="724"/>
      <c r="F33" s="724"/>
      <c r="G33" s="724"/>
      <c r="H33" s="724"/>
      <c r="I33" s="724"/>
      <c r="J33" s="724"/>
      <c r="K33" s="724"/>
      <c r="L33" s="724"/>
      <c r="M33" s="897">
        <f>Payroll!F11</f>
        <v>10000</v>
      </c>
    </row>
    <row r="34" spans="2:13" x14ac:dyDescent="0.2">
      <c r="B34" s="723" t="s">
        <v>697</v>
      </c>
      <c r="C34" s="724">
        <v>3874</v>
      </c>
      <c r="D34" s="724">
        <v>3434</v>
      </c>
      <c r="E34" s="724"/>
      <c r="F34" s="724"/>
      <c r="G34" s="724"/>
      <c r="H34" s="724"/>
      <c r="I34" s="724"/>
      <c r="J34" s="724"/>
      <c r="K34" s="724"/>
      <c r="L34" s="724"/>
      <c r="M34" s="551">
        <v>3500</v>
      </c>
    </row>
    <row r="35" spans="2:13" x14ac:dyDescent="0.2">
      <c r="B35" s="723" t="s">
        <v>583</v>
      </c>
      <c r="C35" s="724">
        <v>1604</v>
      </c>
      <c r="D35" s="724">
        <v>1000</v>
      </c>
      <c r="E35" s="724"/>
      <c r="F35" s="724"/>
      <c r="G35" s="724"/>
      <c r="H35" s="724"/>
      <c r="I35" s="724"/>
      <c r="J35" s="724"/>
      <c r="K35" s="724"/>
      <c r="L35" s="724"/>
      <c r="M35" s="551">
        <v>1000</v>
      </c>
    </row>
    <row r="36" spans="2:13" x14ac:dyDescent="0.2">
      <c r="B36" s="728" t="s">
        <v>1527</v>
      </c>
      <c r="C36" s="729">
        <f>SUM(C29:C35)</f>
        <v>36166</v>
      </c>
      <c r="D36" s="729">
        <f>SUM(D29:D35)</f>
        <v>47364</v>
      </c>
      <c r="E36" s="729"/>
      <c r="F36" s="729">
        <f>SUM(F29:F35)</f>
        <v>0</v>
      </c>
      <c r="G36" s="729">
        <f t="shared" ref="G36:M36" si="4">SUM(G29:G35)</f>
        <v>0</v>
      </c>
      <c r="H36" s="729">
        <f t="shared" si="4"/>
        <v>0</v>
      </c>
      <c r="I36" s="729">
        <f t="shared" si="4"/>
        <v>0</v>
      </c>
      <c r="J36" s="729">
        <f t="shared" si="4"/>
        <v>61770</v>
      </c>
      <c r="K36" s="729"/>
      <c r="L36" s="729">
        <f t="shared" si="4"/>
        <v>0</v>
      </c>
      <c r="M36" s="729">
        <f t="shared" si="4"/>
        <v>109026.5</v>
      </c>
    </row>
    <row r="37" spans="2:13" ht="6" customHeight="1" x14ac:dyDescent="0.2">
      <c r="B37" s="730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27"/>
    </row>
    <row r="38" spans="2:13" x14ac:dyDescent="0.2">
      <c r="B38" s="728" t="s">
        <v>1128</v>
      </c>
      <c r="C38" s="729"/>
      <c r="D38" s="729"/>
      <c r="E38" s="729"/>
      <c r="F38" s="729"/>
      <c r="G38" s="729"/>
      <c r="H38" s="729"/>
      <c r="I38" s="729"/>
      <c r="J38" s="729"/>
      <c r="K38" s="729"/>
      <c r="L38" s="729"/>
      <c r="M38" s="732"/>
    </row>
    <row r="39" spans="2:13" x14ac:dyDescent="0.2">
      <c r="B39" s="723" t="s">
        <v>585</v>
      </c>
      <c r="C39" s="724">
        <v>9903</v>
      </c>
      <c r="D39" s="724">
        <v>9500</v>
      </c>
      <c r="E39" s="724"/>
      <c r="F39" s="724">
        <v>9000</v>
      </c>
      <c r="G39" s="724">
        <v>9500</v>
      </c>
      <c r="H39" s="724"/>
      <c r="I39" s="724">
        <v>9500</v>
      </c>
      <c r="J39" s="727">
        <v>9500</v>
      </c>
      <c r="K39" s="727"/>
      <c r="L39" s="724"/>
      <c r="M39" s="551">
        <v>9500</v>
      </c>
    </row>
    <row r="40" spans="2:13" x14ac:dyDescent="0.2">
      <c r="B40" s="723" t="s">
        <v>586</v>
      </c>
      <c r="C40" s="724">
        <v>4803</v>
      </c>
      <c r="D40" s="724">
        <v>9000</v>
      </c>
      <c r="E40" s="724"/>
      <c r="F40" s="724">
        <v>4899</v>
      </c>
      <c r="G40" s="724">
        <v>4800</v>
      </c>
      <c r="H40" s="724"/>
      <c r="I40" s="726">
        <f>3541+210</f>
        <v>3751</v>
      </c>
      <c r="J40" s="727">
        <v>5000</v>
      </c>
      <c r="K40" s="727"/>
      <c r="L40" s="724"/>
      <c r="M40" s="551">
        <v>5000</v>
      </c>
    </row>
    <row r="41" spans="2:13" x14ac:dyDescent="0.2">
      <c r="B41" s="728" t="s">
        <v>1129</v>
      </c>
      <c r="C41" s="729">
        <f>ROUND(SUM(C38:C40),5)</f>
        <v>14706</v>
      </c>
      <c r="D41" s="729">
        <f>ROUND(SUM(D38:D40),5)</f>
        <v>18500</v>
      </c>
      <c r="E41" s="729"/>
      <c r="F41" s="729">
        <f>ROUND(SUM(F38:F40),5)</f>
        <v>13899</v>
      </c>
      <c r="G41" s="729">
        <f t="shared" ref="G41:M41" si="5">ROUND(SUM(G38:G40),5)</f>
        <v>14300</v>
      </c>
      <c r="H41" s="729">
        <f t="shared" si="5"/>
        <v>0</v>
      </c>
      <c r="I41" s="729">
        <f t="shared" si="5"/>
        <v>13251</v>
      </c>
      <c r="J41" s="729">
        <f t="shared" si="5"/>
        <v>14500</v>
      </c>
      <c r="K41" s="729"/>
      <c r="L41" s="729">
        <f t="shared" si="5"/>
        <v>0</v>
      </c>
      <c r="M41" s="729">
        <f t="shared" si="5"/>
        <v>14500</v>
      </c>
    </row>
    <row r="42" spans="2:13" ht="6" customHeight="1" x14ac:dyDescent="0.2">
      <c r="B42" s="730"/>
      <c r="C42" s="774"/>
      <c r="D42" s="774"/>
      <c r="E42" s="774"/>
      <c r="F42" s="766"/>
      <c r="G42" s="766"/>
      <c r="H42" s="774"/>
      <c r="I42" s="774"/>
      <c r="J42" s="727"/>
      <c r="K42" s="727"/>
      <c r="L42" s="774"/>
      <c r="M42" s="727"/>
    </row>
    <row r="43" spans="2:13" x14ac:dyDescent="0.2">
      <c r="B43" s="728" t="s">
        <v>632</v>
      </c>
      <c r="C43" s="731"/>
      <c r="D43" s="731"/>
      <c r="E43" s="731"/>
      <c r="F43" s="731"/>
      <c r="G43" s="729"/>
      <c r="H43" s="729"/>
      <c r="I43" s="729"/>
      <c r="J43" s="732"/>
      <c r="K43" s="732"/>
      <c r="L43" s="729"/>
      <c r="M43" s="732"/>
    </row>
    <row r="44" spans="2:13" x14ac:dyDescent="0.2">
      <c r="B44" s="723" t="s">
        <v>564</v>
      </c>
      <c r="C44" s="724">
        <v>6750</v>
      </c>
      <c r="D44" s="724">
        <v>9000</v>
      </c>
      <c r="E44" s="724"/>
      <c r="F44" s="724">
        <v>7850</v>
      </c>
      <c r="G44" s="724">
        <v>7000</v>
      </c>
      <c r="H44" s="724"/>
      <c r="I44" s="724">
        <v>9847</v>
      </c>
      <c r="J44" s="727">
        <v>8050</v>
      </c>
      <c r="K44" s="727"/>
      <c r="L44" s="724"/>
      <c r="M44" s="551">
        <v>10000</v>
      </c>
    </row>
    <row r="45" spans="2:13" x14ac:dyDescent="0.2">
      <c r="B45" s="723" t="s">
        <v>1433</v>
      </c>
      <c r="C45" s="724"/>
      <c r="D45" s="724"/>
      <c r="E45" s="724"/>
      <c r="F45" s="724"/>
      <c r="G45" s="724"/>
      <c r="H45" s="724"/>
      <c r="I45" s="724"/>
      <c r="J45" s="727"/>
      <c r="K45" s="727"/>
      <c r="L45" s="724"/>
      <c r="M45" s="751">
        <f>1500*0.9</f>
        <v>1350</v>
      </c>
    </row>
    <row r="46" spans="2:13" x14ac:dyDescent="0.2">
      <c r="B46" s="723" t="s">
        <v>565</v>
      </c>
      <c r="C46" s="724">
        <v>3100</v>
      </c>
      <c r="D46" s="724">
        <v>3100</v>
      </c>
      <c r="E46" s="724"/>
      <c r="F46" s="724">
        <v>3200</v>
      </c>
      <c r="G46" s="724">
        <v>3200</v>
      </c>
      <c r="H46" s="724"/>
      <c r="I46" s="724">
        <v>3000</v>
      </c>
      <c r="J46" s="727">
        <v>3250</v>
      </c>
      <c r="K46" s="727"/>
      <c r="L46" s="724"/>
      <c r="M46" s="751">
        <v>3000</v>
      </c>
    </row>
    <row r="47" spans="2:13" x14ac:dyDescent="0.2">
      <c r="B47" s="723" t="s">
        <v>567</v>
      </c>
      <c r="C47" s="724">
        <v>5313</v>
      </c>
      <c r="D47" s="724">
        <v>5500</v>
      </c>
      <c r="E47" s="724"/>
      <c r="F47" s="724">
        <v>7282</v>
      </c>
      <c r="G47" s="724">
        <v>5500</v>
      </c>
      <c r="H47" s="724"/>
      <c r="I47" s="724">
        <v>5612</v>
      </c>
      <c r="J47" s="727">
        <v>5000</v>
      </c>
      <c r="K47" s="727"/>
      <c r="L47" s="724"/>
      <c r="M47" s="551">
        <v>5500</v>
      </c>
    </row>
    <row r="48" spans="2:13" x14ac:dyDescent="0.2">
      <c r="B48" s="723" t="s">
        <v>571</v>
      </c>
      <c r="C48" s="724">
        <v>3134</v>
      </c>
      <c r="D48" s="724">
        <v>5000</v>
      </c>
      <c r="E48" s="724"/>
      <c r="F48" s="724">
        <v>0</v>
      </c>
      <c r="G48" s="724">
        <v>5000</v>
      </c>
      <c r="H48" s="724"/>
      <c r="I48" s="733"/>
      <c r="J48" s="727">
        <v>5000</v>
      </c>
      <c r="K48" s="727"/>
      <c r="L48" s="724"/>
      <c r="M48" s="551">
        <v>5000</v>
      </c>
    </row>
    <row r="49" spans="2:13" x14ac:dyDescent="0.2">
      <c r="B49" s="840" t="s">
        <v>1388</v>
      </c>
      <c r="C49" s="724"/>
      <c r="D49" s="724"/>
      <c r="E49" s="724"/>
      <c r="F49" s="724"/>
      <c r="G49" s="724"/>
      <c r="H49" s="724"/>
      <c r="I49" s="733"/>
      <c r="J49" s="551">
        <v>2500</v>
      </c>
      <c r="K49" s="551"/>
      <c r="L49" s="724"/>
      <c r="M49" s="551"/>
    </row>
    <row r="50" spans="2:13" x14ac:dyDescent="0.2">
      <c r="B50" s="723" t="s">
        <v>573</v>
      </c>
      <c r="C50" s="724">
        <v>3158</v>
      </c>
      <c r="D50" s="724">
        <v>2400</v>
      </c>
      <c r="E50" s="724"/>
      <c r="F50" s="724">
        <v>4612</v>
      </c>
      <c r="G50" s="724">
        <f>Membershiponly!F10</f>
        <v>4500</v>
      </c>
      <c r="H50" s="724"/>
      <c r="I50" s="726">
        <f>3329+214</f>
        <v>3543</v>
      </c>
      <c r="J50" s="727">
        <v>5000</v>
      </c>
      <c r="K50" s="727"/>
      <c r="L50" s="724"/>
      <c r="M50" s="751">
        <v>5000</v>
      </c>
    </row>
    <row r="51" spans="2:13" x14ac:dyDescent="0.2">
      <c r="B51" s="723" t="s">
        <v>576</v>
      </c>
      <c r="C51" s="724">
        <v>0</v>
      </c>
      <c r="D51" s="724">
        <v>500</v>
      </c>
      <c r="E51" s="724"/>
      <c r="F51" s="724"/>
      <c r="G51" s="724">
        <v>2800</v>
      </c>
      <c r="H51" s="724"/>
      <c r="I51" s="733"/>
      <c r="J51" s="727"/>
      <c r="K51" s="727"/>
      <c r="L51" s="724"/>
      <c r="M51" s="551"/>
    </row>
    <row r="52" spans="2:13" x14ac:dyDescent="0.2">
      <c r="B52" s="723" t="s">
        <v>578</v>
      </c>
      <c r="C52" s="724">
        <v>72</v>
      </c>
      <c r="D52" s="724">
        <v>2680</v>
      </c>
      <c r="E52" s="724"/>
      <c r="F52" s="724"/>
      <c r="G52" s="724">
        <v>0</v>
      </c>
      <c r="H52" s="724"/>
      <c r="I52" s="724"/>
      <c r="J52" s="727"/>
      <c r="K52" s="727"/>
      <c r="L52" s="724"/>
      <c r="M52" s="551"/>
    </row>
    <row r="53" spans="2:13" x14ac:dyDescent="0.2">
      <c r="B53" s="723" t="s">
        <v>1398</v>
      </c>
      <c r="C53" s="724">
        <v>424</v>
      </c>
      <c r="D53" s="724">
        <v>424</v>
      </c>
      <c r="E53" s="724"/>
      <c r="F53" s="724">
        <v>1505</v>
      </c>
      <c r="G53" s="724">
        <v>424</v>
      </c>
      <c r="H53" s="724"/>
      <c r="I53" s="724">
        <v>704</v>
      </c>
      <c r="J53" s="727">
        <v>2000</v>
      </c>
      <c r="K53" s="727"/>
      <c r="L53" s="724"/>
      <c r="M53" s="751">
        <v>2000</v>
      </c>
    </row>
    <row r="54" spans="2:13" x14ac:dyDescent="0.2">
      <c r="B54" s="723" t="s">
        <v>1322</v>
      </c>
      <c r="C54" s="724"/>
      <c r="D54" s="724"/>
      <c r="E54" s="724"/>
      <c r="F54" s="724"/>
      <c r="G54" s="724"/>
      <c r="H54" s="724"/>
      <c r="I54" s="733"/>
      <c r="J54" s="727">
        <v>5000</v>
      </c>
      <c r="K54" s="727"/>
      <c r="L54" s="724"/>
      <c r="M54" s="751">
        <v>5000</v>
      </c>
    </row>
    <row r="55" spans="2:13" x14ac:dyDescent="0.2">
      <c r="B55" s="840" t="s">
        <v>580</v>
      </c>
      <c r="C55" s="724">
        <v>0</v>
      </c>
      <c r="D55" s="724">
        <v>0</v>
      </c>
      <c r="E55" s="724"/>
      <c r="F55" s="724"/>
      <c r="G55" s="724">
        <f>Membershiponly!F23</f>
        <v>0</v>
      </c>
      <c r="H55" s="724"/>
      <c r="I55" s="733"/>
      <c r="J55" s="727"/>
      <c r="K55" s="727"/>
      <c r="L55" s="724"/>
      <c r="M55" s="551"/>
    </row>
    <row r="56" spans="2:13" x14ac:dyDescent="0.2">
      <c r="B56" s="723" t="s">
        <v>587</v>
      </c>
      <c r="C56" s="724">
        <v>0</v>
      </c>
      <c r="D56" s="724">
        <v>0</v>
      </c>
      <c r="E56" s="724"/>
      <c r="F56" s="724"/>
      <c r="G56" s="724">
        <f>Membershiponly!F18</f>
        <v>0</v>
      </c>
      <c r="H56" s="724"/>
      <c r="I56" s="733"/>
      <c r="J56" s="727"/>
      <c r="K56" s="727"/>
      <c r="L56" s="724"/>
      <c r="M56" s="551"/>
    </row>
    <row r="57" spans="2:13" x14ac:dyDescent="0.2">
      <c r="B57" s="840" t="s">
        <v>588</v>
      </c>
      <c r="C57" s="724">
        <v>0</v>
      </c>
      <c r="D57" s="724">
        <v>200</v>
      </c>
      <c r="E57" s="724"/>
      <c r="F57" s="724">
        <v>340</v>
      </c>
      <c r="G57" s="724">
        <f>Membershiponly!F19</f>
        <v>200</v>
      </c>
      <c r="H57" s="724"/>
      <c r="I57" s="724">
        <v>377</v>
      </c>
      <c r="J57" s="727">
        <v>500</v>
      </c>
      <c r="K57" s="727"/>
      <c r="L57" s="724"/>
      <c r="M57" s="551"/>
    </row>
    <row r="58" spans="2:13" x14ac:dyDescent="0.2">
      <c r="B58" s="840" t="s">
        <v>1194</v>
      </c>
      <c r="C58" s="724"/>
      <c r="D58" s="724"/>
      <c r="E58" s="724"/>
      <c r="F58" s="724">
        <v>773</v>
      </c>
      <c r="G58" s="724"/>
      <c r="H58" s="724"/>
      <c r="I58" s="724">
        <v>26</v>
      </c>
      <c r="J58" s="772"/>
      <c r="K58" s="772"/>
      <c r="L58" s="775"/>
      <c r="M58" s="551"/>
    </row>
    <row r="59" spans="2:13" x14ac:dyDescent="0.2">
      <c r="B59" s="723" t="s">
        <v>1409</v>
      </c>
      <c r="C59" s="724">
        <v>0</v>
      </c>
      <c r="D59" s="724">
        <v>750</v>
      </c>
      <c r="E59" s="724"/>
      <c r="F59" s="724">
        <v>1638</v>
      </c>
      <c r="G59" s="724">
        <f>Membershiponly!F20</f>
        <v>1000</v>
      </c>
      <c r="H59" s="724"/>
      <c r="I59" s="733"/>
      <c r="J59" s="727">
        <v>1700</v>
      </c>
      <c r="K59" s="727"/>
      <c r="L59" s="724"/>
      <c r="M59" s="751">
        <v>1000</v>
      </c>
    </row>
    <row r="60" spans="2:13" x14ac:dyDescent="0.2">
      <c r="B60" s="723" t="s">
        <v>1399</v>
      </c>
      <c r="C60" s="724">
        <v>0</v>
      </c>
      <c r="D60" s="724">
        <v>3000</v>
      </c>
      <c r="E60" s="724"/>
      <c r="F60" s="724"/>
      <c r="G60" s="724">
        <f>Membershiponly!F21</f>
        <v>3000</v>
      </c>
      <c r="H60" s="724"/>
      <c r="I60" s="733"/>
      <c r="J60" s="727">
        <v>5000</v>
      </c>
      <c r="K60" s="727"/>
      <c r="L60" s="724"/>
      <c r="M60" s="751">
        <v>5000</v>
      </c>
    </row>
    <row r="61" spans="2:13" x14ac:dyDescent="0.2">
      <c r="B61" s="728" t="s">
        <v>702</v>
      </c>
      <c r="C61" s="731"/>
      <c r="D61" s="729">
        <f>SUM(D44:D60)</f>
        <v>32554</v>
      </c>
      <c r="E61" s="729"/>
      <c r="F61" s="729">
        <f>SUM(F44:F60)</f>
        <v>27200</v>
      </c>
      <c r="G61" s="729">
        <f t="shared" ref="G61:M61" si="6">SUM(G44:G60)</f>
        <v>32624</v>
      </c>
      <c r="H61" s="729">
        <f t="shared" si="6"/>
        <v>0</v>
      </c>
      <c r="I61" s="729">
        <f t="shared" si="6"/>
        <v>23109</v>
      </c>
      <c r="J61" s="729">
        <f t="shared" si="6"/>
        <v>43000</v>
      </c>
      <c r="K61" s="729"/>
      <c r="L61" s="729">
        <f t="shared" si="6"/>
        <v>0</v>
      </c>
      <c r="M61" s="729">
        <f t="shared" si="6"/>
        <v>42850</v>
      </c>
    </row>
    <row r="62" spans="2:13" ht="6" customHeight="1" x14ac:dyDescent="0.2">
      <c r="B62" s="730"/>
      <c r="C62" s="774"/>
      <c r="D62" s="774"/>
      <c r="E62" s="774"/>
      <c r="F62" s="766"/>
      <c r="G62" s="774"/>
      <c r="H62" s="774"/>
      <c r="I62" s="774"/>
      <c r="J62" s="727"/>
      <c r="K62" s="727"/>
      <c r="L62" s="774"/>
      <c r="M62" s="727"/>
    </row>
    <row r="63" spans="2:13" x14ac:dyDescent="0.2">
      <c r="B63" s="728" t="s">
        <v>1093</v>
      </c>
      <c r="C63" s="731"/>
      <c r="D63" s="731"/>
      <c r="E63" s="731"/>
      <c r="F63" s="731"/>
      <c r="G63" s="731"/>
      <c r="H63" s="731"/>
      <c r="I63" s="731"/>
      <c r="J63" s="732"/>
      <c r="K63" s="732"/>
      <c r="L63" s="731"/>
      <c r="M63" s="732"/>
    </row>
    <row r="64" spans="2:13" x14ac:dyDescent="0.2">
      <c r="B64" s="723" t="s">
        <v>1100</v>
      </c>
      <c r="C64" s="724">
        <v>0</v>
      </c>
      <c r="D64" s="724">
        <v>5000</v>
      </c>
      <c r="E64" s="724"/>
      <c r="F64" s="724"/>
      <c r="G64" s="724"/>
      <c r="H64" s="724"/>
      <c r="I64" s="724"/>
      <c r="J64" s="724"/>
      <c r="K64" s="724"/>
      <c r="L64" s="724"/>
      <c r="M64" s="727"/>
    </row>
    <row r="65" spans="2:15" x14ac:dyDescent="0.2">
      <c r="B65" s="723" t="s">
        <v>1167</v>
      </c>
      <c r="C65" s="724">
        <v>13333</v>
      </c>
      <c r="D65" s="724">
        <v>11690</v>
      </c>
      <c r="E65" s="724"/>
      <c r="F65" s="724">
        <v>6665</v>
      </c>
      <c r="G65" s="724">
        <v>5214</v>
      </c>
      <c r="H65" s="724"/>
      <c r="I65" s="724">
        <v>-20305</v>
      </c>
      <c r="J65" s="724">
        <v>7000</v>
      </c>
      <c r="K65" s="724"/>
      <c r="L65" s="724"/>
      <c r="M65" s="897">
        <f>SharedAdmin!L5</f>
        <v>9000</v>
      </c>
    </row>
    <row r="66" spans="2:15" x14ac:dyDescent="0.2">
      <c r="B66" s="840" t="s">
        <v>1166</v>
      </c>
      <c r="C66" s="724">
        <v>2752</v>
      </c>
      <c r="D66" s="724">
        <v>3250</v>
      </c>
      <c r="E66" s="724"/>
      <c r="F66" s="724">
        <v>0</v>
      </c>
      <c r="G66" s="724">
        <f>SharedAdmin!C6*SharedAdmin!K6</f>
        <v>0</v>
      </c>
      <c r="H66" s="724"/>
      <c r="I66" s="733"/>
      <c r="J66" s="724">
        <v>0</v>
      </c>
      <c r="K66" s="724"/>
      <c r="L66" s="724"/>
      <c r="M66" s="897">
        <f>SharedAdmin!L6</f>
        <v>0</v>
      </c>
    </row>
    <row r="67" spans="2:15" x14ac:dyDescent="0.2">
      <c r="B67" s="742" t="s">
        <v>1165</v>
      </c>
      <c r="C67" s="724">
        <v>2246</v>
      </c>
      <c r="D67" s="724">
        <v>2750</v>
      </c>
      <c r="E67" s="724"/>
      <c r="F67" s="724">
        <v>1670</v>
      </c>
      <c r="G67" s="724">
        <v>450</v>
      </c>
      <c r="H67" s="724"/>
      <c r="I67" s="724">
        <v>34</v>
      </c>
      <c r="J67" s="724">
        <v>1200</v>
      </c>
      <c r="K67" s="724"/>
      <c r="L67" s="724"/>
      <c r="M67" s="897">
        <f>SharedAdmin!L7</f>
        <v>1236</v>
      </c>
    </row>
    <row r="68" spans="2:15" x14ac:dyDescent="0.2">
      <c r="B68" s="742" t="s">
        <v>1163</v>
      </c>
      <c r="C68" s="724">
        <v>2520</v>
      </c>
      <c r="D68" s="724">
        <v>1500</v>
      </c>
      <c r="E68" s="724"/>
      <c r="F68" s="724">
        <v>1140</v>
      </c>
      <c r="G68" s="724">
        <v>850</v>
      </c>
      <c r="H68" s="724"/>
      <c r="I68" s="724">
        <f>-2629+4162</f>
        <v>1533</v>
      </c>
      <c r="J68" s="724">
        <v>1200</v>
      </c>
      <c r="K68" s="724"/>
      <c r="L68" s="724"/>
      <c r="M68" s="897">
        <f>SharedAdmin!L8</f>
        <v>1708.6000000000001</v>
      </c>
    </row>
    <row r="69" spans="2:15" x14ac:dyDescent="0.2">
      <c r="B69" s="742" t="s">
        <v>1171</v>
      </c>
      <c r="C69" s="724">
        <v>0</v>
      </c>
      <c r="D69" s="724">
        <v>0</v>
      </c>
      <c r="E69" s="724"/>
      <c r="F69" s="724">
        <v>735</v>
      </c>
      <c r="G69" s="724">
        <v>250</v>
      </c>
      <c r="H69" s="724"/>
      <c r="I69" s="724">
        <v>71</v>
      </c>
      <c r="J69" s="724">
        <v>750</v>
      </c>
      <c r="K69" s="724"/>
      <c r="L69" s="724"/>
      <c r="M69" s="897">
        <f>SharedAdmin!L9</f>
        <v>772.5</v>
      </c>
    </row>
    <row r="70" spans="2:15" x14ac:dyDescent="0.2">
      <c r="B70" s="742" t="s">
        <v>1164</v>
      </c>
      <c r="C70" s="724">
        <v>992</v>
      </c>
      <c r="D70" s="724">
        <v>1500</v>
      </c>
      <c r="E70" s="724"/>
      <c r="F70" s="724">
        <v>2207</v>
      </c>
      <c r="G70" s="724">
        <v>500</v>
      </c>
      <c r="H70" s="724"/>
      <c r="I70" s="724">
        <v>2873</v>
      </c>
      <c r="J70" s="724">
        <v>2250</v>
      </c>
      <c r="K70" s="724"/>
      <c r="L70" s="724"/>
      <c r="M70" s="897">
        <f>SharedAdmin!L10</f>
        <v>2317.5</v>
      </c>
    </row>
    <row r="71" spans="2:15" x14ac:dyDescent="0.2">
      <c r="B71" s="742" t="s">
        <v>1168</v>
      </c>
      <c r="C71" s="724">
        <v>618</v>
      </c>
      <c r="D71" s="724">
        <v>2250</v>
      </c>
      <c r="E71" s="724"/>
      <c r="F71" s="724">
        <v>1584</v>
      </c>
      <c r="G71" s="724">
        <v>700</v>
      </c>
      <c r="H71" s="724"/>
      <c r="I71" s="724">
        <v>750</v>
      </c>
      <c r="J71" s="724">
        <v>1600</v>
      </c>
      <c r="K71" s="724"/>
      <c r="L71" s="724"/>
      <c r="M71" s="897">
        <f>SharedAdmin!L11</f>
        <v>1648</v>
      </c>
    </row>
    <row r="72" spans="2:15" x14ac:dyDescent="0.2">
      <c r="B72" s="742" t="s">
        <v>1169</v>
      </c>
      <c r="C72" s="724">
        <v>222</v>
      </c>
      <c r="D72" s="724">
        <v>600</v>
      </c>
      <c r="E72" s="724"/>
      <c r="F72" s="724">
        <v>297</v>
      </c>
      <c r="G72" s="724">
        <v>200</v>
      </c>
      <c r="H72" s="724"/>
      <c r="I72" s="724">
        <v>-157</v>
      </c>
      <c r="J72" s="724">
        <v>300</v>
      </c>
      <c r="K72" s="724"/>
      <c r="L72" s="724"/>
      <c r="M72" s="897">
        <f>SharedAdmin!L12</f>
        <v>309</v>
      </c>
    </row>
    <row r="73" spans="2:15" x14ac:dyDescent="0.2">
      <c r="B73" s="742" t="s">
        <v>1170</v>
      </c>
      <c r="C73" s="724">
        <v>2190</v>
      </c>
      <c r="D73" s="724">
        <v>3500</v>
      </c>
      <c r="E73" s="724"/>
      <c r="F73" s="724">
        <v>1831</v>
      </c>
      <c r="G73" s="724">
        <v>500</v>
      </c>
      <c r="H73" s="724"/>
      <c r="I73" s="726">
        <f>-4519+85+251.83+625+1241+73</f>
        <v>-2243.17</v>
      </c>
      <c r="J73" s="724">
        <v>1850</v>
      </c>
      <c r="K73" s="724"/>
      <c r="L73" s="724"/>
      <c r="M73" s="897">
        <f>SharedAdmin!L13</f>
        <v>1905.5</v>
      </c>
    </row>
    <row r="74" spans="2:15" x14ac:dyDescent="0.2">
      <c r="B74" s="728" t="s">
        <v>1094</v>
      </c>
      <c r="C74" s="729">
        <f>ROUND(SUM(C63:C73),5)</f>
        <v>24873</v>
      </c>
      <c r="D74" s="729">
        <f>ROUND(SUM(D63:D73),5)</f>
        <v>32040</v>
      </c>
      <c r="E74" s="729"/>
      <c r="F74" s="729">
        <f>ROUND(SUM(F63:F73),5)</f>
        <v>16129</v>
      </c>
      <c r="G74" s="729">
        <f t="shared" ref="G74:M74" si="7">ROUND(SUM(G63:G73),5)</f>
        <v>8664</v>
      </c>
      <c r="H74" s="729">
        <f t="shared" si="7"/>
        <v>0</v>
      </c>
      <c r="I74" s="729">
        <f t="shared" si="7"/>
        <v>-17444.169999999998</v>
      </c>
      <c r="J74" s="729">
        <f t="shared" si="7"/>
        <v>16150</v>
      </c>
      <c r="K74" s="729"/>
      <c r="L74" s="729">
        <f t="shared" si="7"/>
        <v>0</v>
      </c>
      <c r="M74" s="729">
        <f t="shared" si="7"/>
        <v>18897.099999999999</v>
      </c>
    </row>
    <row r="75" spans="2:15" ht="6" customHeight="1" x14ac:dyDescent="0.2">
      <c r="B75" s="730"/>
      <c r="C75" s="774"/>
      <c r="D75" s="774"/>
      <c r="E75" s="774"/>
      <c r="F75" s="766"/>
      <c r="G75" s="766"/>
      <c r="H75" s="766"/>
      <c r="I75" s="766"/>
      <c r="J75" s="766"/>
      <c r="K75" s="766"/>
      <c r="L75" s="766"/>
      <c r="M75" s="766"/>
    </row>
    <row r="76" spans="2:15" ht="16" x14ac:dyDescent="0.2">
      <c r="B76" s="1004" t="s">
        <v>591</v>
      </c>
      <c r="C76" s="1005">
        <f>ROUND(C22+C26+C61+C36+C41+C74,5)</f>
        <v>112876</v>
      </c>
      <c r="D76" s="1003">
        <f>ROUND(D22+D26+D61+D36+D41+D74,5)</f>
        <v>171900</v>
      </c>
      <c r="E76" s="1003"/>
      <c r="F76" s="1003">
        <f>ROUND(F22+F26+F61+F36+F41+F74,5)</f>
        <v>98670</v>
      </c>
      <c r="G76" s="1003">
        <f t="shared" ref="G76:M76" si="8">ROUND(G22+G26+G61+G36+G41+G74,5)</f>
        <v>92832</v>
      </c>
      <c r="H76" s="1003">
        <f t="shared" si="8"/>
        <v>0</v>
      </c>
      <c r="I76" s="1003">
        <f t="shared" si="8"/>
        <v>59864.83</v>
      </c>
      <c r="J76" s="1003">
        <f t="shared" si="8"/>
        <v>176369.16667999999</v>
      </c>
      <c r="K76" s="1003"/>
      <c r="L76" s="1003">
        <f t="shared" si="8"/>
        <v>0</v>
      </c>
      <c r="M76" s="1003">
        <f t="shared" si="8"/>
        <v>230317.68335000001</v>
      </c>
    </row>
    <row r="77" spans="2:15" ht="6" customHeight="1" x14ac:dyDescent="0.2">
      <c r="B77" s="730"/>
      <c r="C77" s="774"/>
      <c r="D77" s="774"/>
      <c r="E77" s="774"/>
      <c r="F77" s="766"/>
      <c r="G77" s="766"/>
      <c r="H77" s="766"/>
      <c r="I77" s="766"/>
      <c r="J77" s="766"/>
      <c r="K77" s="766"/>
      <c r="L77" s="766"/>
      <c r="M77" s="766"/>
    </row>
    <row r="78" spans="2:15" ht="19" x14ac:dyDescent="0.25">
      <c r="B78" s="1000" t="s">
        <v>1431</v>
      </c>
      <c r="C78" s="1001">
        <f>ROUND(C20-C76,5)</f>
        <v>43777</v>
      </c>
      <c r="D78" s="1001">
        <f>ROUND(D20-D76,5)</f>
        <v>-32100</v>
      </c>
      <c r="E78" s="1001"/>
      <c r="F78" s="1001">
        <f>ROUND(F20-F76,5)</f>
        <v>82227</v>
      </c>
      <c r="G78" s="1001">
        <f t="shared" ref="G78:M78" si="9">ROUND(G20-G76,5)</f>
        <v>46868</v>
      </c>
      <c r="H78" s="1001">
        <f t="shared" si="9"/>
        <v>0</v>
      </c>
      <c r="I78" s="1001">
        <f t="shared" si="9"/>
        <v>65451.17</v>
      </c>
      <c r="J78" s="1001">
        <f t="shared" si="9"/>
        <v>-30209.166679999998</v>
      </c>
      <c r="K78" s="1001"/>
      <c r="L78" s="1001">
        <f t="shared" si="9"/>
        <v>0</v>
      </c>
      <c r="M78" s="1001">
        <f t="shared" si="9"/>
        <v>30682.316650000001</v>
      </c>
      <c r="O78" s="1062"/>
    </row>
  </sheetData>
  <sheetProtection algorithmName="SHA-512" hashValue="LDLax7FXnp8IoyxG+a9/RtqD7k3kb7eSJAQSMnQPQgi+oDmYDsluMn1buRhw7e2luZsL7nKjdiDK7MZwP8qU1A==" saltValue="+u3OiKMXnMdi93RUn9y57Q==" spinCount="100000" sheet="1" objects="1" scenarios="1"/>
  <mergeCells count="1">
    <mergeCell ref="B2:M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2"/>
  <sheetViews>
    <sheetView zoomScale="120" zoomScaleNormal="120" workbookViewId="0">
      <selection activeCell="E5" sqref="E5"/>
    </sheetView>
  </sheetViews>
  <sheetFormatPr baseColWidth="10" defaultColWidth="8.83203125" defaultRowHeight="15" x14ac:dyDescent="0.2"/>
  <cols>
    <col min="1" max="1" width="3.83203125" style="2" customWidth="1"/>
    <col min="2" max="2" width="7.5" style="35" customWidth="1"/>
    <col min="3" max="3" width="19.5" style="102" customWidth="1"/>
    <col min="4" max="4" width="12.1640625" style="35" customWidth="1"/>
    <col min="5" max="5" width="10.83203125" style="35" customWidth="1"/>
    <col min="6" max="7" width="9.83203125" style="102" customWidth="1"/>
    <col min="8" max="8" width="10.5" style="35" customWidth="1"/>
    <col min="9" max="9" width="32.83203125" style="344" customWidth="1"/>
    <col min="10" max="11" width="14.1640625" style="2" customWidth="1"/>
    <col min="12" max="12" width="16.5" customWidth="1"/>
    <col min="13" max="13" width="8.83203125" style="2"/>
  </cols>
  <sheetData>
    <row r="1" spans="2:12" ht="16" thickBot="1" x14ac:dyDescent="0.25"/>
    <row r="2" spans="2:12" ht="21" x14ac:dyDescent="0.25">
      <c r="B2" s="1072" t="s">
        <v>1212</v>
      </c>
      <c r="C2" s="1073"/>
      <c r="D2" s="1073"/>
      <c r="E2" s="1073"/>
      <c r="F2" s="1073"/>
      <c r="G2" s="1073"/>
      <c r="H2" s="1073"/>
      <c r="I2" s="1073"/>
      <c r="J2" s="1073"/>
      <c r="K2" s="1073"/>
      <c r="L2" s="1074"/>
    </row>
    <row r="3" spans="2:12" ht="32" x14ac:dyDescent="0.2">
      <c r="B3" s="390" t="s">
        <v>273</v>
      </c>
      <c r="C3" s="354" t="s">
        <v>185</v>
      </c>
      <c r="D3" s="171" t="s">
        <v>274</v>
      </c>
      <c r="E3" s="171" t="s">
        <v>103</v>
      </c>
      <c r="F3" s="339" t="s">
        <v>668</v>
      </c>
      <c r="G3" s="339" t="s">
        <v>497</v>
      </c>
      <c r="H3" s="339" t="s">
        <v>1211</v>
      </c>
      <c r="I3" s="179" t="s">
        <v>12</v>
      </c>
      <c r="J3" s="101" t="s">
        <v>224</v>
      </c>
      <c r="K3" s="68" t="s">
        <v>225</v>
      </c>
      <c r="L3" s="391" t="s">
        <v>226</v>
      </c>
    </row>
    <row r="4" spans="2:12" x14ac:dyDescent="0.2">
      <c r="B4" s="392" t="s">
        <v>425</v>
      </c>
      <c r="C4" s="175" t="s">
        <v>506</v>
      </c>
      <c r="D4" s="179">
        <v>1</v>
      </c>
      <c r="E4" s="178"/>
      <c r="F4" s="175">
        <v>600</v>
      </c>
      <c r="G4" s="175">
        <v>600</v>
      </c>
      <c r="H4" s="175">
        <v>660</v>
      </c>
      <c r="I4" s="178"/>
      <c r="J4" s="69"/>
      <c r="K4" s="65"/>
      <c r="L4" s="393"/>
    </row>
    <row r="5" spans="2:12" x14ac:dyDescent="0.2">
      <c r="B5" s="392" t="s">
        <v>426</v>
      </c>
      <c r="C5" s="175" t="s">
        <v>427</v>
      </c>
      <c r="D5" s="179">
        <v>1</v>
      </c>
      <c r="E5" s="178">
        <v>600</v>
      </c>
      <c r="F5" s="175">
        <v>600</v>
      </c>
      <c r="G5" s="175">
        <v>600</v>
      </c>
      <c r="H5" s="175">
        <v>660</v>
      </c>
      <c r="I5" s="341"/>
      <c r="J5" s="149" t="s">
        <v>382</v>
      </c>
      <c r="K5" s="65"/>
      <c r="L5" s="393"/>
    </row>
    <row r="6" spans="2:12" x14ac:dyDescent="0.2">
      <c r="B6" s="394">
        <v>2</v>
      </c>
      <c r="C6" s="175" t="s">
        <v>429</v>
      </c>
      <c r="D6" s="179">
        <v>1</v>
      </c>
      <c r="E6" s="178">
        <v>600</v>
      </c>
      <c r="F6" s="175">
        <v>600</v>
      </c>
      <c r="G6" s="175">
        <v>600</v>
      </c>
      <c r="H6" s="175">
        <v>660</v>
      </c>
      <c r="I6" s="178"/>
      <c r="J6" s="149" t="s">
        <v>381</v>
      </c>
      <c r="K6" s="65"/>
      <c r="L6" s="393"/>
    </row>
    <row r="7" spans="2:12" x14ac:dyDescent="0.2">
      <c r="B7" s="394">
        <v>3</v>
      </c>
      <c r="C7" s="175" t="s">
        <v>277</v>
      </c>
      <c r="D7" s="179">
        <v>1</v>
      </c>
      <c r="E7" s="178">
        <v>600</v>
      </c>
      <c r="F7" s="175">
        <v>600</v>
      </c>
      <c r="G7" s="175">
        <v>600</v>
      </c>
      <c r="H7" s="175">
        <v>660</v>
      </c>
      <c r="I7" s="178"/>
      <c r="J7" s="69"/>
      <c r="K7" s="65"/>
      <c r="L7" s="393"/>
    </row>
    <row r="8" spans="2:12" x14ac:dyDescent="0.2">
      <c r="B8" s="394">
        <v>4</v>
      </c>
      <c r="C8" s="175" t="s">
        <v>374</v>
      </c>
      <c r="D8" s="179">
        <v>1</v>
      </c>
      <c r="E8" s="178">
        <v>600</v>
      </c>
      <c r="F8" s="175">
        <v>600</v>
      </c>
      <c r="G8" s="175">
        <v>600</v>
      </c>
      <c r="H8" s="175">
        <v>660</v>
      </c>
      <c r="I8" s="178" t="s">
        <v>121</v>
      </c>
      <c r="J8" s="69"/>
      <c r="K8" s="65"/>
      <c r="L8" s="393"/>
    </row>
    <row r="9" spans="2:12" x14ac:dyDescent="0.2">
      <c r="B9" s="394">
        <v>5</v>
      </c>
      <c r="C9" s="175" t="s">
        <v>278</v>
      </c>
      <c r="D9" s="179">
        <v>1</v>
      </c>
      <c r="E9" s="178">
        <v>600</v>
      </c>
      <c r="F9" s="175">
        <v>600</v>
      </c>
      <c r="G9" s="175">
        <v>600</v>
      </c>
      <c r="H9" s="175">
        <v>660</v>
      </c>
      <c r="I9" s="178"/>
      <c r="J9" s="69"/>
      <c r="K9" s="65"/>
      <c r="L9" s="393"/>
    </row>
    <row r="10" spans="2:12" x14ac:dyDescent="0.2">
      <c r="B10" s="394">
        <v>6</v>
      </c>
      <c r="C10" s="175" t="s">
        <v>279</v>
      </c>
      <c r="D10" s="179">
        <v>1</v>
      </c>
      <c r="E10" s="178">
        <v>600</v>
      </c>
      <c r="F10" s="175">
        <v>600</v>
      </c>
      <c r="G10" s="175">
        <v>600</v>
      </c>
      <c r="H10" s="175">
        <v>660</v>
      </c>
      <c r="I10" s="178"/>
      <c r="J10" s="149" t="s">
        <v>243</v>
      </c>
      <c r="K10" s="65" t="s">
        <v>244</v>
      </c>
      <c r="L10" s="393" t="s">
        <v>245</v>
      </c>
    </row>
    <row r="11" spans="2:12" x14ac:dyDescent="0.2">
      <c r="B11" s="394">
        <v>7</v>
      </c>
      <c r="C11" s="175" t="s">
        <v>183</v>
      </c>
      <c r="D11" s="179">
        <v>2</v>
      </c>
      <c r="E11" s="178">
        <v>900</v>
      </c>
      <c r="F11" s="175">
        <v>900</v>
      </c>
      <c r="G11" s="175">
        <v>900</v>
      </c>
      <c r="H11" s="175">
        <v>990</v>
      </c>
      <c r="I11" s="178"/>
      <c r="J11" s="149" t="s">
        <v>236</v>
      </c>
      <c r="K11" s="65" t="s">
        <v>237</v>
      </c>
      <c r="L11" s="393" t="s">
        <v>238</v>
      </c>
    </row>
    <row r="12" spans="2:12" x14ac:dyDescent="0.2">
      <c r="B12" s="394">
        <v>8</v>
      </c>
      <c r="C12" s="175" t="s">
        <v>280</v>
      </c>
      <c r="D12" s="179">
        <v>1</v>
      </c>
      <c r="E12" s="178">
        <v>600</v>
      </c>
      <c r="F12" s="175">
        <v>600</v>
      </c>
      <c r="G12" s="175">
        <v>600</v>
      </c>
      <c r="H12" s="175">
        <v>660</v>
      </c>
      <c r="I12" s="178"/>
      <c r="J12" s="149" t="s">
        <v>233</v>
      </c>
      <c r="K12" s="65" t="s">
        <v>234</v>
      </c>
      <c r="L12" s="393" t="s">
        <v>1394</v>
      </c>
    </row>
    <row r="13" spans="2:12" x14ac:dyDescent="0.2">
      <c r="B13" s="394">
        <v>9</v>
      </c>
      <c r="C13" s="175" t="s">
        <v>281</v>
      </c>
      <c r="D13" s="179">
        <v>1</v>
      </c>
      <c r="E13" s="178">
        <v>600</v>
      </c>
      <c r="F13" s="175">
        <v>600</v>
      </c>
      <c r="G13" s="175">
        <v>600</v>
      </c>
      <c r="H13" s="175"/>
      <c r="I13" s="178" t="s">
        <v>1213</v>
      </c>
      <c r="J13" s="149" t="s">
        <v>240</v>
      </c>
      <c r="K13" s="65" t="s">
        <v>241</v>
      </c>
      <c r="L13" s="393" t="s">
        <v>242</v>
      </c>
    </row>
    <row r="14" spans="2:12" x14ac:dyDescent="0.2">
      <c r="B14" s="394">
        <v>10</v>
      </c>
      <c r="C14" s="175" t="s">
        <v>288</v>
      </c>
      <c r="D14" s="179">
        <v>1</v>
      </c>
      <c r="E14" s="178">
        <v>600</v>
      </c>
      <c r="F14" s="175">
        <v>600</v>
      </c>
      <c r="G14" s="175">
        <v>600</v>
      </c>
      <c r="H14" s="175">
        <v>660</v>
      </c>
      <c r="I14" s="178"/>
      <c r="J14" s="69"/>
      <c r="K14" s="65"/>
      <c r="L14" s="371"/>
    </row>
    <row r="15" spans="2:12" x14ac:dyDescent="0.2">
      <c r="B15" s="396">
        <v>11</v>
      </c>
      <c r="C15" s="175" t="s">
        <v>669</v>
      </c>
      <c r="D15" s="176">
        <v>1</v>
      </c>
      <c r="E15" s="175">
        <v>600</v>
      </c>
      <c r="F15" s="175">
        <v>600</v>
      </c>
      <c r="G15" s="175">
        <v>600</v>
      </c>
      <c r="H15" s="175">
        <v>660</v>
      </c>
      <c r="I15" s="178"/>
      <c r="J15" s="386" t="s">
        <v>434</v>
      </c>
      <c r="K15" s="65"/>
      <c r="L15" s="371"/>
    </row>
    <row r="16" spans="2:12" x14ac:dyDescent="0.2">
      <c r="B16" s="394">
        <v>12</v>
      </c>
      <c r="C16" s="175" t="s">
        <v>153</v>
      </c>
      <c r="D16" s="179">
        <v>2</v>
      </c>
      <c r="E16" s="178">
        <v>1200</v>
      </c>
      <c r="F16" s="175">
        <v>1200</v>
      </c>
      <c r="G16" s="175">
        <v>1200</v>
      </c>
      <c r="H16" s="175">
        <v>1320</v>
      </c>
      <c r="I16" s="178"/>
      <c r="J16" s="6" t="s">
        <v>247</v>
      </c>
      <c r="K16" s="65" t="s">
        <v>229</v>
      </c>
      <c r="L16" s="393" t="s">
        <v>230</v>
      </c>
    </row>
    <row r="17" spans="2:12" x14ac:dyDescent="0.2">
      <c r="B17" s="394">
        <v>14</v>
      </c>
      <c r="C17" s="175" t="s">
        <v>248</v>
      </c>
      <c r="D17" s="179">
        <v>2</v>
      </c>
      <c r="E17" s="178">
        <v>1200</v>
      </c>
      <c r="F17" s="175">
        <v>1200</v>
      </c>
      <c r="G17" s="175">
        <v>1200</v>
      </c>
      <c r="H17" s="175">
        <v>1320</v>
      </c>
      <c r="I17" s="178"/>
      <c r="J17" s="149" t="s">
        <v>249</v>
      </c>
      <c r="K17" s="65" t="s">
        <v>250</v>
      </c>
      <c r="L17" s="393" t="s">
        <v>251</v>
      </c>
    </row>
    <row r="18" spans="2:12" x14ac:dyDescent="0.2">
      <c r="B18" s="394">
        <v>16</v>
      </c>
      <c r="C18" s="175" t="s">
        <v>282</v>
      </c>
      <c r="D18" s="179">
        <v>2</v>
      </c>
      <c r="E18" s="178">
        <v>1200</v>
      </c>
      <c r="F18" s="175"/>
      <c r="G18" s="175">
        <v>1200</v>
      </c>
      <c r="H18" s="175">
        <v>880</v>
      </c>
      <c r="I18" s="178" t="s">
        <v>121</v>
      </c>
      <c r="J18" s="69"/>
      <c r="K18" s="65"/>
      <c r="L18" s="393" t="s">
        <v>435</v>
      </c>
    </row>
    <row r="19" spans="2:12" x14ac:dyDescent="0.2">
      <c r="B19" s="394">
        <v>17</v>
      </c>
      <c r="C19" s="175" t="s">
        <v>1318</v>
      </c>
      <c r="D19" s="179">
        <v>2</v>
      </c>
      <c r="E19" s="178">
        <v>900</v>
      </c>
      <c r="F19" s="175">
        <v>900</v>
      </c>
      <c r="G19" s="175">
        <v>900</v>
      </c>
      <c r="H19" s="175"/>
      <c r="I19" s="178"/>
      <c r="J19" s="149" t="s">
        <v>256</v>
      </c>
      <c r="K19" s="65" t="s">
        <v>257</v>
      </c>
      <c r="L19" s="393" t="s">
        <v>258</v>
      </c>
    </row>
    <row r="20" spans="2:12" x14ac:dyDescent="0.2">
      <c r="B20" s="394">
        <v>18</v>
      </c>
      <c r="C20" s="175" t="s">
        <v>1317</v>
      </c>
      <c r="D20" s="179" t="s">
        <v>436</v>
      </c>
      <c r="E20" s="178">
        <v>1800</v>
      </c>
      <c r="F20" s="175">
        <v>1800</v>
      </c>
      <c r="G20" s="175">
        <v>1800</v>
      </c>
      <c r="H20" s="175">
        <v>1980</v>
      </c>
      <c r="I20" s="178"/>
      <c r="J20" s="69"/>
      <c r="K20" s="65"/>
      <c r="L20" s="393"/>
    </row>
    <row r="21" spans="2:12" x14ac:dyDescent="0.2">
      <c r="B21" s="392"/>
      <c r="C21" s="175" t="s">
        <v>685</v>
      </c>
      <c r="D21" s="179"/>
      <c r="E21" s="178"/>
      <c r="F21" s="175"/>
      <c r="G21" s="175"/>
      <c r="H21" s="175">
        <v>1320</v>
      </c>
      <c r="I21" s="178"/>
      <c r="J21" s="69"/>
      <c r="K21" s="65"/>
      <c r="L21" s="393"/>
    </row>
    <row r="22" spans="2:12" x14ac:dyDescent="0.2">
      <c r="B22" s="392"/>
      <c r="C22" s="175" t="s">
        <v>686</v>
      </c>
      <c r="D22" s="179">
        <v>1</v>
      </c>
      <c r="E22" s="178"/>
      <c r="F22" s="175"/>
      <c r="G22" s="175"/>
      <c r="H22" s="175">
        <v>660</v>
      </c>
      <c r="I22" s="178"/>
      <c r="J22" s="69"/>
      <c r="K22" s="65"/>
      <c r="L22" s="393"/>
    </row>
    <row r="23" spans="2:12" x14ac:dyDescent="0.2">
      <c r="B23" s="392"/>
      <c r="C23" s="175" t="s">
        <v>1146</v>
      </c>
      <c r="D23" s="176"/>
      <c r="E23" s="175"/>
      <c r="F23" s="175"/>
      <c r="G23" s="175"/>
      <c r="H23" s="175">
        <v>660</v>
      </c>
      <c r="I23" s="175"/>
      <c r="J23" s="69"/>
      <c r="K23" s="65"/>
      <c r="L23" s="393"/>
    </row>
    <row r="24" spans="2:12" x14ac:dyDescent="0.2">
      <c r="B24" s="392"/>
      <c r="C24" s="175" t="s">
        <v>1319</v>
      </c>
      <c r="D24" s="176"/>
      <c r="E24" s="175"/>
      <c r="F24" s="175"/>
      <c r="G24" s="175"/>
      <c r="H24" s="175">
        <v>660</v>
      </c>
      <c r="I24" s="175"/>
      <c r="J24" s="69"/>
      <c r="K24" s="65"/>
      <c r="L24" s="393"/>
    </row>
    <row r="25" spans="2:12" x14ac:dyDescent="0.2">
      <c r="B25" s="394"/>
      <c r="C25" s="175" t="s">
        <v>1334</v>
      </c>
      <c r="D25" s="178"/>
      <c r="E25" s="178"/>
      <c r="F25" s="175"/>
      <c r="G25" s="175"/>
      <c r="H25" s="175">
        <v>1320</v>
      </c>
      <c r="I25" s="178"/>
      <c r="J25" s="69"/>
      <c r="K25" s="65"/>
      <c r="L25" s="393"/>
    </row>
    <row r="26" spans="2:12" x14ac:dyDescent="0.2">
      <c r="B26" s="69"/>
      <c r="C26" s="71" t="s">
        <v>1333</v>
      </c>
      <c r="D26" s="69"/>
      <c r="E26" s="69"/>
      <c r="F26" s="71"/>
      <c r="G26" s="71"/>
      <c r="H26" s="69"/>
      <c r="I26" s="178"/>
      <c r="J26" s="65"/>
      <c r="K26" s="65"/>
      <c r="L26" s="6"/>
    </row>
    <row r="27" spans="2:12" ht="22" thickBot="1" x14ac:dyDescent="0.3">
      <c r="B27" s="397" t="s">
        <v>57</v>
      </c>
      <c r="C27" s="398"/>
      <c r="D27" s="399"/>
      <c r="E27" s="399">
        <f>SUM(E4:E20)</f>
        <v>13200</v>
      </c>
      <c r="F27" s="398">
        <f>SUM(F4:F20)</f>
        <v>12600</v>
      </c>
      <c r="G27" s="398">
        <f>SUM(G4:G25)</f>
        <v>13800</v>
      </c>
      <c r="H27" s="398">
        <f>SUM(H4:H26)</f>
        <v>17710</v>
      </c>
      <c r="I27" s="400"/>
      <c r="J27" s="401"/>
      <c r="K27" s="375"/>
      <c r="L27" s="402"/>
    </row>
    <row r="29" spans="2:12" ht="16" thickBot="1" x14ac:dyDescent="0.25">
      <c r="B29" s="66"/>
      <c r="C29" s="66"/>
      <c r="D29" s="66"/>
      <c r="E29" s="66"/>
      <c r="F29" s="66"/>
      <c r="G29" s="66"/>
      <c r="H29" s="66"/>
      <c r="I29" s="340"/>
      <c r="J29" s="66"/>
      <c r="K29" s="60"/>
      <c r="L29" s="60"/>
    </row>
    <row r="30" spans="2:12" ht="21" x14ac:dyDescent="0.25">
      <c r="B30" s="1072" t="s">
        <v>1144</v>
      </c>
      <c r="C30" s="1073"/>
      <c r="D30" s="1073"/>
      <c r="E30" s="1073"/>
      <c r="F30" s="1073"/>
      <c r="G30" s="1073"/>
      <c r="H30" s="1073"/>
      <c r="I30" s="1073"/>
      <c r="J30" s="1073"/>
      <c r="K30" s="1073"/>
      <c r="L30" s="1074"/>
    </row>
    <row r="31" spans="2:12" ht="32" x14ac:dyDescent="0.2">
      <c r="B31" s="390" t="s">
        <v>273</v>
      </c>
      <c r="C31" s="354" t="s">
        <v>185</v>
      </c>
      <c r="D31" s="171" t="s">
        <v>274</v>
      </c>
      <c r="E31" s="171" t="s">
        <v>103</v>
      </c>
      <c r="F31" s="339" t="s">
        <v>668</v>
      </c>
      <c r="G31" s="339" t="s">
        <v>497</v>
      </c>
      <c r="H31" s="339" t="s">
        <v>719</v>
      </c>
      <c r="I31" s="179" t="s">
        <v>12</v>
      </c>
      <c r="J31" s="101" t="s">
        <v>224</v>
      </c>
      <c r="K31" s="68" t="s">
        <v>225</v>
      </c>
      <c r="L31" s="391" t="s">
        <v>226</v>
      </c>
    </row>
    <row r="32" spans="2:12" x14ac:dyDescent="0.2">
      <c r="B32" s="392" t="s">
        <v>425</v>
      </c>
      <c r="C32" s="175" t="s">
        <v>506</v>
      </c>
      <c r="D32" s="179">
        <v>1</v>
      </c>
      <c r="E32" s="178"/>
      <c r="F32" s="175">
        <v>600</v>
      </c>
      <c r="G32" s="175">
        <v>600</v>
      </c>
      <c r="H32" s="175">
        <v>600</v>
      </c>
      <c r="I32" s="178"/>
      <c r="J32" s="69"/>
      <c r="K32" s="65"/>
      <c r="L32" s="393"/>
    </row>
    <row r="33" spans="2:12" x14ac:dyDescent="0.2">
      <c r="B33" s="392" t="s">
        <v>426</v>
      </c>
      <c r="C33" s="175" t="s">
        <v>427</v>
      </c>
      <c r="D33" s="179">
        <v>1</v>
      </c>
      <c r="E33" s="178">
        <v>600</v>
      </c>
      <c r="F33" s="175">
        <v>600</v>
      </c>
      <c r="G33" s="175">
        <v>600</v>
      </c>
      <c r="H33" s="175">
        <v>600</v>
      </c>
      <c r="I33" s="341"/>
      <c r="J33" s="149" t="s">
        <v>382</v>
      </c>
      <c r="K33" s="65"/>
      <c r="L33" s="393"/>
    </row>
    <row r="34" spans="2:12" x14ac:dyDescent="0.2">
      <c r="B34" s="394">
        <v>2</v>
      </c>
      <c r="C34" s="175" t="s">
        <v>429</v>
      </c>
      <c r="D34" s="179">
        <v>1</v>
      </c>
      <c r="E34" s="178">
        <v>600</v>
      </c>
      <c r="F34" s="175">
        <v>600</v>
      </c>
      <c r="G34" s="175">
        <v>600</v>
      </c>
      <c r="H34" s="175">
        <v>600</v>
      </c>
      <c r="I34" s="178"/>
      <c r="J34" s="149" t="s">
        <v>381</v>
      </c>
      <c r="K34" s="65"/>
      <c r="L34" s="393"/>
    </row>
    <row r="35" spans="2:12" x14ac:dyDescent="0.2">
      <c r="B35" s="394">
        <v>3</v>
      </c>
      <c r="C35" s="175" t="s">
        <v>277</v>
      </c>
      <c r="D35" s="179">
        <v>1</v>
      </c>
      <c r="E35" s="178">
        <v>600</v>
      </c>
      <c r="F35" s="175">
        <v>600</v>
      </c>
      <c r="G35" s="175">
        <v>600</v>
      </c>
      <c r="H35" s="175">
        <v>600</v>
      </c>
      <c r="I35" s="178"/>
      <c r="J35" s="69"/>
      <c r="K35" s="65"/>
      <c r="L35" s="393"/>
    </row>
    <row r="36" spans="2:12" x14ac:dyDescent="0.2">
      <c r="B36" s="394">
        <v>4</v>
      </c>
      <c r="C36" s="175" t="s">
        <v>374</v>
      </c>
      <c r="D36" s="179">
        <v>1</v>
      </c>
      <c r="E36" s="178">
        <v>600</v>
      </c>
      <c r="F36" s="175">
        <v>600</v>
      </c>
      <c r="G36" s="175">
        <v>600</v>
      </c>
      <c r="H36" s="175">
        <v>600</v>
      </c>
      <c r="I36" s="178" t="s">
        <v>121</v>
      </c>
      <c r="J36" s="69"/>
      <c r="K36" s="65"/>
      <c r="L36" s="393"/>
    </row>
    <row r="37" spans="2:12" x14ac:dyDescent="0.2">
      <c r="B37" s="395">
        <v>5</v>
      </c>
      <c r="C37" s="175" t="s">
        <v>278</v>
      </c>
      <c r="D37" s="179">
        <v>1</v>
      </c>
      <c r="E37" s="178">
        <v>600</v>
      </c>
      <c r="F37" s="175">
        <v>600</v>
      </c>
      <c r="G37" s="175">
        <v>600</v>
      </c>
      <c r="H37" s="175">
        <v>600</v>
      </c>
      <c r="I37" s="178" t="s">
        <v>1145</v>
      </c>
      <c r="J37" s="69"/>
      <c r="K37" s="65"/>
      <c r="L37" s="393"/>
    </row>
    <row r="38" spans="2:12" x14ac:dyDescent="0.2">
      <c r="B38" s="394">
        <v>6</v>
      </c>
      <c r="C38" s="175" t="s">
        <v>279</v>
      </c>
      <c r="D38" s="179">
        <v>1</v>
      </c>
      <c r="E38" s="178">
        <v>600</v>
      </c>
      <c r="F38" s="175">
        <v>600</v>
      </c>
      <c r="G38" s="175">
        <v>600</v>
      </c>
      <c r="H38" s="175">
        <v>600</v>
      </c>
      <c r="I38" s="178"/>
      <c r="J38" s="149" t="s">
        <v>243</v>
      </c>
      <c r="K38" s="65" t="s">
        <v>244</v>
      </c>
      <c r="L38" s="393" t="s">
        <v>245</v>
      </c>
    </row>
    <row r="39" spans="2:12" x14ac:dyDescent="0.2">
      <c r="B39" s="394">
        <v>7</v>
      </c>
      <c r="C39" s="175" t="s">
        <v>183</v>
      </c>
      <c r="D39" s="179">
        <v>2</v>
      </c>
      <c r="E39" s="178">
        <v>900</v>
      </c>
      <c r="F39" s="175">
        <v>900</v>
      </c>
      <c r="G39" s="175">
        <v>900</v>
      </c>
      <c r="H39" s="175">
        <v>900</v>
      </c>
      <c r="I39" s="178"/>
      <c r="J39" s="149" t="s">
        <v>236</v>
      </c>
      <c r="K39" s="65" t="s">
        <v>237</v>
      </c>
      <c r="L39" s="393" t="s">
        <v>238</v>
      </c>
    </row>
    <row r="40" spans="2:12" x14ac:dyDescent="0.2">
      <c r="B40" s="394">
        <v>8</v>
      </c>
      <c r="C40" s="175" t="s">
        <v>280</v>
      </c>
      <c r="D40" s="179">
        <v>1</v>
      </c>
      <c r="E40" s="178">
        <v>600</v>
      </c>
      <c r="F40" s="175">
        <v>600</v>
      </c>
      <c r="G40" s="175">
        <v>600</v>
      </c>
      <c r="H40" s="175">
        <v>600</v>
      </c>
      <c r="I40" s="178"/>
      <c r="J40" s="149" t="s">
        <v>233</v>
      </c>
      <c r="K40" s="65" t="s">
        <v>234</v>
      </c>
      <c r="L40" s="393" t="s">
        <v>235</v>
      </c>
    </row>
    <row r="41" spans="2:12" x14ac:dyDescent="0.2">
      <c r="B41" s="394">
        <v>9</v>
      </c>
      <c r="C41" s="175" t="s">
        <v>281</v>
      </c>
      <c r="D41" s="179">
        <v>1</v>
      </c>
      <c r="E41" s="178">
        <v>600</v>
      </c>
      <c r="F41" s="175">
        <v>600</v>
      </c>
      <c r="G41" s="175">
        <v>600</v>
      </c>
      <c r="H41" s="175">
        <v>600</v>
      </c>
      <c r="I41" s="178"/>
      <c r="J41" s="149" t="s">
        <v>240</v>
      </c>
      <c r="K41" s="65" t="s">
        <v>241</v>
      </c>
      <c r="L41" s="393" t="s">
        <v>242</v>
      </c>
    </row>
    <row r="42" spans="2:12" x14ac:dyDescent="0.2">
      <c r="B42" s="394">
        <v>10</v>
      </c>
      <c r="C42" s="175" t="s">
        <v>288</v>
      </c>
      <c r="D42" s="179">
        <v>1</v>
      </c>
      <c r="E42" s="178">
        <v>600</v>
      </c>
      <c r="F42" s="175">
        <v>600</v>
      </c>
      <c r="G42" s="175">
        <v>600</v>
      </c>
      <c r="H42" s="175">
        <v>600</v>
      </c>
      <c r="I42" s="178"/>
      <c r="J42" s="69"/>
      <c r="K42" s="65"/>
      <c r="L42" s="371"/>
    </row>
    <row r="43" spans="2:12" x14ac:dyDescent="0.2">
      <c r="B43" s="396">
        <v>11</v>
      </c>
      <c r="C43" s="175" t="s">
        <v>669</v>
      </c>
      <c r="D43" s="176">
        <v>1</v>
      </c>
      <c r="E43" s="175">
        <v>600</v>
      </c>
      <c r="F43" s="175">
        <v>600</v>
      </c>
      <c r="G43" s="175">
        <v>600</v>
      </c>
      <c r="H43" s="175">
        <v>600</v>
      </c>
      <c r="I43" s="178"/>
      <c r="J43" s="386" t="s">
        <v>434</v>
      </c>
      <c r="K43" s="65"/>
      <c r="L43" s="371"/>
    </row>
    <row r="44" spans="2:12" x14ac:dyDescent="0.2">
      <c r="B44" s="394">
        <v>12</v>
      </c>
      <c r="C44" s="175" t="s">
        <v>153</v>
      </c>
      <c r="D44" s="179">
        <v>2</v>
      </c>
      <c r="E44" s="178">
        <v>1200</v>
      </c>
      <c r="F44" s="175">
        <v>1200</v>
      </c>
      <c r="G44" s="175">
        <v>1200</v>
      </c>
      <c r="H44" s="175">
        <v>1200</v>
      </c>
      <c r="I44" s="178"/>
      <c r="J44" s="6" t="s">
        <v>247</v>
      </c>
      <c r="K44" s="65" t="s">
        <v>229</v>
      </c>
      <c r="L44" s="393" t="s">
        <v>230</v>
      </c>
    </row>
    <row r="45" spans="2:12" x14ac:dyDescent="0.2">
      <c r="B45" s="394">
        <v>14</v>
      </c>
      <c r="C45" s="175" t="s">
        <v>248</v>
      </c>
      <c r="D45" s="179">
        <v>2</v>
      </c>
      <c r="E45" s="178">
        <v>1200</v>
      </c>
      <c r="F45" s="175">
        <v>1200</v>
      </c>
      <c r="G45" s="175">
        <v>1200</v>
      </c>
      <c r="H45" s="175">
        <v>1200</v>
      </c>
      <c r="I45" s="178"/>
      <c r="J45" s="149" t="s">
        <v>249</v>
      </c>
      <c r="K45" s="65" t="s">
        <v>250</v>
      </c>
      <c r="L45" s="393" t="s">
        <v>251</v>
      </c>
    </row>
    <row r="46" spans="2:12" x14ac:dyDescent="0.2">
      <c r="B46" s="394">
        <v>16</v>
      </c>
      <c r="C46" s="175" t="s">
        <v>282</v>
      </c>
      <c r="D46" s="179">
        <v>2</v>
      </c>
      <c r="E46" s="178">
        <v>1200</v>
      </c>
      <c r="F46" s="175"/>
      <c r="G46" s="175">
        <v>1200</v>
      </c>
      <c r="H46" s="175">
        <v>800</v>
      </c>
      <c r="I46" s="178" t="s">
        <v>121</v>
      </c>
      <c r="J46" s="69"/>
      <c r="K46" s="65"/>
      <c r="L46" s="393" t="s">
        <v>435</v>
      </c>
    </row>
    <row r="47" spans="2:12" x14ac:dyDescent="0.2">
      <c r="B47" s="394">
        <v>17</v>
      </c>
      <c r="C47" s="175" t="s">
        <v>254</v>
      </c>
      <c r="D47" s="179">
        <v>2</v>
      </c>
      <c r="E47" s="178">
        <v>900</v>
      </c>
      <c r="F47" s="175">
        <v>900</v>
      </c>
      <c r="G47" s="175">
        <v>900</v>
      </c>
      <c r="H47" s="175">
        <v>900</v>
      </c>
      <c r="I47" s="178"/>
      <c r="J47" s="149" t="s">
        <v>256</v>
      </c>
      <c r="K47" s="65" t="s">
        <v>257</v>
      </c>
      <c r="L47" s="393" t="s">
        <v>258</v>
      </c>
    </row>
    <row r="48" spans="2:12" x14ac:dyDescent="0.2">
      <c r="B48" s="394">
        <v>18</v>
      </c>
      <c r="C48" s="175" t="s">
        <v>254</v>
      </c>
      <c r="D48" s="179" t="s">
        <v>436</v>
      </c>
      <c r="E48" s="178">
        <v>1800</v>
      </c>
      <c r="F48" s="175">
        <v>1800</v>
      </c>
      <c r="G48" s="175">
        <v>1800</v>
      </c>
      <c r="H48" s="175">
        <v>1800</v>
      </c>
      <c r="I48" s="178"/>
      <c r="J48" s="69"/>
      <c r="K48" s="65"/>
      <c r="L48" s="393"/>
    </row>
    <row r="49" spans="2:12" x14ac:dyDescent="0.2">
      <c r="B49" s="392" t="s">
        <v>682</v>
      </c>
      <c r="C49" s="175" t="s">
        <v>685</v>
      </c>
      <c r="D49" s="179" t="s">
        <v>682</v>
      </c>
      <c r="E49" s="178"/>
      <c r="F49" s="175"/>
      <c r="G49" s="175"/>
      <c r="H49" s="175">
        <v>625</v>
      </c>
      <c r="I49" s="178" t="s">
        <v>704</v>
      </c>
      <c r="J49" s="69"/>
      <c r="K49" s="65"/>
      <c r="L49" s="393"/>
    </row>
    <row r="50" spans="2:12" x14ac:dyDescent="0.2">
      <c r="B50" s="392" t="s">
        <v>682</v>
      </c>
      <c r="C50" s="175" t="s">
        <v>686</v>
      </c>
      <c r="D50" s="179">
        <v>1</v>
      </c>
      <c r="E50" s="178"/>
      <c r="F50" s="175"/>
      <c r="G50" s="175"/>
      <c r="H50" s="175">
        <v>624</v>
      </c>
      <c r="I50" s="178" t="s">
        <v>705</v>
      </c>
      <c r="J50" s="69"/>
      <c r="K50" s="65"/>
      <c r="L50" s="393"/>
    </row>
    <row r="51" spans="2:12" x14ac:dyDescent="0.2">
      <c r="B51" s="392"/>
      <c r="C51" s="403" t="s">
        <v>1146</v>
      </c>
      <c r="D51" s="404"/>
      <c r="E51" s="403"/>
      <c r="F51" s="403"/>
      <c r="G51" s="403"/>
      <c r="H51" s="403">
        <v>624</v>
      </c>
      <c r="I51" s="178"/>
      <c r="J51" s="69"/>
      <c r="K51" s="65"/>
      <c r="L51" s="393"/>
    </row>
    <row r="52" spans="2:12" x14ac:dyDescent="0.2">
      <c r="B52" s="394"/>
      <c r="C52" s="175" t="s">
        <v>1119</v>
      </c>
      <c r="D52" s="178"/>
      <c r="E52" s="178"/>
      <c r="F52" s="175"/>
      <c r="G52" s="175"/>
      <c r="H52" s="175">
        <v>1872</v>
      </c>
      <c r="I52" s="178"/>
      <c r="J52" s="69"/>
      <c r="K52" s="65"/>
      <c r="L52" s="393"/>
    </row>
    <row r="53" spans="2:12" ht="22" thickBot="1" x14ac:dyDescent="0.3">
      <c r="B53" s="397" t="s">
        <v>57</v>
      </c>
      <c r="C53" s="398"/>
      <c r="D53" s="399"/>
      <c r="E53" s="399">
        <f>SUM(E32:E48)</f>
        <v>13200</v>
      </c>
      <c r="F53" s="398">
        <f>SUM(F32:F48)</f>
        <v>12600</v>
      </c>
      <c r="G53" s="398">
        <f>SUM(G32:G52)</f>
        <v>13800</v>
      </c>
      <c r="H53" s="398">
        <f>SUM(H32:H52)</f>
        <v>17145</v>
      </c>
      <c r="I53" s="400"/>
      <c r="J53" s="401"/>
      <c r="K53" s="375"/>
      <c r="L53" s="402"/>
    </row>
    <row r="54" spans="2:12" x14ac:dyDescent="0.2">
      <c r="B54" s="387"/>
      <c r="C54" s="387"/>
      <c r="D54" s="387"/>
      <c r="E54" s="387"/>
      <c r="F54" s="387"/>
      <c r="G54" s="387"/>
      <c r="H54" s="387"/>
      <c r="I54" s="388"/>
      <c r="J54" s="387"/>
      <c r="K54" s="389"/>
      <c r="L54" s="389"/>
    </row>
    <row r="56" spans="2:12" x14ac:dyDescent="0.2">
      <c r="B56" s="66"/>
      <c r="C56" s="66"/>
      <c r="D56" s="66"/>
      <c r="E56" s="66"/>
      <c r="F56" s="66"/>
      <c r="G56" s="66"/>
      <c r="H56" s="66"/>
      <c r="I56" s="340"/>
      <c r="J56" s="66"/>
      <c r="K56" s="60"/>
      <c r="L56" s="60"/>
    </row>
    <row r="57" spans="2:12" ht="21" x14ac:dyDescent="0.25">
      <c r="B57" s="1075" t="s">
        <v>505</v>
      </c>
      <c r="C57" s="1076"/>
      <c r="D57" s="1076"/>
      <c r="E57" s="1076"/>
      <c r="F57" s="1076"/>
      <c r="G57" s="1076"/>
      <c r="H57" s="1076"/>
      <c r="I57" s="1076"/>
      <c r="J57" s="1076"/>
      <c r="K57" s="1076"/>
      <c r="L57" s="1077"/>
    </row>
    <row r="58" spans="2:12" ht="32" x14ac:dyDescent="0.2">
      <c r="B58" s="101" t="s">
        <v>273</v>
      </c>
      <c r="C58" s="104" t="s">
        <v>185</v>
      </c>
      <c r="D58" s="101" t="s">
        <v>274</v>
      </c>
      <c r="E58" s="101" t="s">
        <v>103</v>
      </c>
      <c r="F58" s="169" t="s">
        <v>424</v>
      </c>
      <c r="G58" s="169" t="s">
        <v>397</v>
      </c>
      <c r="H58" s="169" t="s">
        <v>497</v>
      </c>
      <c r="I58" s="345" t="s">
        <v>12</v>
      </c>
      <c r="J58" s="101" t="s">
        <v>224</v>
      </c>
      <c r="K58" s="68" t="s">
        <v>225</v>
      </c>
      <c r="L58" s="68" t="s">
        <v>226</v>
      </c>
    </row>
    <row r="59" spans="2:12" x14ac:dyDescent="0.2">
      <c r="B59" s="170" t="s">
        <v>425</v>
      </c>
      <c r="C59" s="71" t="s">
        <v>506</v>
      </c>
      <c r="D59" s="171">
        <v>1</v>
      </c>
      <c r="E59" s="69"/>
      <c r="F59" s="71">
        <v>0</v>
      </c>
      <c r="G59" s="71"/>
      <c r="H59" s="71">
        <v>600</v>
      </c>
      <c r="I59" s="178"/>
      <c r="J59" s="69"/>
      <c r="K59" s="65"/>
      <c r="L59" s="70"/>
    </row>
    <row r="60" spans="2:12" x14ac:dyDescent="0.2">
      <c r="B60" s="170" t="s">
        <v>426</v>
      </c>
      <c r="C60" s="71" t="s">
        <v>427</v>
      </c>
      <c r="D60" s="171">
        <v>1</v>
      </c>
      <c r="E60" s="69">
        <v>600</v>
      </c>
      <c r="F60" s="71">
        <v>0</v>
      </c>
      <c r="G60" s="71"/>
      <c r="H60" s="71">
        <v>600</v>
      </c>
      <c r="I60" s="346"/>
      <c r="J60" s="149" t="s">
        <v>382</v>
      </c>
      <c r="K60" s="65"/>
      <c r="L60" s="70"/>
    </row>
    <row r="61" spans="2:12" x14ac:dyDescent="0.2">
      <c r="B61" s="69">
        <v>2</v>
      </c>
      <c r="C61" s="71" t="s">
        <v>429</v>
      </c>
      <c r="D61" s="171">
        <v>1</v>
      </c>
      <c r="E61" s="69">
        <v>600</v>
      </c>
      <c r="F61" s="71">
        <v>0</v>
      </c>
      <c r="G61" s="71"/>
      <c r="H61" s="71">
        <v>600</v>
      </c>
      <c r="I61" s="347"/>
      <c r="J61" s="149" t="s">
        <v>381</v>
      </c>
      <c r="K61" s="65"/>
      <c r="L61" s="70"/>
    </row>
    <row r="62" spans="2:12" x14ac:dyDescent="0.2">
      <c r="B62" s="69">
        <v>3</v>
      </c>
      <c r="C62" s="71" t="s">
        <v>277</v>
      </c>
      <c r="D62" s="171">
        <v>1</v>
      </c>
      <c r="E62" s="69">
        <v>600</v>
      </c>
      <c r="F62" s="71">
        <v>0</v>
      </c>
      <c r="G62" s="71">
        <v>600</v>
      </c>
      <c r="H62" s="71">
        <v>600</v>
      </c>
      <c r="I62" s="178" t="s">
        <v>290</v>
      </c>
      <c r="J62" s="69"/>
      <c r="K62" s="65"/>
      <c r="L62" s="70"/>
    </row>
    <row r="63" spans="2:12" x14ac:dyDescent="0.2">
      <c r="B63" s="69">
        <v>4</v>
      </c>
      <c r="C63" s="71" t="s">
        <v>374</v>
      </c>
      <c r="D63" s="171">
        <v>1</v>
      </c>
      <c r="E63" s="69">
        <v>600</v>
      </c>
      <c r="F63" s="71">
        <v>400</v>
      </c>
      <c r="G63" s="71">
        <v>600</v>
      </c>
      <c r="H63" s="71">
        <v>600</v>
      </c>
      <c r="I63" s="178" t="s">
        <v>121</v>
      </c>
      <c r="J63" s="69"/>
      <c r="K63" s="65"/>
      <c r="L63" s="70"/>
    </row>
    <row r="64" spans="2:12" x14ac:dyDescent="0.2">
      <c r="B64" s="172">
        <v>5</v>
      </c>
      <c r="C64" s="173" t="s">
        <v>278</v>
      </c>
      <c r="D64" s="174">
        <v>1</v>
      </c>
      <c r="E64" s="172">
        <v>600</v>
      </c>
      <c r="F64" s="173">
        <v>0</v>
      </c>
      <c r="G64" s="175">
        <v>600</v>
      </c>
      <c r="H64" s="175">
        <v>600</v>
      </c>
      <c r="I64" s="347" t="s">
        <v>507</v>
      </c>
      <c r="J64" s="69"/>
      <c r="K64" s="65"/>
      <c r="L64" s="70"/>
    </row>
    <row r="65" spans="2:12" x14ac:dyDescent="0.2">
      <c r="B65" s="69">
        <v>6</v>
      </c>
      <c r="C65" s="71" t="s">
        <v>279</v>
      </c>
      <c r="D65" s="171">
        <v>1</v>
      </c>
      <c r="E65" s="69">
        <v>600</v>
      </c>
      <c r="F65" s="71">
        <v>600</v>
      </c>
      <c r="G65" s="175">
        <v>600</v>
      </c>
      <c r="H65" s="175">
        <v>600</v>
      </c>
      <c r="I65" s="178"/>
      <c r="J65" s="149" t="s">
        <v>243</v>
      </c>
      <c r="K65" s="65" t="s">
        <v>244</v>
      </c>
      <c r="L65" s="70" t="s">
        <v>245</v>
      </c>
    </row>
    <row r="66" spans="2:12" x14ac:dyDescent="0.2">
      <c r="B66" s="69">
        <v>7</v>
      </c>
      <c r="C66" s="71" t="s">
        <v>183</v>
      </c>
      <c r="D66" s="171">
        <v>2</v>
      </c>
      <c r="E66" s="69">
        <v>900</v>
      </c>
      <c r="F66" s="71">
        <v>900</v>
      </c>
      <c r="G66" s="175">
        <v>900</v>
      </c>
      <c r="H66" s="175">
        <v>900</v>
      </c>
      <c r="I66" s="178"/>
      <c r="J66" s="149" t="s">
        <v>236</v>
      </c>
      <c r="K66" s="65" t="s">
        <v>237</v>
      </c>
      <c r="L66" s="70" t="s">
        <v>238</v>
      </c>
    </row>
    <row r="67" spans="2:12" x14ac:dyDescent="0.2">
      <c r="B67" s="69">
        <v>8</v>
      </c>
      <c r="C67" s="71" t="s">
        <v>280</v>
      </c>
      <c r="D67" s="171">
        <v>1</v>
      </c>
      <c r="E67" s="69">
        <v>600</v>
      </c>
      <c r="F67" s="71">
        <v>600</v>
      </c>
      <c r="G67" s="175">
        <v>600</v>
      </c>
      <c r="H67" s="175">
        <v>600</v>
      </c>
      <c r="I67" s="178"/>
      <c r="J67" s="149" t="s">
        <v>233</v>
      </c>
      <c r="K67" s="65" t="s">
        <v>234</v>
      </c>
      <c r="L67" s="70" t="s">
        <v>235</v>
      </c>
    </row>
    <row r="68" spans="2:12" x14ac:dyDescent="0.2">
      <c r="B68" s="69">
        <v>9</v>
      </c>
      <c r="C68" s="71" t="s">
        <v>281</v>
      </c>
      <c r="D68" s="171">
        <v>1</v>
      </c>
      <c r="E68" s="69">
        <v>600</v>
      </c>
      <c r="F68" s="71">
        <v>600</v>
      </c>
      <c r="G68" s="175">
        <v>600</v>
      </c>
      <c r="H68" s="175">
        <v>600</v>
      </c>
      <c r="I68" s="178"/>
      <c r="J68" s="149" t="s">
        <v>240</v>
      </c>
      <c r="K68" s="65" t="s">
        <v>241</v>
      </c>
      <c r="L68" s="70" t="s">
        <v>242</v>
      </c>
    </row>
    <row r="69" spans="2:12" x14ac:dyDescent="0.2">
      <c r="B69" s="69">
        <v>10</v>
      </c>
      <c r="C69" s="71" t="s">
        <v>288</v>
      </c>
      <c r="D69" s="171">
        <v>1</v>
      </c>
      <c r="E69" s="69">
        <v>600</v>
      </c>
      <c r="F69" s="71">
        <v>600</v>
      </c>
      <c r="G69" s="175">
        <v>600</v>
      </c>
      <c r="H69" s="175">
        <v>600</v>
      </c>
      <c r="I69" s="178"/>
      <c r="J69" s="69"/>
      <c r="K69" s="65"/>
      <c r="L69" s="65"/>
    </row>
    <row r="70" spans="2:12" x14ac:dyDescent="0.2">
      <c r="B70" s="175">
        <v>11</v>
      </c>
      <c r="C70" s="175" t="s">
        <v>432</v>
      </c>
      <c r="D70" s="176">
        <v>1</v>
      </c>
      <c r="E70" s="175">
        <v>600</v>
      </c>
      <c r="F70" s="175">
        <v>0</v>
      </c>
      <c r="G70" s="175"/>
      <c r="H70" s="175">
        <v>600</v>
      </c>
      <c r="I70" s="347"/>
      <c r="J70" s="177" t="s">
        <v>434</v>
      </c>
      <c r="L70" s="2"/>
    </row>
    <row r="71" spans="2:12" x14ac:dyDescent="0.2">
      <c r="B71" s="178">
        <v>12</v>
      </c>
      <c r="C71" s="175" t="s">
        <v>153</v>
      </c>
      <c r="D71" s="179">
        <v>2</v>
      </c>
      <c r="E71" s="178">
        <v>1200</v>
      </c>
      <c r="F71" s="175">
        <v>1200</v>
      </c>
      <c r="G71" s="175">
        <v>1200</v>
      </c>
      <c r="H71" s="175">
        <v>1200</v>
      </c>
      <c r="I71" s="347"/>
      <c r="J71" s="6" t="s">
        <v>247</v>
      </c>
      <c r="K71" s="65" t="s">
        <v>229</v>
      </c>
      <c r="L71" s="70" t="s">
        <v>230</v>
      </c>
    </row>
    <row r="72" spans="2:12" x14ac:dyDescent="0.2">
      <c r="B72" s="178">
        <v>14</v>
      </c>
      <c r="C72" s="175" t="s">
        <v>248</v>
      </c>
      <c r="D72" s="179">
        <v>2</v>
      </c>
      <c r="E72" s="178">
        <v>1200</v>
      </c>
      <c r="F72" s="175">
        <v>1200</v>
      </c>
      <c r="G72" s="175">
        <v>1200</v>
      </c>
      <c r="H72" s="175">
        <v>1200</v>
      </c>
      <c r="I72" s="347"/>
      <c r="J72" s="149" t="s">
        <v>249</v>
      </c>
      <c r="K72" s="65" t="s">
        <v>250</v>
      </c>
      <c r="L72" s="70" t="s">
        <v>251</v>
      </c>
    </row>
    <row r="73" spans="2:12" x14ac:dyDescent="0.2">
      <c r="B73" s="172">
        <v>16</v>
      </c>
      <c r="C73" s="173" t="s">
        <v>282</v>
      </c>
      <c r="D73" s="174">
        <v>2</v>
      </c>
      <c r="E73" s="172">
        <v>1200</v>
      </c>
      <c r="F73" s="173">
        <v>0</v>
      </c>
      <c r="G73" s="175">
        <v>1200</v>
      </c>
      <c r="H73" s="175">
        <v>1200</v>
      </c>
      <c r="I73" s="347"/>
      <c r="J73" s="69"/>
      <c r="K73" s="65"/>
      <c r="L73" s="70" t="s">
        <v>435</v>
      </c>
    </row>
    <row r="74" spans="2:12" x14ac:dyDescent="0.2">
      <c r="B74" s="172">
        <v>17</v>
      </c>
      <c r="C74" s="173" t="s">
        <v>254</v>
      </c>
      <c r="D74" s="174">
        <v>2</v>
      </c>
      <c r="E74" s="172">
        <v>900</v>
      </c>
      <c r="F74" s="173">
        <v>0</v>
      </c>
      <c r="G74" s="175">
        <v>900</v>
      </c>
      <c r="H74" s="175">
        <v>900</v>
      </c>
      <c r="I74" s="347"/>
      <c r="J74" s="149" t="s">
        <v>256</v>
      </c>
      <c r="K74" s="65" t="s">
        <v>257</v>
      </c>
      <c r="L74" s="70" t="s">
        <v>258</v>
      </c>
    </row>
    <row r="75" spans="2:12" x14ac:dyDescent="0.2">
      <c r="B75" s="69">
        <v>18</v>
      </c>
      <c r="C75" s="71" t="s">
        <v>254</v>
      </c>
      <c r="D75" s="171" t="s">
        <v>436</v>
      </c>
      <c r="E75" s="69">
        <v>1800</v>
      </c>
      <c r="F75" s="71">
        <v>1800</v>
      </c>
      <c r="G75" s="71">
        <v>1800</v>
      </c>
      <c r="H75" s="71">
        <v>1800</v>
      </c>
      <c r="I75" s="178"/>
      <c r="J75" s="69"/>
      <c r="K75" s="65"/>
      <c r="L75" s="70"/>
    </row>
    <row r="76" spans="2:12" x14ac:dyDescent="0.2">
      <c r="B76" s="69"/>
      <c r="C76" s="71"/>
      <c r="D76" s="69"/>
      <c r="E76" s="69"/>
      <c r="F76" s="71"/>
      <c r="G76" s="71"/>
      <c r="H76" s="71"/>
      <c r="I76" s="178"/>
      <c r="J76" s="69"/>
      <c r="K76" s="65"/>
      <c r="L76" s="70"/>
    </row>
    <row r="77" spans="2:12" ht="21" x14ac:dyDescent="0.25">
      <c r="B77" s="74" t="s">
        <v>57</v>
      </c>
      <c r="C77" s="103"/>
      <c r="D77" s="74"/>
      <c r="E77" s="74">
        <f>SUM(E59:E75)</f>
        <v>13200</v>
      </c>
      <c r="F77" s="103">
        <f>SUM(F59:F75)</f>
        <v>7900</v>
      </c>
      <c r="G77" s="103">
        <f>SUM(G59:G76)</f>
        <v>11400</v>
      </c>
      <c r="H77" s="103">
        <f>SUM(H59:H76)</f>
        <v>13800</v>
      </c>
      <c r="I77" s="342"/>
      <c r="J77" s="150"/>
      <c r="K77" s="75"/>
      <c r="L77" s="76"/>
    </row>
    <row r="78" spans="2:12" x14ac:dyDescent="0.2">
      <c r="B78" s="77"/>
      <c r="C78" s="77"/>
      <c r="D78" s="77"/>
      <c r="E78" s="77"/>
      <c r="F78" s="77"/>
      <c r="G78" s="77"/>
      <c r="H78" s="77"/>
      <c r="I78" s="343"/>
      <c r="J78" s="77"/>
      <c r="K78" s="151"/>
      <c r="L78" s="151"/>
    </row>
    <row r="80" spans="2:12" x14ac:dyDescent="0.2">
      <c r="B80" s="66"/>
      <c r="C80" s="66"/>
      <c r="D80" s="66"/>
      <c r="E80" s="66"/>
      <c r="F80" s="66"/>
      <c r="G80" s="66"/>
      <c r="H80" s="66"/>
      <c r="I80" s="340"/>
      <c r="J80" s="66"/>
      <c r="K80" s="60"/>
      <c r="L80" s="60"/>
    </row>
    <row r="81" spans="1:13" ht="21" x14ac:dyDescent="0.25">
      <c r="B81" s="1075" t="s">
        <v>423</v>
      </c>
      <c r="C81" s="1076"/>
      <c r="D81" s="1076"/>
      <c r="E81" s="1076"/>
      <c r="F81" s="1076"/>
      <c r="G81" s="1076"/>
      <c r="H81" s="1076"/>
      <c r="I81" s="1076"/>
      <c r="J81" s="1076"/>
      <c r="K81" s="1076"/>
      <c r="L81" s="1077"/>
    </row>
    <row r="82" spans="1:13" ht="32" x14ac:dyDescent="0.2">
      <c r="B82" s="101" t="s">
        <v>273</v>
      </c>
      <c r="C82" s="104" t="s">
        <v>185</v>
      </c>
      <c r="D82" s="101" t="s">
        <v>274</v>
      </c>
      <c r="E82" s="101" t="s">
        <v>103</v>
      </c>
      <c r="F82" s="169" t="s">
        <v>424</v>
      </c>
      <c r="G82" s="169"/>
      <c r="H82" s="169" t="s">
        <v>397</v>
      </c>
      <c r="I82" s="345" t="s">
        <v>12</v>
      </c>
      <c r="J82" s="101" t="s">
        <v>224</v>
      </c>
      <c r="K82" s="68" t="s">
        <v>225</v>
      </c>
      <c r="L82" s="68" t="s">
        <v>226</v>
      </c>
    </row>
    <row r="83" spans="1:13" x14ac:dyDescent="0.2">
      <c r="B83" s="170" t="s">
        <v>425</v>
      </c>
      <c r="C83" s="71" t="s">
        <v>4</v>
      </c>
      <c r="D83" s="171">
        <v>1</v>
      </c>
      <c r="E83" s="69"/>
      <c r="F83" s="71">
        <v>0</v>
      </c>
      <c r="G83" s="71"/>
      <c r="H83" s="71"/>
      <c r="I83" s="178"/>
      <c r="J83" s="69"/>
      <c r="K83" s="65"/>
      <c r="L83" s="70"/>
    </row>
    <row r="84" spans="1:13" ht="33" x14ac:dyDescent="0.25">
      <c r="A84" s="356"/>
      <c r="B84" s="170" t="s">
        <v>426</v>
      </c>
      <c r="C84" s="71" t="s">
        <v>427</v>
      </c>
      <c r="D84" s="171">
        <v>1</v>
      </c>
      <c r="E84" s="69">
        <v>600</v>
      </c>
      <c r="F84" s="71">
        <v>0</v>
      </c>
      <c r="G84" s="71"/>
      <c r="H84" s="71"/>
      <c r="I84" s="346" t="s">
        <v>428</v>
      </c>
      <c r="J84" s="149" t="s">
        <v>382</v>
      </c>
      <c r="K84" s="65"/>
      <c r="L84" s="70"/>
    </row>
    <row r="85" spans="1:13" s="98" customFormat="1" x14ac:dyDescent="0.2">
      <c r="A85" s="355"/>
      <c r="B85" s="69">
        <v>2</v>
      </c>
      <c r="C85" s="71" t="s">
        <v>429</v>
      </c>
      <c r="D85" s="171">
        <v>1</v>
      </c>
      <c r="E85" s="69">
        <v>600</v>
      </c>
      <c r="F85" s="71">
        <v>0</v>
      </c>
      <c r="G85" s="71"/>
      <c r="H85" s="71"/>
      <c r="I85" s="347" t="s">
        <v>430</v>
      </c>
      <c r="J85" s="149" t="s">
        <v>381</v>
      </c>
      <c r="K85" s="65"/>
      <c r="L85" s="70"/>
      <c r="M85" s="355"/>
    </row>
    <row r="86" spans="1:13" x14ac:dyDescent="0.2">
      <c r="B86" s="69">
        <v>3</v>
      </c>
      <c r="C86" s="71" t="s">
        <v>277</v>
      </c>
      <c r="D86" s="171">
        <v>1</v>
      </c>
      <c r="E86" s="69">
        <v>600</v>
      </c>
      <c r="F86" s="71">
        <v>0</v>
      </c>
      <c r="G86" s="71"/>
      <c r="H86" s="71">
        <v>600</v>
      </c>
      <c r="I86" s="178" t="s">
        <v>290</v>
      </c>
      <c r="J86" s="69"/>
      <c r="K86" s="65"/>
      <c r="L86" s="70"/>
    </row>
    <row r="87" spans="1:13" x14ac:dyDescent="0.2">
      <c r="B87" s="69">
        <v>4</v>
      </c>
      <c r="C87" s="71" t="s">
        <v>374</v>
      </c>
      <c r="D87" s="171">
        <v>1</v>
      </c>
      <c r="E87" s="69">
        <v>600</v>
      </c>
      <c r="F87" s="71">
        <v>400</v>
      </c>
      <c r="G87" s="71"/>
      <c r="H87" s="71">
        <v>600</v>
      </c>
      <c r="I87" s="178" t="s">
        <v>121</v>
      </c>
      <c r="J87" s="69"/>
      <c r="K87" s="65"/>
      <c r="L87" s="70"/>
    </row>
    <row r="88" spans="1:13" x14ac:dyDescent="0.2">
      <c r="B88" s="172">
        <v>5</v>
      </c>
      <c r="C88" s="173" t="s">
        <v>278</v>
      </c>
      <c r="D88" s="174">
        <v>1</v>
      </c>
      <c r="E88" s="172">
        <v>600</v>
      </c>
      <c r="F88" s="173">
        <v>0</v>
      </c>
      <c r="G88" s="173"/>
      <c r="H88" s="175">
        <v>600</v>
      </c>
      <c r="I88" s="347" t="s">
        <v>431</v>
      </c>
      <c r="J88" s="69"/>
      <c r="K88" s="65"/>
      <c r="L88" s="70"/>
    </row>
    <row r="89" spans="1:13" x14ac:dyDescent="0.2">
      <c r="B89" s="69">
        <v>6</v>
      </c>
      <c r="C89" s="71" t="s">
        <v>279</v>
      </c>
      <c r="D89" s="171">
        <v>1</v>
      </c>
      <c r="E89" s="69">
        <v>600</v>
      </c>
      <c r="F89" s="71">
        <v>600</v>
      </c>
      <c r="G89" s="71"/>
      <c r="H89" s="175">
        <v>600</v>
      </c>
      <c r="I89" s="178"/>
      <c r="J89" s="149" t="s">
        <v>243</v>
      </c>
      <c r="K89" s="65" t="s">
        <v>244</v>
      </c>
      <c r="L89" s="70" t="s">
        <v>245</v>
      </c>
    </row>
    <row r="90" spans="1:13" x14ac:dyDescent="0.2">
      <c r="B90" s="69">
        <v>7</v>
      </c>
      <c r="C90" s="71" t="s">
        <v>183</v>
      </c>
      <c r="D90" s="171">
        <v>2</v>
      </c>
      <c r="E90" s="69">
        <v>900</v>
      </c>
      <c r="F90" s="71">
        <v>900</v>
      </c>
      <c r="G90" s="71"/>
      <c r="H90" s="175">
        <v>900</v>
      </c>
      <c r="I90" s="178"/>
      <c r="J90" s="149" t="s">
        <v>236</v>
      </c>
      <c r="K90" s="65" t="s">
        <v>237</v>
      </c>
      <c r="L90" s="70" t="s">
        <v>238</v>
      </c>
    </row>
    <row r="91" spans="1:13" x14ac:dyDescent="0.2">
      <c r="B91" s="69">
        <v>8</v>
      </c>
      <c r="C91" s="71" t="s">
        <v>280</v>
      </c>
      <c r="D91" s="171">
        <v>1</v>
      </c>
      <c r="E91" s="69">
        <v>600</v>
      </c>
      <c r="F91" s="71">
        <v>600</v>
      </c>
      <c r="G91" s="71"/>
      <c r="H91" s="175">
        <v>600</v>
      </c>
      <c r="I91" s="178"/>
      <c r="J91" s="149" t="s">
        <v>233</v>
      </c>
      <c r="K91" s="65" t="s">
        <v>234</v>
      </c>
      <c r="L91" s="70" t="s">
        <v>235</v>
      </c>
    </row>
    <row r="92" spans="1:13" x14ac:dyDescent="0.2">
      <c r="B92" s="69">
        <v>9</v>
      </c>
      <c r="C92" s="71" t="s">
        <v>281</v>
      </c>
      <c r="D92" s="171">
        <v>1</v>
      </c>
      <c r="E92" s="69">
        <v>600</v>
      </c>
      <c r="F92" s="71">
        <v>600</v>
      </c>
      <c r="G92" s="71"/>
      <c r="H92" s="175">
        <v>600</v>
      </c>
      <c r="I92" s="178"/>
      <c r="J92" s="149" t="s">
        <v>240</v>
      </c>
      <c r="K92" s="65" t="s">
        <v>241</v>
      </c>
      <c r="L92" s="70" t="s">
        <v>242</v>
      </c>
    </row>
    <row r="93" spans="1:13" x14ac:dyDescent="0.2">
      <c r="B93" s="69">
        <v>10</v>
      </c>
      <c r="C93" s="71" t="s">
        <v>288</v>
      </c>
      <c r="D93" s="171">
        <v>1</v>
      </c>
      <c r="E93" s="69">
        <v>600</v>
      </c>
      <c r="F93" s="71">
        <v>600</v>
      </c>
      <c r="G93" s="71"/>
      <c r="H93" s="175">
        <v>600</v>
      </c>
      <c r="I93" s="178"/>
      <c r="J93" s="69"/>
      <c r="K93" s="65"/>
      <c r="L93" s="65"/>
    </row>
    <row r="94" spans="1:13" x14ac:dyDescent="0.2">
      <c r="B94" s="175">
        <v>11</v>
      </c>
      <c r="C94" s="175" t="s">
        <v>432</v>
      </c>
      <c r="D94" s="176">
        <v>1</v>
      </c>
      <c r="E94" s="175">
        <v>600</v>
      </c>
      <c r="F94" s="175">
        <v>0</v>
      </c>
      <c r="G94" s="175"/>
      <c r="H94" s="175"/>
      <c r="I94" s="347" t="s">
        <v>433</v>
      </c>
      <c r="J94" s="177" t="s">
        <v>434</v>
      </c>
      <c r="L94" s="2"/>
    </row>
    <row r="95" spans="1:13" x14ac:dyDescent="0.2">
      <c r="B95" s="178">
        <v>12</v>
      </c>
      <c r="C95" s="175" t="s">
        <v>153</v>
      </c>
      <c r="D95" s="179">
        <v>2</v>
      </c>
      <c r="E95" s="178">
        <v>1200</v>
      </c>
      <c r="F95" s="175">
        <v>1200</v>
      </c>
      <c r="G95" s="175"/>
      <c r="H95" s="175">
        <v>1200</v>
      </c>
      <c r="I95" s="347"/>
      <c r="J95" s="6" t="s">
        <v>247</v>
      </c>
      <c r="K95" s="65" t="s">
        <v>229</v>
      </c>
      <c r="L95" s="70" t="s">
        <v>230</v>
      </c>
    </row>
    <row r="96" spans="1:13" x14ac:dyDescent="0.2">
      <c r="B96" s="178">
        <v>14</v>
      </c>
      <c r="C96" s="175" t="s">
        <v>248</v>
      </c>
      <c r="D96" s="179">
        <v>2</v>
      </c>
      <c r="E96" s="178">
        <v>1200</v>
      </c>
      <c r="F96" s="175">
        <v>1200</v>
      </c>
      <c r="G96" s="175"/>
      <c r="H96" s="175">
        <v>1200</v>
      </c>
      <c r="I96" s="347"/>
      <c r="J96" s="149" t="s">
        <v>249</v>
      </c>
      <c r="K96" s="65" t="s">
        <v>250</v>
      </c>
      <c r="L96" s="70" t="s">
        <v>251</v>
      </c>
    </row>
    <row r="97" spans="1:12" x14ac:dyDescent="0.2">
      <c r="B97" s="172">
        <v>16</v>
      </c>
      <c r="C97" s="173" t="s">
        <v>282</v>
      </c>
      <c r="D97" s="174">
        <v>2</v>
      </c>
      <c r="E97" s="172">
        <v>1200</v>
      </c>
      <c r="F97" s="173">
        <v>0</v>
      </c>
      <c r="G97" s="173"/>
      <c r="H97" s="175">
        <v>1200</v>
      </c>
      <c r="I97" s="347" t="s">
        <v>431</v>
      </c>
      <c r="J97" s="69"/>
      <c r="K97" s="65"/>
      <c r="L97" s="70" t="s">
        <v>435</v>
      </c>
    </row>
    <row r="98" spans="1:12" x14ac:dyDescent="0.2">
      <c r="B98" s="172">
        <v>17</v>
      </c>
      <c r="C98" s="173" t="s">
        <v>254</v>
      </c>
      <c r="D98" s="174">
        <v>2</v>
      </c>
      <c r="E98" s="172">
        <v>900</v>
      </c>
      <c r="F98" s="173">
        <v>0</v>
      </c>
      <c r="G98" s="173"/>
      <c r="H98" s="175">
        <v>900</v>
      </c>
      <c r="I98" s="347" t="s">
        <v>431</v>
      </c>
      <c r="J98" s="149" t="s">
        <v>256</v>
      </c>
      <c r="K98" s="65" t="s">
        <v>257</v>
      </c>
      <c r="L98" s="70" t="s">
        <v>258</v>
      </c>
    </row>
    <row r="99" spans="1:12" x14ac:dyDescent="0.2">
      <c r="B99" s="69">
        <v>18</v>
      </c>
      <c r="C99" s="71" t="s">
        <v>254</v>
      </c>
      <c r="D99" s="171" t="s">
        <v>436</v>
      </c>
      <c r="E99" s="69">
        <v>1800</v>
      </c>
      <c r="F99" s="71">
        <v>1800</v>
      </c>
      <c r="G99" s="71"/>
      <c r="H99" s="71">
        <v>1800</v>
      </c>
      <c r="I99" s="178"/>
      <c r="J99" s="69"/>
      <c r="K99" s="65"/>
      <c r="L99" s="70"/>
    </row>
    <row r="100" spans="1:12" x14ac:dyDescent="0.2">
      <c r="B100" s="69"/>
      <c r="C100" s="71"/>
      <c r="D100" s="69"/>
      <c r="E100" s="69"/>
      <c r="F100" s="71"/>
      <c r="G100" s="71"/>
      <c r="H100" s="71"/>
      <c r="I100" s="178"/>
      <c r="J100" s="69"/>
      <c r="K100" s="65"/>
      <c r="L100" s="70"/>
    </row>
    <row r="101" spans="1:12" ht="21" x14ac:dyDescent="0.25">
      <c r="B101" s="74" t="s">
        <v>57</v>
      </c>
      <c r="C101" s="103"/>
      <c r="D101" s="74"/>
      <c r="E101" s="74">
        <f>SUM(E83:E99)</f>
        <v>13200</v>
      </c>
      <c r="F101" s="103">
        <f>SUM(F83:F99)</f>
        <v>7900</v>
      </c>
      <c r="G101" s="103"/>
      <c r="H101" s="103">
        <f>SUM(H83:H100)</f>
        <v>11400</v>
      </c>
      <c r="I101" s="342"/>
      <c r="J101" s="150"/>
      <c r="K101" s="75"/>
      <c r="L101" s="76"/>
    </row>
    <row r="102" spans="1:12" x14ac:dyDescent="0.2">
      <c r="B102" s="77"/>
      <c r="C102" s="77"/>
      <c r="D102" s="77"/>
      <c r="E102" s="77"/>
      <c r="F102" s="77"/>
      <c r="G102" s="77"/>
      <c r="H102" s="77"/>
      <c r="I102" s="343"/>
      <c r="J102" s="77"/>
      <c r="K102" s="151"/>
      <c r="L102" s="151"/>
    </row>
    <row r="106" spans="1:12" x14ac:dyDescent="0.2">
      <c r="B106" s="66"/>
      <c r="C106" s="66"/>
      <c r="D106" s="66"/>
      <c r="E106" s="66"/>
      <c r="F106" s="66"/>
      <c r="G106" s="66"/>
      <c r="H106" s="66"/>
      <c r="I106" s="340"/>
      <c r="J106" s="60"/>
      <c r="K106" s="60"/>
      <c r="L106" s="60"/>
    </row>
    <row r="107" spans="1:12" ht="21" x14ac:dyDescent="0.25">
      <c r="A107" s="357"/>
      <c r="B107" s="1078" t="s">
        <v>289</v>
      </c>
      <c r="C107" s="1078"/>
      <c r="D107" s="1078"/>
      <c r="E107" s="1078"/>
      <c r="F107" s="1078"/>
      <c r="G107" s="1078"/>
      <c r="H107" s="1078"/>
      <c r="I107" s="1078"/>
      <c r="J107" s="1078"/>
      <c r="K107" s="1078"/>
      <c r="L107" s="67"/>
    </row>
    <row r="108" spans="1:12" x14ac:dyDescent="0.2">
      <c r="B108" s="101" t="s">
        <v>273</v>
      </c>
      <c r="C108" s="104" t="s">
        <v>185</v>
      </c>
      <c r="D108" s="101" t="s">
        <v>274</v>
      </c>
      <c r="E108" s="101" t="s">
        <v>103</v>
      </c>
      <c r="F108" s="104" t="s">
        <v>276</v>
      </c>
      <c r="G108" s="104"/>
      <c r="H108" s="101" t="s">
        <v>12</v>
      </c>
      <c r="I108" s="345" t="s">
        <v>224</v>
      </c>
      <c r="J108" s="68" t="s">
        <v>225</v>
      </c>
      <c r="K108" s="68" t="s">
        <v>226</v>
      </c>
      <c r="L108" s="100"/>
    </row>
    <row r="109" spans="1:12" x14ac:dyDescent="0.2">
      <c r="B109" s="69">
        <v>1</v>
      </c>
      <c r="C109" s="71" t="s">
        <v>4</v>
      </c>
      <c r="D109" s="69" t="s">
        <v>227</v>
      </c>
      <c r="E109" s="69"/>
      <c r="F109" s="71"/>
      <c r="G109" s="71"/>
      <c r="H109" s="69"/>
      <c r="I109" s="178"/>
      <c r="J109" s="65"/>
      <c r="K109" s="70"/>
      <c r="L109" s="60"/>
    </row>
    <row r="110" spans="1:12" x14ac:dyDescent="0.2">
      <c r="B110" s="69">
        <v>2</v>
      </c>
      <c r="C110" s="71" t="s">
        <v>231</v>
      </c>
      <c r="D110" s="69" t="s">
        <v>227</v>
      </c>
      <c r="E110" s="69"/>
      <c r="F110" s="71">
        <v>0</v>
      </c>
      <c r="G110" s="71"/>
      <c r="H110" s="69" t="s">
        <v>121</v>
      </c>
      <c r="I110" s="348"/>
      <c r="J110" s="65"/>
      <c r="K110" s="70"/>
      <c r="L110" s="60"/>
    </row>
    <row r="111" spans="1:12" x14ac:dyDescent="0.2">
      <c r="B111" s="69">
        <v>3</v>
      </c>
      <c r="C111" s="71" t="s">
        <v>277</v>
      </c>
      <c r="D111" s="69" t="s">
        <v>227</v>
      </c>
      <c r="E111" s="69">
        <v>0</v>
      </c>
      <c r="F111" s="71"/>
      <c r="G111" s="71"/>
      <c r="H111" s="69" t="s">
        <v>290</v>
      </c>
      <c r="I111" s="178"/>
      <c r="J111" s="65"/>
      <c r="K111" s="70"/>
      <c r="L111" s="60"/>
    </row>
    <row r="112" spans="1:12" ht="21" x14ac:dyDescent="0.25">
      <c r="A112" s="356"/>
      <c r="B112" s="69">
        <v>4</v>
      </c>
      <c r="C112" s="71" t="s">
        <v>374</v>
      </c>
      <c r="D112" s="69" t="s">
        <v>227</v>
      </c>
      <c r="E112" s="69">
        <v>400</v>
      </c>
      <c r="F112" s="71">
        <v>400</v>
      </c>
      <c r="G112" s="71"/>
      <c r="H112" s="69" t="s">
        <v>121</v>
      </c>
      <c r="I112" s="178"/>
      <c r="J112" s="65"/>
      <c r="K112" s="70"/>
      <c r="L112" s="60"/>
    </row>
    <row r="113" spans="1:13" s="98" customFormat="1" x14ac:dyDescent="0.2">
      <c r="A113" s="355"/>
      <c r="B113" s="69">
        <v>5</v>
      </c>
      <c r="C113" s="71" t="s">
        <v>278</v>
      </c>
      <c r="D113" s="69" t="s">
        <v>227</v>
      </c>
      <c r="E113" s="69">
        <v>600</v>
      </c>
      <c r="F113" s="71"/>
      <c r="G113" s="71"/>
      <c r="H113" s="69" t="s">
        <v>121</v>
      </c>
      <c r="I113" s="178"/>
      <c r="J113" s="65"/>
      <c r="K113" s="70"/>
      <c r="L113" s="60"/>
      <c r="M113" s="355"/>
    </row>
    <row r="114" spans="1:13" x14ac:dyDescent="0.2">
      <c r="B114" s="69">
        <v>6</v>
      </c>
      <c r="C114" s="71" t="s">
        <v>279</v>
      </c>
      <c r="D114" s="69" t="s">
        <v>227</v>
      </c>
      <c r="E114" s="69">
        <v>600</v>
      </c>
      <c r="F114" s="71">
        <v>600</v>
      </c>
      <c r="G114" s="71"/>
      <c r="H114" s="69"/>
      <c r="I114" s="348" t="s">
        <v>243</v>
      </c>
      <c r="J114" s="65" t="s">
        <v>244</v>
      </c>
      <c r="K114" s="70" t="s">
        <v>245</v>
      </c>
      <c r="L114" s="60"/>
    </row>
    <row r="115" spans="1:13" x14ac:dyDescent="0.2">
      <c r="B115" s="69">
        <v>7</v>
      </c>
      <c r="C115" s="71" t="s">
        <v>183</v>
      </c>
      <c r="D115" s="69" t="s">
        <v>227</v>
      </c>
      <c r="E115" s="69">
        <v>900</v>
      </c>
      <c r="F115" s="71">
        <v>900</v>
      </c>
      <c r="G115" s="71"/>
      <c r="H115" s="69"/>
      <c r="I115" s="348" t="s">
        <v>236</v>
      </c>
      <c r="J115" s="65" t="s">
        <v>237</v>
      </c>
      <c r="K115" s="70" t="s">
        <v>238</v>
      </c>
      <c r="L115" s="60"/>
    </row>
    <row r="116" spans="1:13" x14ac:dyDescent="0.2">
      <c r="B116" s="69">
        <v>8</v>
      </c>
      <c r="C116" s="71" t="s">
        <v>280</v>
      </c>
      <c r="D116" s="69" t="s">
        <v>227</v>
      </c>
      <c r="E116" s="69">
        <v>600</v>
      </c>
      <c r="F116" s="71">
        <v>600</v>
      </c>
      <c r="G116" s="71"/>
      <c r="H116" s="69"/>
      <c r="I116" s="348" t="s">
        <v>233</v>
      </c>
      <c r="J116" s="65" t="s">
        <v>234</v>
      </c>
      <c r="K116" s="70" t="s">
        <v>235</v>
      </c>
      <c r="L116" s="60"/>
    </row>
    <row r="117" spans="1:13" x14ac:dyDescent="0.2">
      <c r="B117" s="69">
        <v>9</v>
      </c>
      <c r="C117" s="71" t="s">
        <v>281</v>
      </c>
      <c r="D117" s="69" t="s">
        <v>227</v>
      </c>
      <c r="E117" s="69">
        <v>600</v>
      </c>
      <c r="F117" s="71">
        <v>600</v>
      </c>
      <c r="G117" s="71"/>
      <c r="H117" s="69"/>
      <c r="I117" s="348" t="s">
        <v>240</v>
      </c>
      <c r="J117" s="65" t="s">
        <v>241</v>
      </c>
      <c r="K117" s="70" t="s">
        <v>242</v>
      </c>
      <c r="L117" s="60"/>
    </row>
    <row r="118" spans="1:13" x14ac:dyDescent="0.2">
      <c r="B118" s="69">
        <v>10</v>
      </c>
      <c r="C118" s="71" t="s">
        <v>288</v>
      </c>
      <c r="D118" s="69" t="s">
        <v>227</v>
      </c>
      <c r="E118" s="69">
        <v>600</v>
      </c>
      <c r="F118" s="71">
        <v>600</v>
      </c>
      <c r="G118" s="71"/>
      <c r="H118" s="69"/>
      <c r="I118" s="178"/>
      <c r="J118" s="65"/>
      <c r="K118" s="65"/>
      <c r="L118" s="60"/>
    </row>
    <row r="119" spans="1:13" x14ac:dyDescent="0.2">
      <c r="B119" s="69">
        <v>11</v>
      </c>
      <c r="C119" s="71" t="s">
        <v>153</v>
      </c>
      <c r="D119" s="69" t="s">
        <v>227</v>
      </c>
      <c r="E119" s="69">
        <v>600</v>
      </c>
      <c r="F119" s="71">
        <v>600</v>
      </c>
      <c r="G119" s="71"/>
      <c r="H119" s="69"/>
      <c r="I119" s="335" t="s">
        <v>247</v>
      </c>
      <c r="J119" s="65" t="s">
        <v>229</v>
      </c>
      <c r="K119" s="70" t="s">
        <v>230</v>
      </c>
      <c r="L119" s="60"/>
    </row>
    <row r="120" spans="1:13" x14ac:dyDescent="0.2">
      <c r="B120" s="69">
        <v>12</v>
      </c>
      <c r="C120" s="71" t="s">
        <v>153</v>
      </c>
      <c r="D120" s="69" t="s">
        <v>227</v>
      </c>
      <c r="E120" s="69">
        <v>600</v>
      </c>
      <c r="F120" s="71">
        <v>600</v>
      </c>
      <c r="G120" s="71"/>
      <c r="H120" s="69"/>
      <c r="I120" s="178"/>
      <c r="J120" s="65"/>
      <c r="K120" s="70"/>
      <c r="L120" s="60"/>
    </row>
    <row r="121" spans="1:13" x14ac:dyDescent="0.2">
      <c r="B121" s="69">
        <v>13</v>
      </c>
      <c r="C121" s="71" t="s">
        <v>248</v>
      </c>
      <c r="D121" s="69" t="s">
        <v>227</v>
      </c>
      <c r="E121" s="69">
        <v>600</v>
      </c>
      <c r="F121" s="71">
        <v>600</v>
      </c>
      <c r="G121" s="71"/>
      <c r="H121" s="69" t="s">
        <v>121</v>
      </c>
      <c r="I121" s="348" t="s">
        <v>249</v>
      </c>
      <c r="J121" s="65" t="s">
        <v>250</v>
      </c>
      <c r="K121" s="70" t="s">
        <v>251</v>
      </c>
      <c r="L121" s="60"/>
    </row>
    <row r="122" spans="1:13" x14ac:dyDescent="0.2">
      <c r="B122" s="69">
        <v>14</v>
      </c>
      <c r="C122" s="71" t="s">
        <v>248</v>
      </c>
      <c r="D122" s="69" t="s">
        <v>227</v>
      </c>
      <c r="E122" s="69">
        <v>600</v>
      </c>
      <c r="F122" s="71">
        <v>600</v>
      </c>
      <c r="G122" s="71"/>
      <c r="H122" s="69" t="s">
        <v>121</v>
      </c>
      <c r="I122" s="178"/>
      <c r="J122" s="65"/>
      <c r="K122" s="70"/>
      <c r="L122" s="60"/>
    </row>
    <row r="123" spans="1:13" x14ac:dyDescent="0.2">
      <c r="B123" s="69">
        <v>15</v>
      </c>
      <c r="C123" s="71" t="s">
        <v>282</v>
      </c>
      <c r="D123" s="69" t="s">
        <v>227</v>
      </c>
      <c r="E123" s="69">
        <v>600</v>
      </c>
      <c r="F123" s="71"/>
      <c r="G123" s="71"/>
      <c r="H123" s="69"/>
      <c r="I123" s="348" t="s">
        <v>252</v>
      </c>
      <c r="J123" s="65"/>
      <c r="K123" s="70" t="s">
        <v>253</v>
      </c>
      <c r="L123" s="60"/>
    </row>
    <row r="124" spans="1:13" x14ac:dyDescent="0.2">
      <c r="B124" s="69">
        <v>16</v>
      </c>
      <c r="C124" s="71" t="s">
        <v>282</v>
      </c>
      <c r="D124" s="69" t="s">
        <v>227</v>
      </c>
      <c r="E124" s="69">
        <v>600</v>
      </c>
      <c r="F124" s="71"/>
      <c r="G124" s="71"/>
      <c r="H124" s="69"/>
      <c r="I124" s="178"/>
      <c r="J124" s="65"/>
      <c r="K124" s="70"/>
      <c r="L124" s="60"/>
    </row>
    <row r="125" spans="1:13" x14ac:dyDescent="0.2">
      <c r="B125" s="69">
        <v>17</v>
      </c>
      <c r="C125" s="71" t="s">
        <v>254</v>
      </c>
      <c r="D125" s="69" t="s">
        <v>255</v>
      </c>
      <c r="E125" s="69">
        <v>900</v>
      </c>
      <c r="F125" s="71">
        <v>900</v>
      </c>
      <c r="G125" s="71"/>
      <c r="H125" s="69"/>
      <c r="I125" s="348" t="s">
        <v>256</v>
      </c>
      <c r="J125" s="65" t="s">
        <v>257</v>
      </c>
      <c r="K125" s="70" t="s">
        <v>258</v>
      </c>
      <c r="L125" s="60"/>
    </row>
    <row r="126" spans="1:13" x14ac:dyDescent="0.2">
      <c r="B126" s="69">
        <v>18</v>
      </c>
      <c r="C126" s="71" t="s">
        <v>254</v>
      </c>
      <c r="D126" s="69" t="s">
        <v>255</v>
      </c>
      <c r="E126" s="69">
        <v>900</v>
      </c>
      <c r="F126" s="71">
        <v>900</v>
      </c>
      <c r="G126" s="71"/>
      <c r="H126" s="69"/>
      <c r="I126" s="178"/>
      <c r="J126" s="65"/>
      <c r="K126" s="70"/>
      <c r="L126" s="60"/>
    </row>
    <row r="127" spans="1:13" x14ac:dyDescent="0.2">
      <c r="B127" s="69" t="s">
        <v>377</v>
      </c>
      <c r="C127" s="71" t="s">
        <v>378</v>
      </c>
      <c r="D127" s="69" t="s">
        <v>379</v>
      </c>
      <c r="E127" s="69"/>
      <c r="F127" s="71"/>
      <c r="G127" s="71"/>
      <c r="H127" s="69"/>
      <c r="I127" s="348" t="s">
        <v>382</v>
      </c>
      <c r="J127" s="65"/>
      <c r="K127" s="70"/>
      <c r="L127" s="60"/>
    </row>
    <row r="128" spans="1:13" x14ac:dyDescent="0.2">
      <c r="B128" s="69" t="s">
        <v>377</v>
      </c>
      <c r="C128" s="71" t="s">
        <v>380</v>
      </c>
      <c r="D128" s="69"/>
      <c r="E128" s="69"/>
      <c r="F128" s="71"/>
      <c r="G128" s="71"/>
      <c r="H128" s="69"/>
      <c r="I128" s="12" t="s">
        <v>381</v>
      </c>
      <c r="J128" s="65"/>
      <c r="K128" s="70"/>
      <c r="L128" s="60"/>
    </row>
    <row r="129" spans="1:13" x14ac:dyDescent="0.2">
      <c r="B129" s="69"/>
      <c r="C129" s="71"/>
      <c r="D129" s="69"/>
      <c r="E129" s="69"/>
      <c r="F129" s="71"/>
      <c r="G129" s="71"/>
      <c r="H129" s="69"/>
      <c r="I129" s="178"/>
      <c r="J129" s="65"/>
      <c r="K129" s="70"/>
      <c r="L129" s="60"/>
    </row>
    <row r="130" spans="1:13" ht="21" x14ac:dyDescent="0.25">
      <c r="B130" s="74" t="s">
        <v>57</v>
      </c>
      <c r="C130" s="103"/>
      <c r="D130" s="74"/>
      <c r="E130" s="74">
        <f>SUM(E110:E126)</f>
        <v>9700</v>
      </c>
      <c r="F130" s="103">
        <f>SUM(F109:F126)</f>
        <v>7900</v>
      </c>
      <c r="G130" s="103"/>
      <c r="H130" s="74"/>
      <c r="I130" s="349"/>
      <c r="J130" s="75"/>
      <c r="K130" s="76"/>
      <c r="L130" s="73"/>
    </row>
    <row r="131" spans="1:13" x14ac:dyDescent="0.2">
      <c r="B131" s="77"/>
      <c r="C131" s="77"/>
      <c r="D131" s="77"/>
      <c r="E131" s="77"/>
      <c r="F131" s="77"/>
      <c r="G131" s="77"/>
      <c r="H131" s="77"/>
      <c r="I131" s="343"/>
      <c r="J131" s="151"/>
      <c r="K131" s="151"/>
      <c r="L131" s="60"/>
    </row>
    <row r="132" spans="1:13" ht="21" x14ac:dyDescent="0.25">
      <c r="A132" s="357"/>
    </row>
    <row r="134" spans="1:13" x14ac:dyDescent="0.2">
      <c r="B134" s="66"/>
      <c r="C134" s="66"/>
      <c r="D134" s="66"/>
      <c r="E134" s="66"/>
      <c r="F134" s="66"/>
      <c r="G134" s="66"/>
      <c r="H134" s="66"/>
      <c r="I134" s="340"/>
      <c r="J134" s="60"/>
      <c r="K134" s="60"/>
      <c r="L134" s="60"/>
    </row>
    <row r="135" spans="1:13" ht="21" x14ac:dyDescent="0.25">
      <c r="B135" s="1075" t="s">
        <v>285</v>
      </c>
      <c r="C135" s="1076"/>
      <c r="D135" s="1076"/>
      <c r="E135" s="1076"/>
      <c r="F135" s="1076"/>
      <c r="G135" s="1076"/>
      <c r="H135" s="1076"/>
      <c r="I135" s="1076"/>
      <c r="J135" s="1076"/>
      <c r="K135" s="1077"/>
      <c r="L135" s="67"/>
    </row>
    <row r="136" spans="1:13" x14ac:dyDescent="0.2">
      <c r="B136" s="101" t="s">
        <v>273</v>
      </c>
      <c r="C136" s="104" t="s">
        <v>185</v>
      </c>
      <c r="D136" s="101" t="s">
        <v>274</v>
      </c>
      <c r="E136" s="101" t="s">
        <v>103</v>
      </c>
      <c r="F136" s="104" t="s">
        <v>276</v>
      </c>
      <c r="G136" s="104"/>
      <c r="H136" s="101" t="s">
        <v>12</v>
      </c>
      <c r="I136" s="350" t="s">
        <v>224</v>
      </c>
      <c r="J136" s="68" t="s">
        <v>225</v>
      </c>
      <c r="K136" s="68" t="s">
        <v>226</v>
      </c>
      <c r="L136" s="100"/>
    </row>
    <row r="137" spans="1:13" x14ac:dyDescent="0.2">
      <c r="B137" s="69">
        <v>1</v>
      </c>
      <c r="C137" s="71" t="s">
        <v>4</v>
      </c>
      <c r="D137" s="69" t="s">
        <v>227</v>
      </c>
      <c r="E137" s="69"/>
      <c r="F137" s="71"/>
      <c r="G137" s="71"/>
      <c r="H137" s="69"/>
      <c r="I137" s="351"/>
      <c r="J137" s="65"/>
      <c r="K137" s="70"/>
      <c r="L137" s="60"/>
    </row>
    <row r="138" spans="1:13" s="19" customFormat="1" ht="21" x14ac:dyDescent="0.25">
      <c r="A138" s="356"/>
      <c r="B138" s="69">
        <v>2</v>
      </c>
      <c r="C138" s="71" t="s">
        <v>231</v>
      </c>
      <c r="D138" s="69" t="s">
        <v>227</v>
      </c>
      <c r="E138" s="69">
        <v>600</v>
      </c>
      <c r="F138" s="71">
        <v>0</v>
      </c>
      <c r="G138" s="71"/>
      <c r="H138" s="69" t="s">
        <v>231</v>
      </c>
      <c r="I138" s="352"/>
      <c r="J138" s="65"/>
      <c r="K138" s="70"/>
      <c r="L138" s="60"/>
      <c r="M138" s="356"/>
    </row>
    <row r="139" spans="1:13" s="98" customFormat="1" x14ac:dyDescent="0.2">
      <c r="A139" s="355"/>
      <c r="B139" s="69">
        <v>3</v>
      </c>
      <c r="C139" s="71" t="s">
        <v>277</v>
      </c>
      <c r="D139" s="69" t="s">
        <v>227</v>
      </c>
      <c r="E139" s="69">
        <v>600</v>
      </c>
      <c r="F139" s="71">
        <v>400</v>
      </c>
      <c r="G139" s="71"/>
      <c r="H139" s="69" t="s">
        <v>286</v>
      </c>
      <c r="I139" s="351"/>
      <c r="J139" s="65"/>
      <c r="K139" s="70"/>
      <c r="L139" s="60"/>
      <c r="M139" s="355"/>
    </row>
    <row r="140" spans="1:13" x14ac:dyDescent="0.2">
      <c r="B140" s="69">
        <v>4</v>
      </c>
      <c r="C140" s="71" t="s">
        <v>231</v>
      </c>
      <c r="D140" s="69" t="s">
        <v>227</v>
      </c>
      <c r="E140" s="69">
        <v>600</v>
      </c>
      <c r="F140" s="71">
        <v>0</v>
      </c>
      <c r="G140" s="71"/>
      <c r="H140" s="69" t="s">
        <v>231</v>
      </c>
      <c r="I140" s="351"/>
      <c r="J140" s="65"/>
      <c r="K140" s="70"/>
      <c r="L140" s="60"/>
    </row>
    <row r="141" spans="1:13" x14ac:dyDescent="0.2">
      <c r="B141" s="69">
        <v>5</v>
      </c>
      <c r="C141" s="71" t="s">
        <v>278</v>
      </c>
      <c r="D141" s="69" t="s">
        <v>227</v>
      </c>
      <c r="E141" s="69">
        <v>600</v>
      </c>
      <c r="F141" s="72">
        <v>600</v>
      </c>
      <c r="G141" s="72"/>
      <c r="H141" s="69" t="s">
        <v>231</v>
      </c>
      <c r="I141" s="351"/>
      <c r="J141" s="65"/>
      <c r="K141" s="70"/>
      <c r="L141" s="60"/>
    </row>
    <row r="142" spans="1:13" x14ac:dyDescent="0.2">
      <c r="B142" s="69">
        <v>6</v>
      </c>
      <c r="C142" s="71" t="s">
        <v>279</v>
      </c>
      <c r="D142" s="69" t="s">
        <v>227</v>
      </c>
      <c r="E142" s="69">
        <v>600</v>
      </c>
      <c r="F142" s="72">
        <v>600</v>
      </c>
      <c r="G142" s="72"/>
      <c r="H142" s="69"/>
      <c r="I142" s="352" t="s">
        <v>243</v>
      </c>
      <c r="J142" s="65" t="s">
        <v>244</v>
      </c>
      <c r="K142" s="70" t="s">
        <v>245</v>
      </c>
      <c r="L142" s="60"/>
    </row>
    <row r="143" spans="1:13" x14ac:dyDescent="0.2">
      <c r="B143" s="69">
        <v>7</v>
      </c>
      <c r="C143" s="71" t="s">
        <v>183</v>
      </c>
      <c r="D143" s="69" t="s">
        <v>227</v>
      </c>
      <c r="E143" s="69">
        <v>900</v>
      </c>
      <c r="F143" s="72">
        <v>900</v>
      </c>
      <c r="G143" s="72"/>
      <c r="H143" s="69"/>
      <c r="I143" s="352" t="s">
        <v>236</v>
      </c>
      <c r="J143" s="65" t="s">
        <v>237</v>
      </c>
      <c r="K143" s="70" t="s">
        <v>238</v>
      </c>
      <c r="L143" s="60"/>
    </row>
    <row r="144" spans="1:13" x14ac:dyDescent="0.2">
      <c r="B144" s="69">
        <v>8</v>
      </c>
      <c r="C144" s="71" t="s">
        <v>280</v>
      </c>
      <c r="D144" s="69" t="s">
        <v>227</v>
      </c>
      <c r="E144" s="69">
        <v>600</v>
      </c>
      <c r="F144" s="72">
        <v>600</v>
      </c>
      <c r="G144" s="72"/>
      <c r="H144" s="69"/>
      <c r="I144" s="352" t="s">
        <v>233</v>
      </c>
      <c r="J144" s="65" t="s">
        <v>234</v>
      </c>
      <c r="K144" s="70" t="s">
        <v>235</v>
      </c>
      <c r="L144" s="60"/>
    </row>
    <row r="145" spans="1:13" x14ac:dyDescent="0.2">
      <c r="B145" s="69">
        <v>9</v>
      </c>
      <c r="C145" s="71" t="s">
        <v>281</v>
      </c>
      <c r="D145" s="69" t="s">
        <v>227</v>
      </c>
      <c r="E145" s="69">
        <v>600</v>
      </c>
      <c r="F145" s="72">
        <v>600</v>
      </c>
      <c r="G145" s="72"/>
      <c r="H145" s="69"/>
      <c r="I145" s="352" t="s">
        <v>240</v>
      </c>
      <c r="J145" s="65" t="s">
        <v>241</v>
      </c>
      <c r="K145" s="70" t="s">
        <v>242</v>
      </c>
      <c r="L145" s="60"/>
    </row>
    <row r="146" spans="1:13" x14ac:dyDescent="0.2">
      <c r="B146" s="35">
        <v>10</v>
      </c>
      <c r="C146" s="102" t="s">
        <v>288</v>
      </c>
      <c r="D146" s="35" t="s">
        <v>227</v>
      </c>
      <c r="F146" s="102">
        <v>400</v>
      </c>
      <c r="H146" s="35" t="s">
        <v>287</v>
      </c>
      <c r="L146" s="60"/>
    </row>
    <row r="147" spans="1:13" x14ac:dyDescent="0.2">
      <c r="B147" s="69">
        <v>11</v>
      </c>
      <c r="C147" s="71" t="s">
        <v>153</v>
      </c>
      <c r="D147" s="69" t="s">
        <v>227</v>
      </c>
      <c r="E147" s="69">
        <v>600</v>
      </c>
      <c r="F147" s="72">
        <v>600</v>
      </c>
      <c r="G147" s="72"/>
      <c r="H147" s="69"/>
      <c r="I147" s="12" t="s">
        <v>247</v>
      </c>
      <c r="J147" s="65" t="s">
        <v>229</v>
      </c>
      <c r="K147" s="70" t="s">
        <v>230</v>
      </c>
      <c r="L147" s="60"/>
    </row>
    <row r="148" spans="1:13" x14ac:dyDescent="0.2">
      <c r="B148" s="69">
        <v>12</v>
      </c>
      <c r="C148" s="71" t="s">
        <v>153</v>
      </c>
      <c r="D148" s="69" t="s">
        <v>227</v>
      </c>
      <c r="E148" s="69">
        <v>600</v>
      </c>
      <c r="F148" s="72">
        <v>600</v>
      </c>
      <c r="G148" s="72"/>
      <c r="H148" s="69"/>
      <c r="I148" s="351"/>
      <c r="J148" s="65"/>
      <c r="K148" s="70"/>
      <c r="L148" s="60"/>
    </row>
    <row r="149" spans="1:13" x14ac:dyDescent="0.2">
      <c r="B149" s="69">
        <v>13</v>
      </c>
      <c r="C149" s="71" t="s">
        <v>248</v>
      </c>
      <c r="D149" s="69" t="s">
        <v>227</v>
      </c>
      <c r="E149" s="69">
        <v>600</v>
      </c>
      <c r="F149" s="71"/>
      <c r="G149" s="71"/>
      <c r="H149" s="69" t="s">
        <v>121</v>
      </c>
      <c r="I149" s="352" t="s">
        <v>249</v>
      </c>
      <c r="J149" s="65" t="s">
        <v>250</v>
      </c>
      <c r="K149" s="70" t="s">
        <v>251</v>
      </c>
      <c r="L149" s="60"/>
    </row>
    <row r="150" spans="1:13" x14ac:dyDescent="0.2">
      <c r="B150" s="69">
        <v>14</v>
      </c>
      <c r="C150" s="71" t="s">
        <v>248</v>
      </c>
      <c r="D150" s="69" t="s">
        <v>227</v>
      </c>
      <c r="E150" s="69">
        <v>600</v>
      </c>
      <c r="F150" s="71"/>
      <c r="G150" s="71"/>
      <c r="H150" s="69" t="s">
        <v>121</v>
      </c>
      <c r="I150" s="351"/>
      <c r="J150" s="65"/>
      <c r="K150" s="70"/>
      <c r="L150" s="60"/>
    </row>
    <row r="151" spans="1:13" x14ac:dyDescent="0.2">
      <c r="B151" s="69">
        <v>15</v>
      </c>
      <c r="C151" s="71" t="s">
        <v>282</v>
      </c>
      <c r="D151" s="69" t="s">
        <v>227</v>
      </c>
      <c r="E151" s="69"/>
      <c r="F151" s="72">
        <v>500</v>
      </c>
      <c r="G151" s="72"/>
      <c r="H151" s="69" t="s">
        <v>287</v>
      </c>
      <c r="I151" s="352" t="s">
        <v>252</v>
      </c>
      <c r="J151" s="65"/>
      <c r="K151" s="70" t="s">
        <v>253</v>
      </c>
      <c r="L151" s="60"/>
    </row>
    <row r="152" spans="1:13" x14ac:dyDescent="0.2">
      <c r="B152" s="69">
        <v>16</v>
      </c>
      <c r="C152" s="71" t="s">
        <v>283</v>
      </c>
      <c r="D152" s="69" t="s">
        <v>227</v>
      </c>
      <c r="E152" s="69"/>
      <c r="F152" s="71"/>
      <c r="G152" s="71"/>
      <c r="H152" s="69"/>
      <c r="I152" s="351"/>
      <c r="J152" s="65"/>
      <c r="K152" s="70"/>
      <c r="L152" s="60"/>
    </row>
    <row r="153" spans="1:13" x14ac:dyDescent="0.2">
      <c r="B153" s="69">
        <v>17</v>
      </c>
      <c r="C153" s="71" t="s">
        <v>284</v>
      </c>
      <c r="D153" s="69" t="s">
        <v>255</v>
      </c>
      <c r="E153" s="69">
        <v>900</v>
      </c>
      <c r="F153" s="71">
        <v>950</v>
      </c>
      <c r="G153" s="71"/>
      <c r="H153" s="69"/>
      <c r="I153" s="352" t="s">
        <v>256</v>
      </c>
      <c r="J153" s="65" t="s">
        <v>257</v>
      </c>
      <c r="K153" s="70" t="s">
        <v>258</v>
      </c>
      <c r="L153" s="60"/>
    </row>
    <row r="154" spans="1:13" x14ac:dyDescent="0.2">
      <c r="B154" s="69">
        <v>18</v>
      </c>
      <c r="C154" s="71" t="s">
        <v>284</v>
      </c>
      <c r="D154" s="69" t="s">
        <v>255</v>
      </c>
      <c r="E154" s="69">
        <v>900</v>
      </c>
      <c r="F154" s="71">
        <v>950</v>
      </c>
      <c r="G154" s="71"/>
      <c r="H154" s="69"/>
      <c r="I154" s="351"/>
      <c r="J154" s="65"/>
      <c r="K154" s="70"/>
      <c r="L154" s="60"/>
    </row>
    <row r="155" spans="1:13" ht="21" x14ac:dyDescent="0.25">
      <c r="B155" s="74" t="s">
        <v>57</v>
      </c>
      <c r="C155" s="103"/>
      <c r="D155" s="74"/>
      <c r="E155" s="74"/>
      <c r="F155" s="103">
        <f>SUM(F137:F154)</f>
        <v>7700</v>
      </c>
      <c r="G155" s="103"/>
      <c r="H155" s="74"/>
      <c r="I155" s="353"/>
      <c r="J155" s="75"/>
      <c r="K155" s="76"/>
      <c r="L155" s="73"/>
    </row>
    <row r="156" spans="1:13" x14ac:dyDescent="0.2">
      <c r="B156" s="77"/>
      <c r="C156" s="77"/>
      <c r="D156" s="77"/>
      <c r="E156" s="77"/>
      <c r="F156" s="77"/>
      <c r="G156" s="77"/>
      <c r="H156" s="77"/>
      <c r="I156" s="343"/>
      <c r="J156" s="60"/>
      <c r="K156" s="60"/>
      <c r="L156" s="60"/>
    </row>
    <row r="158" spans="1:13" s="1" customFormat="1" ht="21" x14ac:dyDescent="0.25">
      <c r="A158" s="357"/>
      <c r="B158" s="35"/>
      <c r="C158" s="102"/>
      <c r="D158" s="35"/>
      <c r="E158" s="35"/>
      <c r="F158" s="102"/>
      <c r="G158" s="102"/>
      <c r="H158" s="35"/>
      <c r="I158" s="344"/>
      <c r="J158" s="2"/>
      <c r="K158" s="2"/>
      <c r="L158"/>
      <c r="M158" s="357"/>
    </row>
    <row r="160" spans="1:13" x14ac:dyDescent="0.2">
      <c r="B160" s="66"/>
      <c r="C160" s="66"/>
      <c r="D160" s="66"/>
      <c r="E160" s="66"/>
      <c r="F160" s="66"/>
      <c r="G160" s="66"/>
      <c r="H160" s="66"/>
      <c r="I160" s="340"/>
      <c r="J160" s="60"/>
      <c r="K160" s="60"/>
      <c r="L160" s="60"/>
    </row>
    <row r="161" spans="2:12" ht="21" x14ac:dyDescent="0.25">
      <c r="B161" s="1075" t="s">
        <v>272</v>
      </c>
      <c r="C161" s="1076"/>
      <c r="D161" s="1076"/>
      <c r="E161" s="1076"/>
      <c r="F161" s="1076"/>
      <c r="G161" s="1076"/>
      <c r="H161" s="1076"/>
      <c r="I161" s="1076"/>
      <c r="J161" s="1076"/>
      <c r="K161" s="1077"/>
      <c r="L161" s="67"/>
    </row>
    <row r="162" spans="2:12" x14ac:dyDescent="0.2">
      <c r="B162" s="101" t="s">
        <v>273</v>
      </c>
      <c r="C162" s="104" t="s">
        <v>185</v>
      </c>
      <c r="D162" s="101" t="s">
        <v>274</v>
      </c>
      <c r="E162" s="101" t="s">
        <v>103</v>
      </c>
      <c r="F162" s="104" t="s">
        <v>276</v>
      </c>
      <c r="G162" s="104"/>
      <c r="H162" s="101" t="s">
        <v>12</v>
      </c>
      <c r="I162" s="350" t="s">
        <v>224</v>
      </c>
      <c r="J162" s="68" t="s">
        <v>225</v>
      </c>
      <c r="K162" s="68" t="s">
        <v>226</v>
      </c>
      <c r="L162" s="100"/>
    </row>
    <row r="163" spans="2:12" x14ac:dyDescent="0.2">
      <c r="B163" s="69">
        <v>1</v>
      </c>
      <c r="C163" s="71" t="s">
        <v>4</v>
      </c>
      <c r="D163" s="69" t="s">
        <v>227</v>
      </c>
      <c r="E163" s="69"/>
      <c r="F163" s="71"/>
      <c r="G163" s="71"/>
      <c r="H163" s="69"/>
      <c r="I163" s="351"/>
      <c r="J163" s="65"/>
      <c r="K163" s="70"/>
      <c r="L163" s="60"/>
    </row>
    <row r="164" spans="2:12" x14ac:dyDescent="0.2">
      <c r="B164" s="69">
        <v>2</v>
      </c>
      <c r="C164" s="71" t="s">
        <v>231</v>
      </c>
      <c r="D164" s="69" t="s">
        <v>227</v>
      </c>
      <c r="E164" s="69">
        <v>600</v>
      </c>
      <c r="F164" s="71">
        <v>0</v>
      </c>
      <c r="G164" s="71"/>
      <c r="H164" s="69" t="s">
        <v>231</v>
      </c>
      <c r="I164" s="352" t="s">
        <v>228</v>
      </c>
      <c r="J164" s="65" t="s">
        <v>229</v>
      </c>
      <c r="K164" s="70" t="s">
        <v>230</v>
      </c>
      <c r="L164" s="60"/>
    </row>
    <row r="165" spans="2:12" x14ac:dyDescent="0.2">
      <c r="B165" s="69">
        <v>3</v>
      </c>
      <c r="C165" s="71" t="s">
        <v>231</v>
      </c>
      <c r="D165" s="69" t="s">
        <v>227</v>
      </c>
      <c r="E165" s="69">
        <v>600</v>
      </c>
      <c r="F165" s="71">
        <v>0</v>
      </c>
      <c r="G165" s="71"/>
      <c r="H165" s="69" t="s">
        <v>231</v>
      </c>
      <c r="I165" s="351"/>
      <c r="J165" s="65"/>
      <c r="K165" s="70"/>
      <c r="L165" s="60"/>
    </row>
    <row r="166" spans="2:12" x14ac:dyDescent="0.2">
      <c r="B166" s="69">
        <v>4</v>
      </c>
      <c r="C166" s="71" t="s">
        <v>231</v>
      </c>
      <c r="D166" s="69" t="s">
        <v>227</v>
      </c>
      <c r="E166" s="69">
        <v>600</v>
      </c>
      <c r="F166" s="71">
        <v>0</v>
      </c>
      <c r="G166" s="71"/>
      <c r="H166" s="69" t="s">
        <v>231</v>
      </c>
      <c r="I166" s="351"/>
      <c r="J166" s="65"/>
      <c r="K166" s="70"/>
      <c r="L166" s="60"/>
    </row>
    <row r="167" spans="2:12" x14ac:dyDescent="0.2">
      <c r="B167" s="69">
        <v>5</v>
      </c>
      <c r="C167" s="71" t="s">
        <v>278</v>
      </c>
      <c r="D167" s="69" t="s">
        <v>227</v>
      </c>
      <c r="E167" s="69">
        <v>600</v>
      </c>
      <c r="F167" s="71">
        <v>0</v>
      </c>
      <c r="G167" s="71"/>
      <c r="H167" s="69" t="s">
        <v>231</v>
      </c>
      <c r="I167" s="351"/>
      <c r="J167" s="65"/>
      <c r="K167" s="70"/>
      <c r="L167" s="60"/>
    </row>
    <row r="168" spans="2:12" x14ac:dyDescent="0.2">
      <c r="B168" s="69">
        <v>6</v>
      </c>
      <c r="C168" s="71" t="s">
        <v>58</v>
      </c>
      <c r="D168" s="69" t="s">
        <v>227</v>
      </c>
      <c r="E168" s="69">
        <v>600</v>
      </c>
      <c r="F168" s="71">
        <v>600</v>
      </c>
      <c r="G168" s="71"/>
      <c r="H168" s="69"/>
      <c r="I168" s="352" t="s">
        <v>243</v>
      </c>
      <c r="J168" s="65" t="s">
        <v>244</v>
      </c>
      <c r="K168" s="70" t="s">
        <v>245</v>
      </c>
      <c r="L168" s="60"/>
    </row>
    <row r="169" spans="2:12" x14ac:dyDescent="0.2">
      <c r="B169" s="69">
        <v>7</v>
      </c>
      <c r="C169" s="71" t="s">
        <v>183</v>
      </c>
      <c r="D169" s="69" t="s">
        <v>227</v>
      </c>
      <c r="E169" s="69">
        <v>900</v>
      </c>
      <c r="F169" s="71">
        <v>900</v>
      </c>
      <c r="G169" s="71"/>
      <c r="H169" s="69"/>
      <c r="I169" s="352" t="s">
        <v>236</v>
      </c>
      <c r="J169" s="65" t="s">
        <v>237</v>
      </c>
      <c r="K169" s="70" t="s">
        <v>238</v>
      </c>
      <c r="L169" s="60"/>
    </row>
    <row r="170" spans="2:12" x14ac:dyDescent="0.2">
      <c r="B170" s="69">
        <v>8</v>
      </c>
      <c r="C170" s="71" t="s">
        <v>232</v>
      </c>
      <c r="D170" s="69" t="s">
        <v>227</v>
      </c>
      <c r="E170" s="69">
        <v>600</v>
      </c>
      <c r="F170" s="71">
        <v>400</v>
      </c>
      <c r="G170" s="71"/>
      <c r="H170" s="69"/>
      <c r="I170" s="352" t="s">
        <v>233</v>
      </c>
      <c r="J170" s="65" t="s">
        <v>234</v>
      </c>
      <c r="K170" s="70" t="s">
        <v>235</v>
      </c>
      <c r="L170" s="60"/>
    </row>
    <row r="171" spans="2:12" x14ac:dyDescent="0.2">
      <c r="B171" s="69">
        <v>9</v>
      </c>
      <c r="C171" s="71" t="s">
        <v>239</v>
      </c>
      <c r="D171" s="69" t="s">
        <v>227</v>
      </c>
      <c r="E171" s="69">
        <v>600</v>
      </c>
      <c r="F171" s="71">
        <v>600</v>
      </c>
      <c r="G171" s="71"/>
      <c r="H171" s="69"/>
      <c r="I171" s="352" t="s">
        <v>240</v>
      </c>
      <c r="J171" s="65" t="s">
        <v>241</v>
      </c>
      <c r="K171" s="70" t="s">
        <v>242</v>
      </c>
      <c r="L171" s="60"/>
    </row>
    <row r="172" spans="2:12" x14ac:dyDescent="0.2">
      <c r="B172" s="35">
        <v>10</v>
      </c>
      <c r="C172" s="102" t="s">
        <v>231</v>
      </c>
      <c r="D172" s="35" t="s">
        <v>227</v>
      </c>
      <c r="L172" s="60"/>
    </row>
    <row r="173" spans="2:12" x14ac:dyDescent="0.2">
      <c r="B173" s="69">
        <v>11</v>
      </c>
      <c r="C173" s="71" t="s">
        <v>246</v>
      </c>
      <c r="D173" s="69" t="s">
        <v>227</v>
      </c>
      <c r="E173" s="69">
        <v>600</v>
      </c>
      <c r="F173" s="71">
        <v>600</v>
      </c>
      <c r="G173" s="71"/>
      <c r="H173" s="69"/>
      <c r="I173" s="12" t="s">
        <v>247</v>
      </c>
      <c r="J173" s="65" t="s">
        <v>229</v>
      </c>
      <c r="K173" s="70" t="s">
        <v>230</v>
      </c>
      <c r="L173" s="60"/>
    </row>
    <row r="174" spans="2:12" x14ac:dyDescent="0.2">
      <c r="B174" s="69">
        <v>12</v>
      </c>
      <c r="C174" s="71" t="s">
        <v>246</v>
      </c>
      <c r="D174" s="69" t="s">
        <v>227</v>
      </c>
      <c r="E174" s="69">
        <v>600</v>
      </c>
      <c r="F174" s="71">
        <v>600</v>
      </c>
      <c r="G174" s="71"/>
      <c r="H174" s="69"/>
      <c r="I174" s="351"/>
      <c r="J174" s="65"/>
      <c r="K174" s="70"/>
      <c r="L174" s="60"/>
    </row>
    <row r="175" spans="2:12" x14ac:dyDescent="0.2">
      <c r="B175" s="69">
        <v>13</v>
      </c>
      <c r="C175" s="71" t="s">
        <v>248</v>
      </c>
      <c r="D175" s="69" t="s">
        <v>227</v>
      </c>
      <c r="E175" s="69">
        <v>600</v>
      </c>
      <c r="F175" s="71">
        <v>400</v>
      </c>
      <c r="G175" s="71"/>
      <c r="H175" s="69" t="s">
        <v>275</v>
      </c>
      <c r="I175" s="352" t="s">
        <v>249</v>
      </c>
      <c r="J175" s="65" t="s">
        <v>250</v>
      </c>
      <c r="K175" s="70" t="s">
        <v>251</v>
      </c>
      <c r="L175" s="60"/>
    </row>
    <row r="176" spans="2:12" x14ac:dyDescent="0.2">
      <c r="B176" s="69">
        <v>14</v>
      </c>
      <c r="C176" s="71" t="s">
        <v>248</v>
      </c>
      <c r="D176" s="69" t="s">
        <v>227</v>
      </c>
      <c r="E176" s="69">
        <v>600</v>
      </c>
      <c r="F176" s="71">
        <v>0</v>
      </c>
      <c r="G176" s="71"/>
      <c r="H176" s="69" t="s">
        <v>121</v>
      </c>
      <c r="I176" s="351"/>
      <c r="J176" s="65"/>
      <c r="K176" s="70"/>
      <c r="L176" s="60"/>
    </row>
    <row r="177" spans="2:12" x14ac:dyDescent="0.2">
      <c r="B177" s="69">
        <v>15</v>
      </c>
      <c r="C177" s="71" t="s">
        <v>231</v>
      </c>
      <c r="D177" s="69" t="s">
        <v>227</v>
      </c>
      <c r="E177" s="69"/>
      <c r="F177" s="71"/>
      <c r="G177" s="71"/>
      <c r="H177" s="69"/>
      <c r="I177" s="352" t="s">
        <v>252</v>
      </c>
      <c r="J177" s="65"/>
      <c r="K177" s="70" t="s">
        <v>253</v>
      </c>
      <c r="L177" s="60"/>
    </row>
    <row r="178" spans="2:12" x14ac:dyDescent="0.2">
      <c r="B178" s="69">
        <v>16</v>
      </c>
      <c r="C178" s="71" t="s">
        <v>231</v>
      </c>
      <c r="D178" s="69" t="s">
        <v>227</v>
      </c>
      <c r="E178" s="69"/>
      <c r="F178" s="71"/>
      <c r="G178" s="71"/>
      <c r="H178" s="69"/>
      <c r="I178" s="351"/>
      <c r="J178" s="65"/>
      <c r="K178" s="70"/>
      <c r="L178" s="60"/>
    </row>
    <row r="179" spans="2:12" x14ac:dyDescent="0.2">
      <c r="B179" s="69">
        <v>17</v>
      </c>
      <c r="C179" s="71" t="s">
        <v>254</v>
      </c>
      <c r="D179" s="69" t="s">
        <v>255</v>
      </c>
      <c r="E179" s="69">
        <v>900</v>
      </c>
      <c r="F179" s="71">
        <v>600</v>
      </c>
      <c r="G179" s="71"/>
      <c r="H179" s="69"/>
      <c r="I179" s="352" t="s">
        <v>256</v>
      </c>
      <c r="J179" s="65" t="s">
        <v>257</v>
      </c>
      <c r="K179" s="70" t="s">
        <v>258</v>
      </c>
      <c r="L179" s="60"/>
    </row>
    <row r="180" spans="2:12" x14ac:dyDescent="0.2">
      <c r="B180" s="69">
        <v>18</v>
      </c>
      <c r="C180" s="71" t="s">
        <v>254</v>
      </c>
      <c r="D180" s="69" t="s">
        <v>255</v>
      </c>
      <c r="E180" s="69">
        <v>900</v>
      </c>
      <c r="F180" s="71">
        <v>600</v>
      </c>
      <c r="G180" s="71"/>
      <c r="H180" s="69"/>
      <c r="I180" s="351"/>
      <c r="J180" s="65"/>
      <c r="K180" s="70"/>
      <c r="L180" s="60"/>
    </row>
    <row r="181" spans="2:12" ht="21" x14ac:dyDescent="0.25">
      <c r="B181" s="74" t="s">
        <v>57</v>
      </c>
      <c r="C181" s="103"/>
      <c r="D181" s="74"/>
      <c r="E181" s="74"/>
      <c r="F181" s="103">
        <f>SUM(F163:F180)</f>
        <v>5300</v>
      </c>
      <c r="G181" s="103"/>
      <c r="H181" s="74"/>
      <c r="I181" s="353"/>
      <c r="J181" s="75"/>
      <c r="K181" s="76"/>
      <c r="L181" s="73"/>
    </row>
    <row r="182" spans="2:12" x14ac:dyDescent="0.2">
      <c r="B182" s="77"/>
      <c r="C182" s="77"/>
      <c r="D182" s="77"/>
      <c r="E182" s="77"/>
      <c r="F182" s="77"/>
      <c r="G182" s="77"/>
      <c r="H182" s="77"/>
      <c r="I182" s="343"/>
      <c r="J182" s="60"/>
      <c r="K182" s="60"/>
      <c r="L182" s="60"/>
    </row>
  </sheetData>
  <mergeCells count="7">
    <mergeCell ref="B2:L2"/>
    <mergeCell ref="B30:L30"/>
    <mergeCell ref="B135:K135"/>
    <mergeCell ref="B161:K161"/>
    <mergeCell ref="B107:K107"/>
    <mergeCell ref="B81:L81"/>
    <mergeCell ref="B57:L57"/>
  </mergeCells>
  <hyperlinks>
    <hyperlink ref="I151" r:id="rId1" xr:uid="{00000000-0004-0000-0600-000000000000}"/>
    <hyperlink ref="I149" r:id="rId2" xr:uid="{00000000-0004-0000-0600-000001000000}"/>
    <hyperlink ref="I145" r:id="rId3" xr:uid="{00000000-0004-0000-0600-000002000000}"/>
    <hyperlink ref="I144" r:id="rId4" xr:uid="{00000000-0004-0000-0600-000003000000}"/>
    <hyperlink ref="I143" r:id="rId5" xr:uid="{00000000-0004-0000-0600-000004000000}"/>
    <hyperlink ref="I142" r:id="rId6" xr:uid="{00000000-0004-0000-0600-000005000000}"/>
    <hyperlink ref="I153" r:id="rId7" xr:uid="{00000000-0004-0000-0600-000006000000}"/>
    <hyperlink ref="I177" r:id="rId8" xr:uid="{00000000-0004-0000-0600-000007000000}"/>
    <hyperlink ref="I175" r:id="rId9" xr:uid="{00000000-0004-0000-0600-000008000000}"/>
    <hyperlink ref="I171" r:id="rId10" xr:uid="{00000000-0004-0000-0600-000009000000}"/>
    <hyperlink ref="I164" r:id="rId11" xr:uid="{00000000-0004-0000-0600-00000A000000}"/>
    <hyperlink ref="I170" r:id="rId12" xr:uid="{00000000-0004-0000-0600-00000B000000}"/>
    <hyperlink ref="I169" r:id="rId13" xr:uid="{00000000-0004-0000-0600-00000C000000}"/>
    <hyperlink ref="I168" r:id="rId14" xr:uid="{00000000-0004-0000-0600-00000D000000}"/>
    <hyperlink ref="I179" r:id="rId15" xr:uid="{00000000-0004-0000-0600-00000E000000}"/>
    <hyperlink ref="I123" r:id="rId16" xr:uid="{00000000-0004-0000-0600-00000F000000}"/>
    <hyperlink ref="I121" r:id="rId17" xr:uid="{00000000-0004-0000-0600-000010000000}"/>
    <hyperlink ref="I117" r:id="rId18" xr:uid="{00000000-0004-0000-0600-000011000000}"/>
    <hyperlink ref="I116" r:id="rId19" xr:uid="{00000000-0004-0000-0600-000012000000}"/>
    <hyperlink ref="I115" r:id="rId20" xr:uid="{00000000-0004-0000-0600-000013000000}"/>
    <hyperlink ref="I114" r:id="rId21" xr:uid="{00000000-0004-0000-0600-000014000000}"/>
    <hyperlink ref="I125" r:id="rId22" xr:uid="{00000000-0004-0000-0600-000015000000}"/>
    <hyperlink ref="I127" r:id="rId23" xr:uid="{00000000-0004-0000-0600-000016000000}"/>
    <hyperlink ref="J98" r:id="rId24" xr:uid="{27416661-B6C0-49C7-854F-3A56FEE7BEF1}"/>
    <hyperlink ref="J89" r:id="rId25" xr:uid="{D734E70D-5B08-4052-975A-B3A97BE8D29A}"/>
    <hyperlink ref="J90" r:id="rId26" xr:uid="{A8F7B56A-667E-44D1-ADBC-1F1E49F27981}"/>
    <hyperlink ref="J91" r:id="rId27" xr:uid="{07967238-8FC7-4917-A1DE-4243E7A251BE}"/>
    <hyperlink ref="J92" r:id="rId28" xr:uid="{42AA7A43-0062-430A-BA9D-7355127A67BD}"/>
    <hyperlink ref="J96" r:id="rId29" xr:uid="{9E2E2878-B203-48BA-8C17-0550D9C2F936}"/>
    <hyperlink ref="J84" r:id="rId30" xr:uid="{4FD13FC4-741E-4C1E-A080-9FF9B0A76B5A}"/>
    <hyperlink ref="J85" r:id="rId31" xr:uid="{24E04C5B-3E71-4698-A8DC-8A70974120AB}"/>
    <hyperlink ref="J94" r:id="rId32" xr:uid="{0EC29062-C90C-4036-8F3C-E7DDEF149C74}"/>
    <hyperlink ref="J74" r:id="rId33" xr:uid="{170AAFEF-EA79-4842-B2B6-5227F5955781}"/>
    <hyperlink ref="J65" r:id="rId34" xr:uid="{BD094F56-A94A-4C52-A199-AC8A258E54E1}"/>
    <hyperlink ref="J66" r:id="rId35" xr:uid="{3423904F-98F3-4770-B6AB-DC25B63E8619}"/>
    <hyperlink ref="J67" r:id="rId36" xr:uid="{5B1F54C4-B56C-4F75-A8A2-294BC71CE413}"/>
    <hyperlink ref="J68" r:id="rId37" xr:uid="{4D36F714-12E1-4857-B74A-34886B1558AF}"/>
    <hyperlink ref="J72" r:id="rId38" xr:uid="{2136CE45-FD03-4524-A5DD-37A650B0DB3A}"/>
    <hyperlink ref="J60" r:id="rId39" xr:uid="{C36D016E-4F10-4B16-BA60-6D07E8880263}"/>
    <hyperlink ref="J61" r:id="rId40" xr:uid="{DB30BBB3-B888-4CA5-8A36-72C2C121B161}"/>
    <hyperlink ref="J70" r:id="rId41" xr:uid="{9E31FC89-E65F-482C-B064-A03CAE4747D5}"/>
    <hyperlink ref="J47" r:id="rId42" xr:uid="{73D2C129-73E2-4089-A669-AC4A6B9CE9A7}"/>
    <hyperlink ref="J38" r:id="rId43" xr:uid="{0C1DC232-72DF-4536-8248-6C1BF01D7A7D}"/>
    <hyperlink ref="J39" r:id="rId44" xr:uid="{89BA88A9-FA12-407B-AB6C-BD34DF10EE5D}"/>
    <hyperlink ref="J40" r:id="rId45" xr:uid="{0FD1E76A-3D7A-4551-B453-4477DE910246}"/>
    <hyperlink ref="J41" r:id="rId46" xr:uid="{5F5766B2-6BC9-45DC-B0B3-CD4F6D879AFA}"/>
    <hyperlink ref="J45" r:id="rId47" xr:uid="{76862ACA-A5F7-433D-9141-F1EBE9D5415F}"/>
    <hyperlink ref="J33" r:id="rId48" xr:uid="{C4EF2190-1352-43CA-9803-3E4A3DBCCCD2}"/>
    <hyperlink ref="J34" r:id="rId49" xr:uid="{B4B0E308-677B-4C35-92B0-8BF5251B1E91}"/>
    <hyperlink ref="J43" r:id="rId50" xr:uid="{A3833D06-ADEC-43E1-8427-7E165A13C7AA}"/>
    <hyperlink ref="J19" r:id="rId51" xr:uid="{DEE89071-C2BE-4127-A0EF-CA3EBFD0D2B7}"/>
    <hyperlink ref="J10" r:id="rId52" xr:uid="{E6662B2E-44DC-4B27-A380-F34CB8892E47}"/>
    <hyperlink ref="J11" r:id="rId53" xr:uid="{FF3F8101-0757-4819-984D-D8BB83601841}"/>
    <hyperlink ref="J12" r:id="rId54" xr:uid="{6944488A-1C14-4089-BCFF-CF26E520C22B}"/>
    <hyperlink ref="J13" r:id="rId55" xr:uid="{C0A011DE-898F-46D2-8FD8-64AC338F4603}"/>
    <hyperlink ref="J17" r:id="rId56" xr:uid="{87A38BB6-6FB2-44A0-8D1E-5E31ADCBC258}"/>
    <hyperlink ref="J5" r:id="rId57" xr:uid="{6CDD459A-6F7D-40EC-83B1-7B6C73C6F855}"/>
    <hyperlink ref="J6" r:id="rId58" xr:uid="{E583DB33-69B7-47F7-A07E-FA782DFE1339}"/>
    <hyperlink ref="J15" r:id="rId59" xr:uid="{EBA74F44-00D5-4934-BBE7-2A7B4BE8205C}"/>
  </hyperlinks>
  <pageMargins left="0.7" right="0.7" top="0.75" bottom="0.75" header="0.3" footer="0.3"/>
  <pageSetup orientation="portrait" horizontalDpi="300" verticalDpi="300" r:id="rId6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22"/>
  <sheetViews>
    <sheetView zoomScale="120" zoomScaleNormal="120" workbookViewId="0">
      <selection activeCell="E5" sqref="E5"/>
    </sheetView>
  </sheetViews>
  <sheetFormatPr baseColWidth="10" defaultColWidth="8.83203125" defaultRowHeight="15" x14ac:dyDescent="0.2"/>
  <cols>
    <col min="1" max="1" width="12.6640625" customWidth="1"/>
    <col min="2" max="2" width="12.5" customWidth="1"/>
    <col min="3" max="3" width="10.33203125" customWidth="1"/>
    <col min="4" max="4" width="26.6640625" bestFit="1" customWidth="1"/>
    <col min="5" max="5" width="31" bestFit="1" customWidth="1"/>
    <col min="6" max="6" width="15" customWidth="1"/>
    <col min="8" max="8" width="10.83203125" style="98" customWidth="1"/>
    <col min="9" max="9" width="45" customWidth="1"/>
    <col min="10" max="10" width="22" style="2" bestFit="1" customWidth="1"/>
    <col min="11" max="11" width="15.5" bestFit="1" customWidth="1"/>
    <col min="12" max="12" width="9" bestFit="1" customWidth="1"/>
    <col min="13" max="13" width="9.1640625" bestFit="1" customWidth="1"/>
    <col min="14" max="15" width="10.1640625" bestFit="1" customWidth="1"/>
    <col min="16" max="16" width="11" customWidth="1"/>
    <col min="17" max="17" width="11.33203125" bestFit="1" customWidth="1"/>
  </cols>
  <sheetData>
    <row r="1" spans="1:17" s="458" customFormat="1" ht="31" x14ac:dyDescent="0.35">
      <c r="A1" s="777">
        <v>2022</v>
      </c>
      <c r="E1" s="776"/>
      <c r="F1" s="776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</row>
    <row r="2" spans="1:17" ht="64" x14ac:dyDescent="0.2">
      <c r="A2" s="407" t="s">
        <v>1214</v>
      </c>
      <c r="B2" s="408" t="s">
        <v>1215</v>
      </c>
      <c r="C2" s="409" t="s">
        <v>138</v>
      </c>
      <c r="D2" s="409" t="s">
        <v>1216</v>
      </c>
      <c r="E2" s="409" t="s">
        <v>1217</v>
      </c>
      <c r="F2" s="410" t="s">
        <v>1218</v>
      </c>
      <c r="G2" s="411" t="s">
        <v>1219</v>
      </c>
      <c r="H2" s="412" t="s">
        <v>1220</v>
      </c>
      <c r="I2" s="413" t="s">
        <v>1221</v>
      </c>
      <c r="J2" s="413" t="s">
        <v>1222</v>
      </c>
      <c r="K2" s="408" t="s">
        <v>1223</v>
      </c>
      <c r="L2" s="408" t="s">
        <v>1219</v>
      </c>
      <c r="M2" s="414" t="s">
        <v>1224</v>
      </c>
      <c r="N2" s="414" t="s">
        <v>1225</v>
      </c>
      <c r="O2" s="411" t="s">
        <v>1226</v>
      </c>
      <c r="P2" s="411" t="s">
        <v>1227</v>
      </c>
      <c r="Q2" s="415" t="s">
        <v>1228</v>
      </c>
    </row>
    <row r="3" spans="1:17" x14ac:dyDescent="0.2">
      <c r="A3" s="555" t="s">
        <v>406</v>
      </c>
      <c r="B3" s="555" t="s">
        <v>406</v>
      </c>
      <c r="C3" s="555" t="s">
        <v>1229</v>
      </c>
      <c r="D3" s="556" t="s">
        <v>1230</v>
      </c>
      <c r="E3" s="556" t="s">
        <v>1230</v>
      </c>
      <c r="F3" s="557" t="s">
        <v>258</v>
      </c>
      <c r="G3" s="778"/>
      <c r="H3" s="778">
        <v>12000</v>
      </c>
      <c r="I3" s="788">
        <v>2040</v>
      </c>
      <c r="J3" s="788">
        <v>10000</v>
      </c>
      <c r="K3" s="555" t="s">
        <v>1231</v>
      </c>
      <c r="L3" s="778">
        <v>5</v>
      </c>
      <c r="M3" s="778">
        <v>2646</v>
      </c>
      <c r="N3" s="779">
        <v>13230</v>
      </c>
      <c r="O3" s="779">
        <f>L3*M3</f>
        <v>13230</v>
      </c>
      <c r="P3" s="778">
        <f>O3-J3</f>
        <v>3230</v>
      </c>
      <c r="Q3" s="556"/>
    </row>
    <row r="4" spans="1:17" x14ac:dyDescent="0.2">
      <c r="A4" s="555" t="s">
        <v>1232</v>
      </c>
      <c r="B4" s="555" t="s">
        <v>1232</v>
      </c>
      <c r="C4" s="555" t="s">
        <v>1229</v>
      </c>
      <c r="D4" s="556" t="s">
        <v>1233</v>
      </c>
      <c r="E4" s="556" t="s">
        <v>1234</v>
      </c>
      <c r="F4" s="557" t="s">
        <v>258</v>
      </c>
      <c r="G4" s="778"/>
      <c r="H4" s="778">
        <v>12000</v>
      </c>
      <c r="I4" s="788">
        <v>2040</v>
      </c>
      <c r="J4" s="788">
        <v>10000</v>
      </c>
      <c r="K4" s="555" t="s">
        <v>1235</v>
      </c>
      <c r="L4" s="778">
        <v>5</v>
      </c>
      <c r="M4" s="778">
        <v>2160</v>
      </c>
      <c r="N4" s="779">
        <v>10800</v>
      </c>
      <c r="O4" s="779">
        <f>L4*M4</f>
        <v>10800</v>
      </c>
      <c r="P4" s="778">
        <f t="shared" ref="P4:P20" si="0">O4-J4</f>
        <v>800</v>
      </c>
      <c r="Q4" s="556"/>
    </row>
    <row r="5" spans="1:17" ht="16" x14ac:dyDescent="0.2">
      <c r="A5" s="558" t="s">
        <v>422</v>
      </c>
      <c r="B5" s="558">
        <v>17</v>
      </c>
      <c r="C5" s="558" t="s">
        <v>1229</v>
      </c>
      <c r="D5" s="559" t="s">
        <v>1236</v>
      </c>
      <c r="E5" s="559" t="s">
        <v>1237</v>
      </c>
      <c r="F5" s="560" t="s">
        <v>258</v>
      </c>
      <c r="G5" s="780"/>
      <c r="H5" s="780">
        <v>5000</v>
      </c>
      <c r="I5" s="789" t="s">
        <v>1238</v>
      </c>
      <c r="J5" s="789">
        <v>5000</v>
      </c>
      <c r="K5" s="558" t="s">
        <v>1239</v>
      </c>
      <c r="L5" s="780">
        <v>5</v>
      </c>
      <c r="M5" s="780">
        <v>816</v>
      </c>
      <c r="N5" s="781">
        <v>4080</v>
      </c>
      <c r="O5" s="781">
        <f t="shared" ref="O5:O20" si="1">L5*M5</f>
        <v>4080</v>
      </c>
      <c r="P5" s="780">
        <f t="shared" si="0"/>
        <v>-920</v>
      </c>
      <c r="Q5" s="559"/>
    </row>
    <row r="6" spans="1:17" x14ac:dyDescent="0.2">
      <c r="A6" s="416" t="s">
        <v>409</v>
      </c>
      <c r="B6" s="416">
        <v>1</v>
      </c>
      <c r="C6" s="416" t="s">
        <v>1229</v>
      </c>
      <c r="D6" s="147" t="s">
        <v>1240</v>
      </c>
      <c r="E6" s="147" t="s">
        <v>1241</v>
      </c>
      <c r="F6" s="404">
        <v>528</v>
      </c>
      <c r="G6" s="790">
        <v>5</v>
      </c>
      <c r="H6" s="790">
        <v>2640</v>
      </c>
      <c r="I6" s="791">
        <v>448.8</v>
      </c>
      <c r="J6" s="791">
        <v>2296.8000000000002</v>
      </c>
      <c r="K6" s="416" t="s">
        <v>1242</v>
      </c>
      <c r="L6" s="782">
        <v>5</v>
      </c>
      <c r="M6" s="782">
        <v>504</v>
      </c>
      <c r="N6" s="783">
        <v>2520</v>
      </c>
      <c r="O6" s="783">
        <f t="shared" si="1"/>
        <v>2520</v>
      </c>
      <c r="P6" s="782">
        <f>O6-J6</f>
        <v>223.19999999999982</v>
      </c>
      <c r="Q6" s="147"/>
    </row>
    <row r="7" spans="1:17" x14ac:dyDescent="0.2">
      <c r="A7" s="417" t="s">
        <v>410</v>
      </c>
      <c r="B7" s="417">
        <v>2</v>
      </c>
      <c r="C7" s="417" t="s">
        <v>1229</v>
      </c>
      <c r="D7" s="184" t="s">
        <v>1243</v>
      </c>
      <c r="E7" s="184" t="s">
        <v>1244</v>
      </c>
      <c r="F7" s="418">
        <v>528</v>
      </c>
      <c r="G7" s="784">
        <v>5</v>
      </c>
      <c r="H7" s="784">
        <v>2640</v>
      </c>
      <c r="I7" s="792">
        <v>0</v>
      </c>
      <c r="J7" s="792"/>
      <c r="K7" s="417" t="s">
        <v>1242</v>
      </c>
      <c r="L7" s="784">
        <v>5</v>
      </c>
      <c r="M7" s="784">
        <v>504</v>
      </c>
      <c r="N7" s="779">
        <v>2520</v>
      </c>
      <c r="O7" s="785">
        <f t="shared" si="1"/>
        <v>2520</v>
      </c>
      <c r="P7" s="784" t="s">
        <v>258</v>
      </c>
      <c r="Q7" s="419" t="s">
        <v>1245</v>
      </c>
    </row>
    <row r="8" spans="1:17" ht="16" x14ac:dyDescent="0.2">
      <c r="A8" s="561" t="s">
        <v>412</v>
      </c>
      <c r="B8" s="561">
        <v>3</v>
      </c>
      <c r="C8" s="561" t="s">
        <v>1229</v>
      </c>
      <c r="D8" s="562" t="s">
        <v>1246</v>
      </c>
      <c r="E8" s="562" t="s">
        <v>1247</v>
      </c>
      <c r="F8" s="563">
        <v>528</v>
      </c>
      <c r="G8" s="786">
        <v>5</v>
      </c>
      <c r="H8" s="786">
        <v>2640</v>
      </c>
      <c r="I8" s="793" t="s">
        <v>258</v>
      </c>
      <c r="J8" s="793"/>
      <c r="K8" s="561" t="s">
        <v>1242</v>
      </c>
      <c r="L8" s="786">
        <v>5</v>
      </c>
      <c r="M8" s="786">
        <v>504</v>
      </c>
      <c r="N8" s="787">
        <v>2520</v>
      </c>
      <c r="O8" s="787">
        <f t="shared" si="1"/>
        <v>2520</v>
      </c>
      <c r="P8" s="786">
        <f>O8-H8</f>
        <v>-120</v>
      </c>
      <c r="Q8" s="562"/>
    </row>
    <row r="9" spans="1:17" ht="16" x14ac:dyDescent="0.2">
      <c r="A9" s="561" t="s">
        <v>413</v>
      </c>
      <c r="B9" s="561">
        <v>4</v>
      </c>
      <c r="C9" s="561" t="s">
        <v>1229</v>
      </c>
      <c r="D9" s="562" t="s">
        <v>1248</v>
      </c>
      <c r="E9" s="562" t="s">
        <v>1249</v>
      </c>
      <c r="F9" s="563">
        <v>528</v>
      </c>
      <c r="G9" s="786">
        <v>5</v>
      </c>
      <c r="H9" s="786">
        <v>2640</v>
      </c>
      <c r="I9" s="793" t="s">
        <v>258</v>
      </c>
      <c r="J9" s="793"/>
      <c r="K9" s="561" t="s">
        <v>1242</v>
      </c>
      <c r="L9" s="786">
        <v>5</v>
      </c>
      <c r="M9" s="786">
        <v>504</v>
      </c>
      <c r="N9" s="787">
        <v>2520</v>
      </c>
      <c r="O9" s="787">
        <f t="shared" si="1"/>
        <v>2520</v>
      </c>
      <c r="P9" s="786">
        <f>O9-H9</f>
        <v>-120</v>
      </c>
      <c r="Q9" s="562"/>
    </row>
    <row r="10" spans="1:17" x14ac:dyDescent="0.2">
      <c r="A10" s="555" t="s">
        <v>416</v>
      </c>
      <c r="B10" s="555">
        <v>5</v>
      </c>
      <c r="C10" s="555" t="s">
        <v>1250</v>
      </c>
      <c r="D10" s="556" t="s">
        <v>1251</v>
      </c>
      <c r="E10" s="556" t="s">
        <v>1252</v>
      </c>
      <c r="F10" s="557" t="s">
        <v>121</v>
      </c>
      <c r="G10" s="778"/>
      <c r="H10" s="778" t="s">
        <v>121</v>
      </c>
      <c r="I10" s="788"/>
      <c r="J10" s="1098">
        <v>8366</v>
      </c>
      <c r="K10" s="555" t="s">
        <v>1253</v>
      </c>
      <c r="L10" s="778">
        <v>5</v>
      </c>
      <c r="M10" s="778">
        <v>1202</v>
      </c>
      <c r="N10" s="778">
        <v>6010</v>
      </c>
      <c r="O10" s="1100">
        <v>10035</v>
      </c>
      <c r="P10" s="1100">
        <f>O10-J10</f>
        <v>1669</v>
      </c>
      <c r="Q10" s="556"/>
    </row>
    <row r="11" spans="1:17" x14ac:dyDescent="0.2">
      <c r="A11" s="555" t="s">
        <v>417</v>
      </c>
      <c r="B11" s="555" t="s">
        <v>1254</v>
      </c>
      <c r="C11" s="555" t="s">
        <v>1229</v>
      </c>
      <c r="D11" s="556" t="s">
        <v>1255</v>
      </c>
      <c r="E11" s="556" t="s">
        <v>1252</v>
      </c>
      <c r="F11" s="557">
        <v>747</v>
      </c>
      <c r="G11" s="778">
        <v>5</v>
      </c>
      <c r="H11" s="778">
        <v>3735</v>
      </c>
      <c r="I11" s="788"/>
      <c r="J11" s="1099"/>
      <c r="K11" s="555" t="s">
        <v>1256</v>
      </c>
      <c r="L11" s="778">
        <v>5</v>
      </c>
      <c r="M11" s="778">
        <v>805</v>
      </c>
      <c r="N11" s="778">
        <v>4025</v>
      </c>
      <c r="O11" s="1101"/>
      <c r="P11" s="1101"/>
      <c r="Q11" s="556"/>
    </row>
    <row r="12" spans="1:17" ht="16" x14ac:dyDescent="0.2">
      <c r="A12" s="558" t="s">
        <v>419</v>
      </c>
      <c r="B12" s="558">
        <v>6</v>
      </c>
      <c r="C12" s="558" t="s">
        <v>1229</v>
      </c>
      <c r="D12" s="559" t="s">
        <v>1257</v>
      </c>
      <c r="E12" s="559" t="s">
        <v>1258</v>
      </c>
      <c r="F12" s="560"/>
      <c r="G12" s="1102">
        <v>5</v>
      </c>
      <c r="H12" s="1102">
        <v>4545</v>
      </c>
      <c r="I12" s="789" t="s">
        <v>258</v>
      </c>
      <c r="J12" s="789"/>
      <c r="K12" s="558" t="s">
        <v>1259</v>
      </c>
      <c r="L12" s="780">
        <v>5</v>
      </c>
      <c r="M12" s="780">
        <v>543</v>
      </c>
      <c r="N12" s="780">
        <v>2715</v>
      </c>
      <c r="O12" s="1102">
        <v>4455</v>
      </c>
      <c r="P12" s="1102">
        <v>-120</v>
      </c>
      <c r="Q12" s="559"/>
    </row>
    <row r="13" spans="1:17" ht="16" x14ac:dyDescent="0.2">
      <c r="A13" s="558"/>
      <c r="B13" s="558">
        <v>9</v>
      </c>
      <c r="C13" s="558" t="s">
        <v>1229</v>
      </c>
      <c r="D13" s="559" t="s">
        <v>1257</v>
      </c>
      <c r="E13" s="559" t="s">
        <v>1260</v>
      </c>
      <c r="F13" s="560"/>
      <c r="G13" s="1103"/>
      <c r="H13" s="1103"/>
      <c r="I13" s="789" t="s">
        <v>258</v>
      </c>
      <c r="J13" s="789"/>
      <c r="K13" s="558" t="s">
        <v>1261</v>
      </c>
      <c r="L13" s="780">
        <v>5</v>
      </c>
      <c r="M13" s="780">
        <v>348</v>
      </c>
      <c r="N13" s="780">
        <v>1740</v>
      </c>
      <c r="O13" s="1103"/>
      <c r="P13" s="1103"/>
      <c r="Q13" s="559"/>
    </row>
    <row r="14" spans="1:17" ht="16" x14ac:dyDescent="0.2">
      <c r="A14" s="555" t="s">
        <v>421</v>
      </c>
      <c r="B14" s="555">
        <v>10</v>
      </c>
      <c r="C14" s="555" t="s">
        <v>1229</v>
      </c>
      <c r="D14" s="556" t="s">
        <v>1262</v>
      </c>
      <c r="E14" s="556" t="s">
        <v>1263</v>
      </c>
      <c r="F14" s="557" t="s">
        <v>121</v>
      </c>
      <c r="G14" s="778" t="s">
        <v>121</v>
      </c>
      <c r="H14" s="778">
        <v>1890</v>
      </c>
      <c r="I14" s="788" t="s">
        <v>258</v>
      </c>
      <c r="J14" s="788"/>
      <c r="K14" s="555" t="s">
        <v>1264</v>
      </c>
      <c r="L14" s="778">
        <v>5</v>
      </c>
      <c r="M14" s="778">
        <v>392</v>
      </c>
      <c r="N14" s="778">
        <v>1960</v>
      </c>
      <c r="O14" s="779">
        <f t="shared" si="1"/>
        <v>1960</v>
      </c>
      <c r="P14" s="778">
        <f>O14-H14</f>
        <v>70</v>
      </c>
      <c r="Q14" s="556"/>
    </row>
    <row r="15" spans="1:17" x14ac:dyDescent="0.2">
      <c r="A15" s="555"/>
      <c r="B15" s="555">
        <v>11</v>
      </c>
      <c r="C15" s="555" t="s">
        <v>1265</v>
      </c>
      <c r="D15" s="556" t="s">
        <v>1266</v>
      </c>
      <c r="E15" s="556"/>
      <c r="F15" s="557"/>
      <c r="G15" s="778"/>
      <c r="H15" s="778"/>
      <c r="I15" s="788"/>
      <c r="J15" s="788"/>
      <c r="K15" s="555" t="s">
        <v>1267</v>
      </c>
      <c r="L15" s="778">
        <v>5</v>
      </c>
      <c r="M15" s="778">
        <v>1410</v>
      </c>
      <c r="N15" s="778">
        <v>7050</v>
      </c>
      <c r="O15" s="779">
        <f t="shared" si="1"/>
        <v>7050</v>
      </c>
      <c r="P15" s="778">
        <f t="shared" si="0"/>
        <v>7050</v>
      </c>
      <c r="Q15" s="556" t="s">
        <v>1268</v>
      </c>
    </row>
    <row r="16" spans="1:17" x14ac:dyDescent="0.2">
      <c r="A16" s="555"/>
      <c r="B16" s="555">
        <v>12</v>
      </c>
      <c r="C16" s="555" t="s">
        <v>1265</v>
      </c>
      <c r="D16" s="556" t="s">
        <v>1269</v>
      </c>
      <c r="E16" s="556" t="s">
        <v>1270</v>
      </c>
      <c r="F16" s="557"/>
      <c r="G16" s="778"/>
      <c r="H16" s="778"/>
      <c r="I16" s="788"/>
      <c r="J16" s="788"/>
      <c r="K16" s="555" t="s">
        <v>1271</v>
      </c>
      <c r="L16" s="778">
        <v>5</v>
      </c>
      <c r="M16" s="778">
        <v>966</v>
      </c>
      <c r="N16" s="778">
        <v>4830</v>
      </c>
      <c r="O16" s="779">
        <f t="shared" si="1"/>
        <v>4830</v>
      </c>
      <c r="P16" s="778">
        <f t="shared" si="0"/>
        <v>4830</v>
      </c>
      <c r="Q16" s="556" t="s">
        <v>1268</v>
      </c>
    </row>
    <row r="17" spans="1:17" x14ac:dyDescent="0.2">
      <c r="A17" s="555"/>
      <c r="B17" s="555">
        <v>13</v>
      </c>
      <c r="C17" s="555" t="s">
        <v>1265</v>
      </c>
      <c r="D17" s="556" t="s">
        <v>1272</v>
      </c>
      <c r="E17" s="556" t="s">
        <v>1273</v>
      </c>
      <c r="F17" s="557"/>
      <c r="G17" s="778"/>
      <c r="H17" s="778"/>
      <c r="I17" s="788"/>
      <c r="J17" s="788"/>
      <c r="K17" s="555" t="s">
        <v>1274</v>
      </c>
      <c r="L17" s="778">
        <v>5</v>
      </c>
      <c r="M17" s="778">
        <v>552</v>
      </c>
      <c r="N17" s="778">
        <v>2760</v>
      </c>
      <c r="O17" s="779">
        <f t="shared" si="1"/>
        <v>2760</v>
      </c>
      <c r="P17" s="778">
        <f t="shared" si="0"/>
        <v>2760</v>
      </c>
      <c r="Q17" s="556" t="s">
        <v>1268</v>
      </c>
    </row>
    <row r="18" spans="1:17" x14ac:dyDescent="0.2">
      <c r="A18" s="555"/>
      <c r="B18" s="555">
        <v>14</v>
      </c>
      <c r="C18" s="555" t="s">
        <v>1265</v>
      </c>
      <c r="D18" s="556" t="s">
        <v>1275</v>
      </c>
      <c r="E18" s="556" t="s">
        <v>1276</v>
      </c>
      <c r="F18" s="557"/>
      <c r="G18" s="778"/>
      <c r="H18" s="778"/>
      <c r="I18" s="788"/>
      <c r="J18" s="788"/>
      <c r="K18" s="555" t="s">
        <v>1277</v>
      </c>
      <c r="L18" s="778">
        <v>5</v>
      </c>
      <c r="M18" s="778">
        <v>1140</v>
      </c>
      <c r="N18" s="778">
        <v>5700</v>
      </c>
      <c r="O18" s="779">
        <f t="shared" si="1"/>
        <v>5700</v>
      </c>
      <c r="P18" s="778">
        <f t="shared" si="0"/>
        <v>5700</v>
      </c>
      <c r="Q18" s="556" t="s">
        <v>1268</v>
      </c>
    </row>
    <row r="19" spans="1:17" x14ac:dyDescent="0.2">
      <c r="A19" s="555"/>
      <c r="B19" s="555">
        <v>15</v>
      </c>
      <c r="C19" s="555" t="s">
        <v>1278</v>
      </c>
      <c r="D19" s="556" t="s">
        <v>1279</v>
      </c>
      <c r="E19" s="556" t="s">
        <v>1280</v>
      </c>
      <c r="F19" s="557"/>
      <c r="G19" s="778"/>
      <c r="H19" s="778"/>
      <c r="I19" s="788"/>
      <c r="J19" s="788"/>
      <c r="K19" s="555" t="s">
        <v>1281</v>
      </c>
      <c r="L19" s="778">
        <v>5</v>
      </c>
      <c r="M19" s="778">
        <v>330</v>
      </c>
      <c r="N19" s="778">
        <v>1650</v>
      </c>
      <c r="O19" s="779">
        <f t="shared" si="1"/>
        <v>1650</v>
      </c>
      <c r="P19" s="778">
        <f t="shared" si="0"/>
        <v>1650</v>
      </c>
      <c r="Q19" s="556" t="s">
        <v>1268</v>
      </c>
    </row>
    <row r="20" spans="1:17" x14ac:dyDescent="0.2">
      <c r="A20" s="555"/>
      <c r="B20" s="555">
        <v>16</v>
      </c>
      <c r="C20" s="555" t="s">
        <v>1278</v>
      </c>
      <c r="D20" s="556" t="s">
        <v>1282</v>
      </c>
      <c r="E20" s="556" t="s">
        <v>1283</v>
      </c>
      <c r="F20" s="557"/>
      <c r="G20" s="778"/>
      <c r="H20" s="778"/>
      <c r="I20" s="788"/>
      <c r="J20" s="788"/>
      <c r="K20" s="555" t="s">
        <v>1284</v>
      </c>
      <c r="L20" s="778">
        <v>5</v>
      </c>
      <c r="M20" s="778">
        <v>126</v>
      </c>
      <c r="N20" s="778">
        <v>630</v>
      </c>
      <c r="O20" s="778">
        <f t="shared" si="1"/>
        <v>630</v>
      </c>
      <c r="P20" s="778">
        <f t="shared" si="0"/>
        <v>630</v>
      </c>
      <c r="Q20" s="556" t="s">
        <v>1268</v>
      </c>
    </row>
    <row r="21" spans="1:17" x14ac:dyDescent="0.2">
      <c r="A21" s="98"/>
      <c r="E21" s="420" t="s">
        <v>1285</v>
      </c>
      <c r="F21" s="137"/>
      <c r="G21" s="209"/>
      <c r="H21" s="209">
        <f>SUM(H3:H20)</f>
        <v>49730</v>
      </c>
      <c r="I21" s="137"/>
      <c r="J21"/>
      <c r="K21" s="137"/>
      <c r="L21" s="137"/>
      <c r="M21" s="421"/>
      <c r="N21" s="422">
        <f>SUM(N3:N20)</f>
        <v>77260</v>
      </c>
      <c r="O21" s="423">
        <f>SUM(O3:O20)</f>
        <v>77260</v>
      </c>
      <c r="P21" s="424">
        <f>SUM(P3:P20)</f>
        <v>27332.2</v>
      </c>
      <c r="Q21" s="137"/>
    </row>
    <row r="22" spans="1:17" x14ac:dyDescent="0.2">
      <c r="B22" s="60"/>
      <c r="C22" s="60"/>
      <c r="D22" s="60"/>
      <c r="E22" s="60"/>
      <c r="F22" s="60"/>
      <c r="G22" s="60"/>
      <c r="H22" s="100"/>
      <c r="I22" s="60"/>
      <c r="J22"/>
    </row>
    <row r="23" spans="1:17" ht="24" x14ac:dyDescent="0.3">
      <c r="B23" s="1079" t="s">
        <v>259</v>
      </c>
      <c r="C23" s="1080"/>
      <c r="D23" s="1080"/>
      <c r="E23" s="1080"/>
      <c r="F23" s="1080"/>
      <c r="G23" s="1080"/>
      <c r="H23" s="1080"/>
      <c r="I23" s="1081"/>
      <c r="J23"/>
    </row>
    <row r="24" spans="1:17" ht="19" x14ac:dyDescent="0.25">
      <c r="B24" s="1082">
        <v>2021</v>
      </c>
      <c r="C24" s="1083"/>
      <c r="D24" s="1083"/>
      <c r="E24" s="1083"/>
      <c r="F24" s="1083"/>
      <c r="G24" s="1083"/>
      <c r="H24" s="1083"/>
      <c r="I24" s="1084"/>
      <c r="J24"/>
    </row>
    <row r="25" spans="1:17" ht="32" x14ac:dyDescent="0.2">
      <c r="B25" s="328"/>
      <c r="C25" s="329" t="s">
        <v>404</v>
      </c>
      <c r="D25" s="329" t="s">
        <v>103</v>
      </c>
      <c r="E25" s="329" t="s">
        <v>405</v>
      </c>
      <c r="F25" s="329" t="s">
        <v>497</v>
      </c>
      <c r="G25" s="329" t="s">
        <v>719</v>
      </c>
      <c r="H25" s="329" t="s">
        <v>678</v>
      </c>
      <c r="I25" s="328" t="s">
        <v>12</v>
      </c>
      <c r="J25"/>
    </row>
    <row r="26" spans="1:17" x14ac:dyDescent="0.2">
      <c r="B26" s="99" t="s">
        <v>146</v>
      </c>
      <c r="C26" s="330" t="s">
        <v>406</v>
      </c>
      <c r="D26" s="7"/>
      <c r="E26" s="230"/>
      <c r="F26" s="7">
        <v>5000</v>
      </c>
      <c r="G26" s="7">
        <v>10000</v>
      </c>
      <c r="H26" s="126">
        <v>2019</v>
      </c>
      <c r="I26" s="7" t="s">
        <v>681</v>
      </c>
      <c r="J26"/>
    </row>
    <row r="27" spans="1:17" x14ac:dyDescent="0.2">
      <c r="B27" s="99" t="s">
        <v>152</v>
      </c>
      <c r="C27" s="332" t="s">
        <v>407</v>
      </c>
      <c r="D27" s="331"/>
      <c r="E27" s="333"/>
      <c r="F27" s="331">
        <v>6000</v>
      </c>
      <c r="G27" s="331">
        <v>10000</v>
      </c>
      <c r="H27" s="334">
        <v>2019</v>
      </c>
      <c r="I27" s="7" t="s">
        <v>681</v>
      </c>
      <c r="J27"/>
    </row>
    <row r="28" spans="1:17" x14ac:dyDescent="0.2">
      <c r="B28" s="99" t="s">
        <v>359</v>
      </c>
      <c r="C28" s="332" t="s">
        <v>409</v>
      </c>
      <c r="D28" s="331"/>
      <c r="E28" s="333"/>
      <c r="F28" s="7">
        <v>2297</v>
      </c>
      <c r="G28" s="7">
        <v>2297</v>
      </c>
      <c r="H28" s="126">
        <v>2020</v>
      </c>
      <c r="I28" s="6" t="s">
        <v>679</v>
      </c>
      <c r="J28"/>
    </row>
    <row r="29" spans="1:17" x14ac:dyDescent="0.2">
      <c r="B29" s="99" t="s">
        <v>294</v>
      </c>
      <c r="C29" s="332" t="s">
        <v>410</v>
      </c>
      <c r="D29" s="331">
        <v>5</v>
      </c>
      <c r="E29" s="333">
        <v>528</v>
      </c>
      <c r="F29" s="7">
        <v>2640</v>
      </c>
      <c r="G29" s="7">
        <v>2640</v>
      </c>
      <c r="H29" s="126">
        <v>2020</v>
      </c>
      <c r="I29" s="6"/>
      <c r="J29"/>
    </row>
    <row r="30" spans="1:17" x14ac:dyDescent="0.2">
      <c r="B30" s="99" t="s">
        <v>411</v>
      </c>
      <c r="C30" s="332" t="s">
        <v>412</v>
      </c>
      <c r="D30" s="331">
        <v>5</v>
      </c>
      <c r="E30" s="333">
        <v>528</v>
      </c>
      <c r="F30" s="7">
        <v>2640</v>
      </c>
      <c r="G30" s="7">
        <v>2640</v>
      </c>
      <c r="H30" s="126">
        <v>2020</v>
      </c>
      <c r="I30" s="6" t="s">
        <v>680</v>
      </c>
      <c r="J30"/>
    </row>
    <row r="31" spans="1:17" x14ac:dyDescent="0.2">
      <c r="B31" s="99" t="s">
        <v>293</v>
      </c>
      <c r="C31" s="332" t="s">
        <v>413</v>
      </c>
      <c r="D31" s="331"/>
      <c r="E31" s="333"/>
      <c r="F31" s="7">
        <v>2640</v>
      </c>
      <c r="G31" s="7">
        <v>2640</v>
      </c>
      <c r="H31" s="126">
        <v>2020</v>
      </c>
      <c r="I31" s="6" t="s">
        <v>680</v>
      </c>
      <c r="J31"/>
    </row>
    <row r="32" spans="1:17" x14ac:dyDescent="0.2">
      <c r="B32" s="99" t="s">
        <v>415</v>
      </c>
      <c r="C32" s="332" t="s">
        <v>416</v>
      </c>
      <c r="D32" s="331">
        <v>5</v>
      </c>
      <c r="E32" s="333">
        <v>1145</v>
      </c>
      <c r="F32" s="1085">
        <v>8366</v>
      </c>
      <c r="G32" s="1085">
        <v>8366</v>
      </c>
      <c r="H32" s="1088">
        <v>2020</v>
      </c>
      <c r="I32" s="1090" t="s">
        <v>679</v>
      </c>
      <c r="J32"/>
    </row>
    <row r="33" spans="2:10" x14ac:dyDescent="0.2">
      <c r="B33" s="99" t="s">
        <v>295</v>
      </c>
      <c r="C33" s="332" t="s">
        <v>417</v>
      </c>
      <c r="D33" s="331"/>
      <c r="E33" s="333"/>
      <c r="F33" s="1086"/>
      <c r="G33" s="1086"/>
      <c r="H33" s="1089"/>
      <c r="I33" s="1091"/>
      <c r="J33"/>
    </row>
    <row r="34" spans="2:10" x14ac:dyDescent="0.2">
      <c r="B34" s="99" t="s">
        <v>292</v>
      </c>
      <c r="C34" s="332" t="s">
        <v>682</v>
      </c>
      <c r="D34" s="331"/>
      <c r="E34" s="333"/>
      <c r="F34" s="1094">
        <v>4545</v>
      </c>
      <c r="G34" s="1094">
        <v>4545</v>
      </c>
      <c r="H34" s="1092">
        <v>2020</v>
      </c>
      <c r="I34" s="405"/>
      <c r="J34"/>
    </row>
    <row r="35" spans="2:10" x14ac:dyDescent="0.2">
      <c r="B35" s="99" t="s">
        <v>292</v>
      </c>
      <c r="C35" s="332" t="s">
        <v>419</v>
      </c>
      <c r="D35" s="331">
        <v>5</v>
      </c>
      <c r="E35" s="333">
        <v>850</v>
      </c>
      <c r="F35" s="1095"/>
      <c r="G35" s="1095"/>
      <c r="H35" s="1093"/>
      <c r="I35" s="6"/>
      <c r="J35"/>
    </row>
    <row r="36" spans="2:10" x14ac:dyDescent="0.2">
      <c r="B36" s="99" t="s">
        <v>684</v>
      </c>
      <c r="C36" s="332" t="s">
        <v>421</v>
      </c>
      <c r="D36" s="335"/>
      <c r="E36" s="335"/>
      <c r="F36" s="7">
        <v>1890</v>
      </c>
      <c r="G36" s="7">
        <v>1890</v>
      </c>
      <c r="H36" s="126">
        <v>2020</v>
      </c>
      <c r="I36" s="6"/>
      <c r="J36"/>
    </row>
    <row r="37" spans="2:10" x14ac:dyDescent="0.2">
      <c r="B37" s="99" t="s">
        <v>220</v>
      </c>
      <c r="C37" s="330" t="s">
        <v>422</v>
      </c>
      <c r="D37" s="7"/>
      <c r="E37" s="230"/>
      <c r="F37" s="7">
        <v>5000</v>
      </c>
      <c r="G37" s="7">
        <v>5000</v>
      </c>
      <c r="H37" s="126">
        <v>2020</v>
      </c>
      <c r="I37" s="6" t="s">
        <v>683</v>
      </c>
      <c r="J37"/>
    </row>
    <row r="38" spans="2:10" x14ac:dyDescent="0.2">
      <c r="B38" s="99" t="s">
        <v>1118</v>
      </c>
      <c r="C38" s="330"/>
      <c r="D38" s="7"/>
      <c r="E38" s="230"/>
      <c r="F38" s="7"/>
      <c r="G38" s="7"/>
      <c r="H38" s="126"/>
      <c r="I38" s="6"/>
      <c r="J38"/>
    </row>
    <row r="39" spans="2:10" ht="16" x14ac:dyDescent="0.2">
      <c r="B39" s="336" t="s">
        <v>57</v>
      </c>
      <c r="C39" s="337"/>
      <c r="D39" s="337"/>
      <c r="E39" s="337"/>
      <c r="F39" s="337">
        <f>SUM(F26:F37)</f>
        <v>41018</v>
      </c>
      <c r="G39" s="337">
        <f>SUM(G26:G37)</f>
        <v>50018</v>
      </c>
      <c r="H39" s="338"/>
      <c r="I39" s="6"/>
      <c r="J39"/>
    </row>
    <row r="40" spans="2:10" x14ac:dyDescent="0.2">
      <c r="B40" s="6"/>
      <c r="C40" s="6"/>
      <c r="D40" s="6"/>
      <c r="E40" s="6"/>
      <c r="F40" s="6"/>
      <c r="G40" s="6"/>
      <c r="H40" s="126"/>
      <c r="I40" s="6"/>
      <c r="J40"/>
    </row>
    <row r="41" spans="2:10" x14ac:dyDescent="0.2">
      <c r="B41" s="60"/>
      <c r="C41" s="60"/>
      <c r="D41" s="60"/>
      <c r="E41" s="60"/>
      <c r="F41" s="60"/>
      <c r="G41" s="60"/>
      <c r="H41" s="100"/>
      <c r="I41" s="60"/>
      <c r="J41"/>
    </row>
    <row r="42" spans="2:10" x14ac:dyDescent="0.2">
      <c r="B42" s="60"/>
      <c r="C42" s="60"/>
      <c r="D42" s="60"/>
      <c r="E42" s="60"/>
      <c r="F42" s="60"/>
      <c r="G42" s="60"/>
      <c r="H42" s="100"/>
      <c r="I42" s="60"/>
      <c r="J42"/>
    </row>
    <row r="43" spans="2:10" ht="24" x14ac:dyDescent="0.3">
      <c r="B43" s="1079" t="s">
        <v>259</v>
      </c>
      <c r="C43" s="1080"/>
      <c r="D43" s="1080"/>
      <c r="E43" s="1080"/>
      <c r="F43" s="1080"/>
      <c r="G43" s="1080"/>
      <c r="H43" s="1080"/>
      <c r="I43" s="1081"/>
      <c r="J43"/>
    </row>
    <row r="44" spans="2:10" ht="19" x14ac:dyDescent="0.25">
      <c r="B44" s="1082">
        <v>2020</v>
      </c>
      <c r="C44" s="1083"/>
      <c r="D44" s="1083"/>
      <c r="E44" s="1083"/>
      <c r="F44" s="1083"/>
      <c r="G44" s="1083"/>
      <c r="H44" s="1083"/>
      <c r="I44" s="1084"/>
      <c r="J44"/>
    </row>
    <row r="45" spans="2:10" ht="32" x14ac:dyDescent="0.2">
      <c r="B45" s="328"/>
      <c r="C45" s="329" t="s">
        <v>404</v>
      </c>
      <c r="D45" s="329" t="s">
        <v>103</v>
      </c>
      <c r="E45" s="329" t="s">
        <v>405</v>
      </c>
      <c r="F45" s="329" t="s">
        <v>497</v>
      </c>
      <c r="G45" s="329" t="s">
        <v>667</v>
      </c>
      <c r="H45" s="329" t="s">
        <v>678</v>
      </c>
      <c r="I45" s="328" t="s">
        <v>12</v>
      </c>
      <c r="J45"/>
    </row>
    <row r="46" spans="2:10" x14ac:dyDescent="0.2">
      <c r="B46" s="99" t="s">
        <v>146</v>
      </c>
      <c r="C46" s="330" t="s">
        <v>406</v>
      </c>
      <c r="D46" s="7"/>
      <c r="E46" s="230"/>
      <c r="F46" s="7">
        <v>5000</v>
      </c>
      <c r="G46" s="7">
        <v>10000</v>
      </c>
      <c r="H46" s="126">
        <v>2019</v>
      </c>
      <c r="I46" s="7" t="s">
        <v>681</v>
      </c>
      <c r="J46"/>
    </row>
    <row r="47" spans="2:10" x14ac:dyDescent="0.2">
      <c r="B47" s="99" t="s">
        <v>152</v>
      </c>
      <c r="C47" s="332" t="s">
        <v>407</v>
      </c>
      <c r="D47" s="331"/>
      <c r="E47" s="333"/>
      <c r="F47" s="331">
        <v>6000</v>
      </c>
      <c r="G47" s="331">
        <v>12000</v>
      </c>
      <c r="H47" s="334">
        <v>2019</v>
      </c>
      <c r="I47" s="7" t="s">
        <v>681</v>
      </c>
      <c r="J47"/>
    </row>
    <row r="48" spans="2:10" x14ac:dyDescent="0.2">
      <c r="B48" s="99" t="s">
        <v>359</v>
      </c>
      <c r="C48" s="332" t="s">
        <v>409</v>
      </c>
      <c r="D48" s="331"/>
      <c r="E48" s="333"/>
      <c r="F48" s="7">
        <v>2297</v>
      </c>
      <c r="G48" s="7">
        <v>2297</v>
      </c>
      <c r="H48" s="126">
        <v>2020</v>
      </c>
      <c r="I48" s="6" t="s">
        <v>679</v>
      </c>
      <c r="J48"/>
    </row>
    <row r="49" spans="2:12" x14ac:dyDescent="0.2">
      <c r="B49" s="99" t="s">
        <v>294</v>
      </c>
      <c r="C49" s="332" t="s">
        <v>410</v>
      </c>
      <c r="D49" s="331">
        <v>5</v>
      </c>
      <c r="E49" s="333">
        <v>528</v>
      </c>
      <c r="F49" s="7">
        <v>2640</v>
      </c>
      <c r="G49" s="7">
        <v>2640</v>
      </c>
      <c r="H49" s="126">
        <v>2020</v>
      </c>
      <c r="I49" s="6"/>
      <c r="J49"/>
      <c r="L49" s="24" t="e">
        <f>#REF!+#REF!+#REF!+#REF!+G91+G92+G93+G96+G98+G94</f>
        <v>#REF!</v>
      </c>
    </row>
    <row r="50" spans="2:12" x14ac:dyDescent="0.2">
      <c r="B50" s="99" t="s">
        <v>411</v>
      </c>
      <c r="C50" s="332" t="s">
        <v>412</v>
      </c>
      <c r="D50" s="331">
        <v>5</v>
      </c>
      <c r="E50" s="333">
        <v>528</v>
      </c>
      <c r="F50" s="7">
        <v>2640</v>
      </c>
      <c r="G50" s="7">
        <v>2640</v>
      </c>
      <c r="H50" s="126">
        <v>2020</v>
      </c>
      <c r="I50" s="6" t="s">
        <v>680</v>
      </c>
      <c r="J50"/>
    </row>
    <row r="51" spans="2:12" x14ac:dyDescent="0.2">
      <c r="B51" s="99" t="s">
        <v>293</v>
      </c>
      <c r="C51" s="332" t="s">
        <v>413</v>
      </c>
      <c r="D51" s="331"/>
      <c r="E51" s="333"/>
      <c r="F51" s="7">
        <v>2640</v>
      </c>
      <c r="G51" s="7">
        <v>2640</v>
      </c>
      <c r="H51" s="126">
        <v>2020</v>
      </c>
      <c r="I51" s="6" t="s">
        <v>680</v>
      </c>
      <c r="J51"/>
    </row>
    <row r="52" spans="2:12" x14ac:dyDescent="0.2">
      <c r="B52" s="99" t="s">
        <v>415</v>
      </c>
      <c r="C52" s="332" t="s">
        <v>416</v>
      </c>
      <c r="D52" s="331">
        <v>5</v>
      </c>
      <c r="E52" s="333">
        <v>1145</v>
      </c>
      <c r="F52" s="1085">
        <v>8366</v>
      </c>
      <c r="G52" s="1085">
        <v>8366</v>
      </c>
      <c r="H52" s="1088">
        <v>2020</v>
      </c>
      <c r="I52" s="1090" t="s">
        <v>679</v>
      </c>
      <c r="J52"/>
    </row>
    <row r="53" spans="2:12" x14ac:dyDescent="0.2">
      <c r="B53" s="99" t="s">
        <v>295</v>
      </c>
      <c r="C53" s="332" t="s">
        <v>417</v>
      </c>
      <c r="D53" s="331"/>
      <c r="E53" s="333"/>
      <c r="F53" s="1086"/>
      <c r="G53" s="1086"/>
      <c r="H53" s="1089"/>
      <c r="I53" s="1091"/>
      <c r="J53"/>
    </row>
    <row r="54" spans="2:12" x14ac:dyDescent="0.2">
      <c r="B54" s="99" t="s">
        <v>292</v>
      </c>
      <c r="C54" s="332" t="s">
        <v>682</v>
      </c>
      <c r="D54" s="331"/>
      <c r="E54" s="333"/>
      <c r="F54" s="1094">
        <v>4545</v>
      </c>
      <c r="G54" s="1094">
        <v>4545</v>
      </c>
      <c r="H54" s="1092">
        <v>2020</v>
      </c>
      <c r="I54" s="405"/>
      <c r="J54"/>
    </row>
    <row r="55" spans="2:12" x14ac:dyDescent="0.2">
      <c r="B55" s="99" t="s">
        <v>292</v>
      </c>
      <c r="C55" s="332" t="s">
        <v>419</v>
      </c>
      <c r="D55" s="331">
        <v>5</v>
      </c>
      <c r="E55" s="333">
        <v>850</v>
      </c>
      <c r="F55" s="1095"/>
      <c r="G55" s="1095"/>
      <c r="H55" s="1093"/>
      <c r="I55" s="6"/>
      <c r="J55"/>
    </row>
    <row r="56" spans="2:12" x14ac:dyDescent="0.2">
      <c r="B56" s="99" t="s">
        <v>684</v>
      </c>
      <c r="C56" s="332" t="s">
        <v>421</v>
      </c>
      <c r="D56" s="335"/>
      <c r="E56" s="335"/>
      <c r="F56" s="7">
        <v>1890</v>
      </c>
      <c r="G56" s="7">
        <v>1890</v>
      </c>
      <c r="H56" s="126">
        <v>2020</v>
      </c>
      <c r="I56" s="6"/>
      <c r="J56"/>
    </row>
    <row r="57" spans="2:12" x14ac:dyDescent="0.2">
      <c r="B57" s="99" t="s">
        <v>220</v>
      </c>
      <c r="C57" s="330" t="s">
        <v>422</v>
      </c>
      <c r="D57" s="7"/>
      <c r="E57" s="230"/>
      <c r="F57" s="7">
        <v>5000</v>
      </c>
      <c r="G57" s="7">
        <v>5000</v>
      </c>
      <c r="H57" s="126">
        <v>2020</v>
      </c>
      <c r="I57" s="6" t="s">
        <v>683</v>
      </c>
      <c r="J57"/>
    </row>
    <row r="58" spans="2:12" ht="16" x14ac:dyDescent="0.2">
      <c r="B58" s="336" t="s">
        <v>57</v>
      </c>
      <c r="C58" s="337"/>
      <c r="D58" s="337"/>
      <c r="E58" s="337"/>
      <c r="F58" s="337">
        <f>SUM(F46:F57)</f>
        <v>41018</v>
      </c>
      <c r="G58" s="337">
        <f>SUM(G46:G57)</f>
        <v>52018</v>
      </c>
      <c r="H58" s="338"/>
      <c r="I58" s="6"/>
      <c r="J58"/>
    </row>
    <row r="59" spans="2:12" x14ac:dyDescent="0.2">
      <c r="B59" s="6"/>
      <c r="C59" s="6"/>
      <c r="D59" s="6"/>
      <c r="E59" s="6"/>
      <c r="F59" s="6"/>
      <c r="G59" s="6"/>
      <c r="H59" s="126"/>
      <c r="I59" s="6"/>
      <c r="J59"/>
    </row>
    <row r="60" spans="2:12" x14ac:dyDescent="0.2">
      <c r="B60" s="60"/>
      <c r="C60" s="60"/>
      <c r="D60" s="60"/>
      <c r="E60" s="60"/>
      <c r="F60" s="60"/>
      <c r="G60" s="60"/>
      <c r="H60" s="100"/>
      <c r="I60" s="60"/>
      <c r="J60"/>
    </row>
    <row r="61" spans="2:12" x14ac:dyDescent="0.2">
      <c r="J61"/>
    </row>
    <row r="62" spans="2:12" x14ac:dyDescent="0.2">
      <c r="B62" s="60"/>
      <c r="C62" s="60"/>
      <c r="D62" s="60"/>
      <c r="E62" s="60"/>
      <c r="F62" s="60"/>
      <c r="G62" s="60"/>
      <c r="H62" s="100"/>
      <c r="I62" s="60"/>
      <c r="J62"/>
    </row>
    <row r="63" spans="2:12" ht="24" x14ac:dyDescent="0.3">
      <c r="B63" s="1087" t="s">
        <v>259</v>
      </c>
      <c r="C63" s="1087"/>
      <c r="D63" s="1087"/>
      <c r="E63" s="1087"/>
      <c r="F63" s="1087"/>
      <c r="G63" s="1087"/>
      <c r="H63" s="1087"/>
      <c r="I63" s="1087"/>
      <c r="J63"/>
    </row>
    <row r="64" spans="2:12" ht="19" x14ac:dyDescent="0.25">
      <c r="B64" s="1096">
        <v>2019</v>
      </c>
      <c r="C64" s="1096"/>
      <c r="D64" s="1096"/>
      <c r="E64" s="1096"/>
      <c r="F64" s="1096"/>
      <c r="G64" s="1096"/>
      <c r="H64" s="1096"/>
      <c r="I64" s="1096"/>
      <c r="J64"/>
    </row>
    <row r="65" spans="1:10" ht="32" x14ac:dyDescent="0.2">
      <c r="B65" s="158"/>
      <c r="C65" s="159" t="s">
        <v>404</v>
      </c>
      <c r="D65" s="159" t="s">
        <v>103</v>
      </c>
      <c r="E65" s="159" t="s">
        <v>405</v>
      </c>
      <c r="F65" s="159" t="s">
        <v>397</v>
      </c>
      <c r="G65" s="159" t="s">
        <v>497</v>
      </c>
      <c r="H65" s="159"/>
      <c r="I65" s="158" t="s">
        <v>12</v>
      </c>
      <c r="J65"/>
    </row>
    <row r="66" spans="1:10" x14ac:dyDescent="0.2">
      <c r="B66" s="23" t="s">
        <v>146</v>
      </c>
      <c r="C66" s="160" t="s">
        <v>406</v>
      </c>
      <c r="D66" s="24"/>
      <c r="E66" s="10"/>
      <c r="F66" s="24">
        <v>5000</v>
      </c>
      <c r="G66" s="24">
        <v>5000</v>
      </c>
      <c r="H66" s="160"/>
      <c r="I66" s="24" t="s">
        <v>221</v>
      </c>
      <c r="J66"/>
    </row>
    <row r="67" spans="1:10" x14ac:dyDescent="0.2">
      <c r="A67" s="158"/>
      <c r="B67" s="23" t="s">
        <v>152</v>
      </c>
      <c r="C67" s="163" t="s">
        <v>407</v>
      </c>
      <c r="D67" s="162"/>
      <c r="E67" s="164"/>
      <c r="F67" s="166">
        <v>6000</v>
      </c>
      <c r="G67" s="166">
        <v>6000</v>
      </c>
      <c r="H67" s="165"/>
      <c r="I67" t="s">
        <v>221</v>
      </c>
      <c r="J67"/>
    </row>
    <row r="68" spans="1:10" x14ac:dyDescent="0.2">
      <c r="B68" s="23" t="s">
        <v>156</v>
      </c>
      <c r="C68" s="160" t="s">
        <v>408</v>
      </c>
      <c r="D68" s="24"/>
      <c r="E68" s="10"/>
      <c r="F68" s="24">
        <v>2000</v>
      </c>
      <c r="G68" s="24">
        <v>2000</v>
      </c>
      <c r="H68" s="160"/>
      <c r="I68" t="s">
        <v>260</v>
      </c>
      <c r="J68"/>
    </row>
    <row r="69" spans="1:10" x14ac:dyDescent="0.2">
      <c r="B69" s="23" t="s">
        <v>359</v>
      </c>
      <c r="C69" s="160" t="s">
        <v>409</v>
      </c>
      <c r="D69" s="24"/>
      <c r="E69" s="10"/>
      <c r="F69" s="24">
        <v>2297</v>
      </c>
      <c r="G69" s="24">
        <v>2297</v>
      </c>
      <c r="H69" s="160"/>
      <c r="J69"/>
    </row>
    <row r="70" spans="1:10" x14ac:dyDescent="0.2">
      <c r="B70" s="23" t="s">
        <v>294</v>
      </c>
      <c r="C70" s="163" t="s">
        <v>410</v>
      </c>
      <c r="D70" s="162">
        <v>5</v>
      </c>
      <c r="E70" s="164">
        <v>528</v>
      </c>
      <c r="F70" s="24">
        <v>2640</v>
      </c>
      <c r="G70" s="24">
        <v>2640</v>
      </c>
      <c r="H70" s="160"/>
      <c r="I70" t="s">
        <v>351</v>
      </c>
      <c r="J70"/>
    </row>
    <row r="71" spans="1:10" x14ac:dyDescent="0.2">
      <c r="B71" s="23" t="s">
        <v>411</v>
      </c>
      <c r="C71" s="160" t="s">
        <v>412</v>
      </c>
      <c r="D71" s="24">
        <v>5</v>
      </c>
      <c r="E71" s="10">
        <v>528</v>
      </c>
      <c r="F71" s="24">
        <v>2640</v>
      </c>
      <c r="G71" s="24">
        <v>2640</v>
      </c>
      <c r="H71" s="160"/>
      <c r="J71"/>
    </row>
    <row r="72" spans="1:10" x14ac:dyDescent="0.2">
      <c r="B72" s="23" t="s">
        <v>293</v>
      </c>
      <c r="C72" s="160" t="s">
        <v>413</v>
      </c>
      <c r="D72" s="24"/>
      <c r="E72" s="10"/>
      <c r="F72" s="24">
        <v>2640</v>
      </c>
      <c r="G72" s="24">
        <v>2640</v>
      </c>
      <c r="H72" s="160"/>
      <c r="I72" t="s">
        <v>414</v>
      </c>
      <c r="J72"/>
    </row>
    <row r="73" spans="1:10" x14ac:dyDescent="0.2">
      <c r="B73" s="23" t="s">
        <v>415</v>
      </c>
      <c r="C73" s="163" t="s">
        <v>416</v>
      </c>
      <c r="D73" s="162">
        <v>5</v>
      </c>
      <c r="E73" s="164">
        <v>1145</v>
      </c>
      <c r="F73" s="167">
        <v>5725</v>
      </c>
      <c r="G73" s="1097">
        <v>8366</v>
      </c>
      <c r="H73" s="406"/>
      <c r="I73" s="161"/>
      <c r="J73"/>
    </row>
    <row r="74" spans="1:10" x14ac:dyDescent="0.2">
      <c r="B74" s="23" t="s">
        <v>295</v>
      </c>
      <c r="C74" s="160" t="s">
        <v>417</v>
      </c>
      <c r="D74" s="24"/>
      <c r="E74" s="10"/>
      <c r="F74" s="24">
        <v>3900</v>
      </c>
      <c r="G74" s="1097"/>
      <c r="H74" s="406"/>
      <c r="I74" t="s">
        <v>418</v>
      </c>
      <c r="J74"/>
    </row>
    <row r="75" spans="1:10" x14ac:dyDescent="0.2">
      <c r="B75" s="23" t="s">
        <v>292</v>
      </c>
      <c r="C75" s="160" t="s">
        <v>419</v>
      </c>
      <c r="D75" s="24">
        <v>5</v>
      </c>
      <c r="E75" s="10">
        <v>850</v>
      </c>
      <c r="F75" s="24">
        <v>4250</v>
      </c>
      <c r="G75" s="24">
        <v>4250</v>
      </c>
      <c r="H75" s="160"/>
      <c r="J75"/>
    </row>
    <row r="76" spans="1:10" x14ac:dyDescent="0.2">
      <c r="B76" s="23" t="s">
        <v>504</v>
      </c>
      <c r="C76" s="163" t="s">
        <v>421</v>
      </c>
      <c r="F76" s="24"/>
      <c r="G76" s="24">
        <v>1890</v>
      </c>
      <c r="H76" s="160"/>
      <c r="I76" t="s">
        <v>457</v>
      </c>
      <c r="J76"/>
    </row>
    <row r="77" spans="1:10" x14ac:dyDescent="0.2">
      <c r="A77" s="161"/>
      <c r="B77" s="23" t="s">
        <v>220</v>
      </c>
      <c r="C77" s="160" t="s">
        <v>422</v>
      </c>
      <c r="D77" s="24"/>
      <c r="E77" s="10"/>
      <c r="F77" s="24">
        <v>4600</v>
      </c>
      <c r="G77" s="24">
        <v>5000</v>
      </c>
      <c r="H77" s="160"/>
      <c r="J77"/>
    </row>
    <row r="78" spans="1:10" ht="16" x14ac:dyDescent="0.2">
      <c r="B78" s="61" t="s">
        <v>57</v>
      </c>
      <c r="C78" s="62"/>
      <c r="D78" s="62"/>
      <c r="E78" s="62"/>
      <c r="F78" s="62">
        <f>SUM(F66:F77)</f>
        <v>41692</v>
      </c>
      <c r="G78" s="62">
        <f>SUM(G66:G77)</f>
        <v>42723</v>
      </c>
      <c r="H78" s="168"/>
      <c r="J78"/>
    </row>
    <row r="79" spans="1:10" x14ac:dyDescent="0.2">
      <c r="J79"/>
    </row>
    <row r="80" spans="1:10" x14ac:dyDescent="0.2">
      <c r="B80" s="60"/>
      <c r="C80" s="60"/>
      <c r="D80" s="60"/>
      <c r="E80" s="60"/>
      <c r="F80" s="60"/>
      <c r="G80" s="60"/>
      <c r="H80" s="100"/>
      <c r="I80" s="60"/>
      <c r="J80"/>
    </row>
    <row r="81" spans="2:10" x14ac:dyDescent="0.2">
      <c r="J81"/>
    </row>
    <row r="82" spans="2:10" x14ac:dyDescent="0.2">
      <c r="J82"/>
    </row>
    <row r="83" spans="2:10" x14ac:dyDescent="0.2">
      <c r="B83" s="60"/>
      <c r="C83" s="60"/>
      <c r="D83" s="60"/>
      <c r="E83" s="60"/>
      <c r="F83" s="60"/>
      <c r="G83" s="60"/>
      <c r="H83" s="100"/>
      <c r="I83" s="60"/>
      <c r="J83"/>
    </row>
    <row r="84" spans="2:10" ht="24" x14ac:dyDescent="0.3">
      <c r="B84" s="1087" t="s">
        <v>259</v>
      </c>
      <c r="C84" s="1087"/>
      <c r="D84" s="1087"/>
      <c r="E84" s="1087"/>
      <c r="F84" s="1087"/>
      <c r="G84" s="1087"/>
      <c r="H84" s="1087"/>
      <c r="I84" s="1087"/>
      <c r="J84"/>
    </row>
    <row r="85" spans="2:10" ht="19" x14ac:dyDescent="0.25">
      <c r="B85" s="1096">
        <v>2018</v>
      </c>
      <c r="C85" s="1096"/>
      <c r="D85" s="1096"/>
      <c r="E85" s="1096"/>
      <c r="F85" s="1096"/>
      <c r="G85" s="1096"/>
      <c r="H85" s="1096"/>
      <c r="I85" s="1096"/>
      <c r="J85"/>
    </row>
    <row r="86" spans="2:10" ht="32" x14ac:dyDescent="0.2">
      <c r="B86" s="158"/>
      <c r="C86" s="159" t="s">
        <v>404</v>
      </c>
      <c r="D86" s="159" t="s">
        <v>103</v>
      </c>
      <c r="E86" s="159" t="s">
        <v>405</v>
      </c>
      <c r="F86" s="159"/>
      <c r="G86" s="159" t="s">
        <v>397</v>
      </c>
      <c r="H86" s="159"/>
      <c r="I86" s="158" t="s">
        <v>12</v>
      </c>
      <c r="J86"/>
    </row>
    <row r="87" spans="2:10" x14ac:dyDescent="0.2">
      <c r="B87" t="s">
        <v>146</v>
      </c>
      <c r="C87" s="160" t="s">
        <v>406</v>
      </c>
      <c r="D87" s="24"/>
      <c r="E87" s="10"/>
      <c r="F87" s="24"/>
      <c r="G87" s="24">
        <v>5000</v>
      </c>
      <c r="H87" s="160"/>
      <c r="I87" s="24" t="s">
        <v>221</v>
      </c>
      <c r="J87"/>
    </row>
    <row r="88" spans="2:10" x14ac:dyDescent="0.2">
      <c r="B88" s="161" t="s">
        <v>152</v>
      </c>
      <c r="C88" s="163" t="s">
        <v>407</v>
      </c>
      <c r="D88" s="162"/>
      <c r="E88" s="164"/>
      <c r="F88" s="166"/>
      <c r="G88" s="166">
        <v>6000</v>
      </c>
      <c r="H88" s="165"/>
      <c r="I88" t="s">
        <v>221</v>
      </c>
      <c r="J88"/>
    </row>
    <row r="89" spans="2:10" x14ac:dyDescent="0.2">
      <c r="B89" s="21" t="s">
        <v>156</v>
      </c>
      <c r="C89" s="160" t="s">
        <v>408</v>
      </c>
      <c r="D89" s="24"/>
      <c r="E89" s="10"/>
      <c r="F89" s="24"/>
      <c r="G89" s="24">
        <v>2000</v>
      </c>
      <c r="H89" s="160"/>
      <c r="I89" t="s">
        <v>260</v>
      </c>
      <c r="J89"/>
    </row>
    <row r="90" spans="2:10" x14ac:dyDescent="0.2">
      <c r="B90" s="21" t="s">
        <v>359</v>
      </c>
      <c r="C90" s="160" t="s">
        <v>409</v>
      </c>
      <c r="D90" s="24"/>
      <c r="E90" s="10"/>
      <c r="F90" s="24"/>
      <c r="G90" s="24">
        <v>2297</v>
      </c>
      <c r="H90" s="160"/>
      <c r="J90"/>
    </row>
    <row r="91" spans="2:10" x14ac:dyDescent="0.2">
      <c r="B91" s="161" t="s">
        <v>294</v>
      </c>
      <c r="C91" s="163" t="s">
        <v>410</v>
      </c>
      <c r="D91" s="162">
        <v>5</v>
      </c>
      <c r="E91" s="164">
        <v>528</v>
      </c>
      <c r="F91" s="162"/>
      <c r="G91" s="24">
        <v>2640</v>
      </c>
      <c r="H91" s="160"/>
      <c r="I91" t="s">
        <v>351</v>
      </c>
      <c r="J91"/>
    </row>
    <row r="92" spans="2:10" x14ac:dyDescent="0.2">
      <c r="B92" t="s">
        <v>411</v>
      </c>
      <c r="C92" s="160" t="s">
        <v>412</v>
      </c>
      <c r="D92" s="24">
        <v>5</v>
      </c>
      <c r="E92" s="10">
        <v>528</v>
      </c>
      <c r="F92" s="24"/>
      <c r="G92" s="24">
        <v>2640</v>
      </c>
      <c r="H92" s="160"/>
      <c r="J92"/>
    </row>
    <row r="93" spans="2:10" x14ac:dyDescent="0.2">
      <c r="B93" s="21" t="s">
        <v>293</v>
      </c>
      <c r="C93" s="160" t="s">
        <v>413</v>
      </c>
      <c r="D93" s="24"/>
      <c r="E93" s="10"/>
      <c r="F93" s="24"/>
      <c r="G93" s="24">
        <v>2640</v>
      </c>
      <c r="H93" s="160"/>
      <c r="I93" t="s">
        <v>414</v>
      </c>
      <c r="J93"/>
    </row>
    <row r="94" spans="2:10" x14ac:dyDescent="0.2">
      <c r="B94" s="161" t="s">
        <v>415</v>
      </c>
      <c r="C94" s="163" t="s">
        <v>416</v>
      </c>
      <c r="D94" s="162">
        <v>5</v>
      </c>
      <c r="E94" s="164">
        <v>1145</v>
      </c>
      <c r="F94" s="162"/>
      <c r="G94" s="167">
        <v>5725</v>
      </c>
      <c r="H94" s="327"/>
      <c r="I94" s="161"/>
      <c r="J94"/>
    </row>
    <row r="95" spans="2:10" x14ac:dyDescent="0.2">
      <c r="B95" t="s">
        <v>295</v>
      </c>
      <c r="C95" s="160" t="s">
        <v>417</v>
      </c>
      <c r="D95" s="24"/>
      <c r="E95" s="10"/>
      <c r="F95" s="24"/>
      <c r="G95" s="24">
        <v>3900</v>
      </c>
      <c r="H95" s="160"/>
      <c r="I95" t="s">
        <v>418</v>
      </c>
      <c r="J95"/>
    </row>
    <row r="96" spans="2:10" x14ac:dyDescent="0.2">
      <c r="B96" s="21" t="s">
        <v>292</v>
      </c>
      <c r="C96" s="160" t="s">
        <v>419</v>
      </c>
      <c r="D96" s="24">
        <v>5</v>
      </c>
      <c r="E96" s="10">
        <v>850</v>
      </c>
      <c r="F96" s="24"/>
      <c r="G96" s="24">
        <v>4250</v>
      </c>
      <c r="H96" s="160"/>
      <c r="J96"/>
    </row>
    <row r="97" spans="2:10" x14ac:dyDescent="0.2">
      <c r="B97" t="s">
        <v>420</v>
      </c>
      <c r="C97" s="163" t="s">
        <v>421</v>
      </c>
      <c r="G97" s="24"/>
      <c r="H97" s="160"/>
      <c r="I97" t="s">
        <v>457</v>
      </c>
      <c r="J97"/>
    </row>
    <row r="98" spans="2:10" x14ac:dyDescent="0.2">
      <c r="B98" s="21" t="s">
        <v>220</v>
      </c>
      <c r="C98" s="160" t="s">
        <v>422</v>
      </c>
      <c r="D98" s="24"/>
      <c r="E98" s="10"/>
      <c r="F98" s="24"/>
      <c r="G98" s="24">
        <v>4600</v>
      </c>
      <c r="H98" s="160"/>
      <c r="J98"/>
    </row>
    <row r="99" spans="2:10" ht="16" x14ac:dyDescent="0.2">
      <c r="B99" s="61" t="s">
        <v>57</v>
      </c>
      <c r="C99" s="62"/>
      <c r="D99" s="62"/>
      <c r="E99" s="62"/>
      <c r="F99" s="62"/>
      <c r="G99" s="62">
        <f>SUM(G87:G98)</f>
        <v>41692</v>
      </c>
      <c r="H99" s="168"/>
      <c r="J99"/>
    </row>
    <row r="100" spans="2:10" x14ac:dyDescent="0.2">
      <c r="J100"/>
    </row>
    <row r="101" spans="2:10" x14ac:dyDescent="0.2">
      <c r="B101" s="60"/>
      <c r="C101" s="60"/>
      <c r="D101" s="60"/>
      <c r="E101" s="60"/>
      <c r="F101" s="60"/>
      <c r="G101" s="60"/>
      <c r="H101" s="100"/>
      <c r="I101" s="60"/>
      <c r="J101"/>
    </row>
    <row r="102" spans="2:10" x14ac:dyDescent="0.2">
      <c r="J102"/>
    </row>
    <row r="103" spans="2:10" x14ac:dyDescent="0.2">
      <c r="J103"/>
    </row>
    <row r="104" spans="2:10" x14ac:dyDescent="0.2">
      <c r="J104"/>
    </row>
    <row r="105" spans="2:10" x14ac:dyDescent="0.2">
      <c r="B105" s="60"/>
      <c r="C105" s="60"/>
      <c r="D105" s="60"/>
      <c r="J105"/>
    </row>
    <row r="106" spans="2:10" ht="24" x14ac:dyDescent="0.3">
      <c r="B106" s="1087" t="s">
        <v>259</v>
      </c>
      <c r="C106" s="1087"/>
      <c r="J106"/>
    </row>
    <row r="107" spans="2:10" ht="19" x14ac:dyDescent="0.25">
      <c r="B107" s="1096">
        <v>2017</v>
      </c>
      <c r="C107" s="1096"/>
      <c r="J107"/>
    </row>
    <row r="108" spans="2:10" x14ac:dyDescent="0.2">
      <c r="C108" t="s">
        <v>12</v>
      </c>
      <c r="J108"/>
    </row>
    <row r="109" spans="2:10" x14ac:dyDescent="0.2">
      <c r="B109" t="s">
        <v>146</v>
      </c>
      <c r="C109" s="24" t="s">
        <v>221</v>
      </c>
      <c r="J109"/>
    </row>
    <row r="110" spans="2:10" x14ac:dyDescent="0.2">
      <c r="B110" t="s">
        <v>152</v>
      </c>
      <c r="C110" t="s">
        <v>221</v>
      </c>
      <c r="J110"/>
    </row>
    <row r="111" spans="2:10" x14ac:dyDescent="0.2">
      <c r="B111" t="s">
        <v>156</v>
      </c>
      <c r="C111" t="s">
        <v>260</v>
      </c>
      <c r="J111"/>
    </row>
    <row r="112" spans="2:10" x14ac:dyDescent="0.2">
      <c r="B112" t="s">
        <v>220</v>
      </c>
      <c r="J112"/>
    </row>
    <row r="113" spans="2:10" x14ac:dyDescent="0.2">
      <c r="B113" t="s">
        <v>292</v>
      </c>
      <c r="C113" t="s">
        <v>352</v>
      </c>
      <c r="J113"/>
    </row>
    <row r="114" spans="2:10" x14ac:dyDescent="0.2">
      <c r="B114" t="s">
        <v>293</v>
      </c>
      <c r="C114" t="s">
        <v>351</v>
      </c>
      <c r="J114"/>
    </row>
    <row r="115" spans="2:10" x14ac:dyDescent="0.2">
      <c r="B115" t="s">
        <v>294</v>
      </c>
      <c r="C115" t="s">
        <v>351</v>
      </c>
      <c r="J115"/>
    </row>
    <row r="116" spans="2:10" x14ac:dyDescent="0.2">
      <c r="B116" t="s">
        <v>359</v>
      </c>
      <c r="C116" t="s">
        <v>360</v>
      </c>
      <c r="J116"/>
    </row>
    <row r="117" spans="2:10" x14ac:dyDescent="0.2">
      <c r="B117" t="s">
        <v>295</v>
      </c>
      <c r="C117" t="s">
        <v>386</v>
      </c>
      <c r="J117"/>
    </row>
    <row r="118" spans="2:10" ht="16" x14ac:dyDescent="0.2">
      <c r="B118" s="61" t="s">
        <v>57</v>
      </c>
      <c r="J118"/>
    </row>
    <row r="119" spans="2:10" x14ac:dyDescent="0.2">
      <c r="J119"/>
    </row>
    <row r="120" spans="2:10" x14ac:dyDescent="0.2">
      <c r="B120" s="60"/>
      <c r="C120" s="60"/>
      <c r="D120" s="60"/>
      <c r="J120"/>
    </row>
    <row r="121" spans="2:10" x14ac:dyDescent="0.2">
      <c r="J121"/>
    </row>
    <row r="122" spans="2:10" x14ac:dyDescent="0.2">
      <c r="J122"/>
    </row>
  </sheetData>
  <mergeCells count="32">
    <mergeCell ref="J10:J11"/>
    <mergeCell ref="O10:O11"/>
    <mergeCell ref="P10:P11"/>
    <mergeCell ref="G12:G13"/>
    <mergeCell ref="H12:H13"/>
    <mergeCell ref="O12:O13"/>
    <mergeCell ref="P12:P13"/>
    <mergeCell ref="G52:G53"/>
    <mergeCell ref="H52:H53"/>
    <mergeCell ref="I52:I53"/>
    <mergeCell ref="B107:C107"/>
    <mergeCell ref="B63:I63"/>
    <mergeCell ref="B64:I64"/>
    <mergeCell ref="G73:G74"/>
    <mergeCell ref="B85:I85"/>
    <mergeCell ref="B106:C106"/>
    <mergeCell ref="B23:I23"/>
    <mergeCell ref="B24:I24"/>
    <mergeCell ref="G32:G33"/>
    <mergeCell ref="F32:F33"/>
    <mergeCell ref="B84:I84"/>
    <mergeCell ref="H32:H33"/>
    <mergeCell ref="I32:I33"/>
    <mergeCell ref="H34:H35"/>
    <mergeCell ref="G34:G35"/>
    <mergeCell ref="F34:F35"/>
    <mergeCell ref="B43:I43"/>
    <mergeCell ref="B44:I44"/>
    <mergeCell ref="F54:F55"/>
    <mergeCell ref="G54:G55"/>
    <mergeCell ref="H54:H55"/>
    <mergeCell ref="F52:F53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N56"/>
  <sheetViews>
    <sheetView zoomScale="130" zoomScaleNormal="130" workbookViewId="0">
      <pane ySplit="1" topLeftCell="A12" activePane="bottomLeft" state="frozen"/>
      <selection activeCell="E5" sqref="E5"/>
      <selection pane="bottomLeft" activeCell="E5" sqref="E5"/>
    </sheetView>
  </sheetViews>
  <sheetFormatPr baseColWidth="10" defaultColWidth="8.83203125" defaultRowHeight="15" x14ac:dyDescent="0.2"/>
  <cols>
    <col min="1" max="1" width="16.5" customWidth="1"/>
    <col min="2" max="2" width="29.5" customWidth="1"/>
    <col min="3" max="3" width="13" customWidth="1"/>
    <col min="6" max="6" width="14.1640625" customWidth="1"/>
    <col min="7" max="7" width="41.83203125" style="98" customWidth="1"/>
    <col min="8" max="8" width="16.5" customWidth="1"/>
    <col min="9" max="9" width="14" customWidth="1"/>
    <col min="11" max="11" width="13.1640625" style="153" customWidth="1"/>
    <col min="12" max="12" width="8.83203125" style="23"/>
    <col min="13" max="13" width="14" style="2" customWidth="1"/>
    <col min="14" max="14" width="22" style="63" customWidth="1"/>
  </cols>
  <sheetData>
    <row r="1" spans="1:14" ht="32" x14ac:dyDescent="0.2">
      <c r="A1" s="218" t="s">
        <v>185</v>
      </c>
      <c r="B1" s="219" t="s">
        <v>138</v>
      </c>
      <c r="C1" s="219" t="s">
        <v>139</v>
      </c>
      <c r="D1" s="220" t="s">
        <v>140</v>
      </c>
      <c r="E1" s="221" t="s">
        <v>103</v>
      </c>
      <c r="F1" s="222" t="s">
        <v>141</v>
      </c>
      <c r="G1" s="223" t="s">
        <v>142</v>
      </c>
      <c r="H1" s="222" t="s">
        <v>143</v>
      </c>
      <c r="I1" s="222" t="s">
        <v>144</v>
      </c>
      <c r="J1" s="222" t="s">
        <v>145</v>
      </c>
      <c r="K1" s="224"/>
      <c r="L1" s="225"/>
      <c r="M1" s="290" t="s">
        <v>400</v>
      </c>
      <c r="N1" s="64"/>
    </row>
    <row r="2" spans="1:14" x14ac:dyDescent="0.2">
      <c r="A2" s="226"/>
      <c r="B2" s="227"/>
      <c r="C2" s="228"/>
      <c r="D2" s="229"/>
      <c r="E2" s="230"/>
      <c r="F2" s="7"/>
      <c r="G2" s="295"/>
      <c r="H2" s="7"/>
      <c r="I2" s="7"/>
      <c r="J2" s="7"/>
      <c r="K2" s="152"/>
      <c r="L2" s="99"/>
      <c r="M2"/>
      <c r="N2"/>
    </row>
    <row r="3" spans="1:14" x14ac:dyDescent="0.2">
      <c r="A3" s="323" t="s">
        <v>146</v>
      </c>
      <c r="B3" s="232" t="s">
        <v>147</v>
      </c>
      <c r="C3" s="233" t="s">
        <v>148</v>
      </c>
      <c r="D3" s="234">
        <v>31</v>
      </c>
      <c r="E3" s="235">
        <v>91</v>
      </c>
      <c r="F3" s="236">
        <f>D3*E3</f>
        <v>2821</v>
      </c>
      <c r="G3" s="275" t="s">
        <v>475</v>
      </c>
      <c r="H3" s="236">
        <v>3865</v>
      </c>
      <c r="I3" s="237">
        <f>H3*1.05</f>
        <v>4058.25</v>
      </c>
      <c r="J3" s="237">
        <f>I3*1.05</f>
        <v>4261.1625000000004</v>
      </c>
      <c r="K3" s="152"/>
      <c r="L3" s="99" t="s">
        <v>222</v>
      </c>
      <c r="M3" s="2">
        <v>3681</v>
      </c>
      <c r="N3"/>
    </row>
    <row r="4" spans="1:14" x14ac:dyDescent="0.2">
      <c r="A4" s="323" t="s">
        <v>146</v>
      </c>
      <c r="B4" s="238" t="s">
        <v>147</v>
      </c>
      <c r="C4" s="233" t="s">
        <v>149</v>
      </c>
      <c r="D4" s="234">
        <v>30</v>
      </c>
      <c r="E4" s="235">
        <v>91</v>
      </c>
      <c r="F4" s="236">
        <f t="shared" ref="F4:F8" si="0">D4*E4</f>
        <v>2730</v>
      </c>
      <c r="G4" s="296" t="s">
        <v>476</v>
      </c>
      <c r="H4" s="236">
        <f>F4</f>
        <v>2730</v>
      </c>
      <c r="I4" s="237">
        <f t="shared" ref="I4:J8" si="1">H4*1.05</f>
        <v>2866.5</v>
      </c>
      <c r="J4" s="237">
        <f t="shared" si="1"/>
        <v>3009.8250000000003</v>
      </c>
      <c r="K4" s="152"/>
      <c r="L4" s="99" t="s">
        <v>222</v>
      </c>
      <c r="M4" s="2">
        <v>1737</v>
      </c>
      <c r="N4"/>
    </row>
    <row r="5" spans="1:14" x14ac:dyDescent="0.2">
      <c r="A5" s="324" t="s">
        <v>153</v>
      </c>
      <c r="B5" s="232" t="s">
        <v>147</v>
      </c>
      <c r="C5" s="233" t="s">
        <v>148</v>
      </c>
      <c r="D5" s="234">
        <v>32</v>
      </c>
      <c r="E5" s="235">
        <v>91</v>
      </c>
      <c r="F5" s="236">
        <f t="shared" si="0"/>
        <v>2912</v>
      </c>
      <c r="G5" s="275" t="s">
        <v>475</v>
      </c>
      <c r="H5" s="236">
        <v>3865</v>
      </c>
      <c r="I5" s="237">
        <f t="shared" si="1"/>
        <v>4058.25</v>
      </c>
      <c r="J5" s="237">
        <f t="shared" si="1"/>
        <v>4261.1625000000004</v>
      </c>
      <c r="K5" s="152"/>
      <c r="L5" s="99" t="s">
        <v>222</v>
      </c>
      <c r="M5" s="2">
        <v>3865</v>
      </c>
      <c r="N5"/>
    </row>
    <row r="6" spans="1:14" x14ac:dyDescent="0.2">
      <c r="A6" s="323" t="s">
        <v>155</v>
      </c>
      <c r="B6" s="232" t="s">
        <v>147</v>
      </c>
      <c r="C6" s="233" t="s">
        <v>148</v>
      </c>
      <c r="D6" s="234">
        <v>32</v>
      </c>
      <c r="E6" s="235">
        <v>91</v>
      </c>
      <c r="F6" s="236">
        <f t="shared" si="0"/>
        <v>2912</v>
      </c>
      <c r="G6" s="275" t="s">
        <v>475</v>
      </c>
      <c r="H6" s="236">
        <v>3865</v>
      </c>
      <c r="I6" s="237">
        <f t="shared" si="1"/>
        <v>4058.25</v>
      </c>
      <c r="J6" s="237">
        <f t="shared" si="1"/>
        <v>4261.1625000000004</v>
      </c>
      <c r="K6" s="152"/>
      <c r="L6" s="99" t="s">
        <v>222</v>
      </c>
      <c r="M6" s="2">
        <v>3162</v>
      </c>
      <c r="N6"/>
    </row>
    <row r="7" spans="1:14" x14ac:dyDescent="0.2">
      <c r="A7" s="324" t="s">
        <v>159</v>
      </c>
      <c r="B7" s="238" t="s">
        <v>147</v>
      </c>
      <c r="C7" s="242" t="s">
        <v>148</v>
      </c>
      <c r="D7" s="243">
        <v>31</v>
      </c>
      <c r="E7" s="235">
        <v>91</v>
      </c>
      <c r="F7" s="236">
        <f t="shared" si="0"/>
        <v>2821</v>
      </c>
      <c r="G7" s="275" t="s">
        <v>475</v>
      </c>
      <c r="H7" s="236">
        <v>3865</v>
      </c>
      <c r="I7" s="237">
        <f t="shared" si="1"/>
        <v>4058.25</v>
      </c>
      <c r="J7" s="237">
        <f t="shared" si="1"/>
        <v>4261.1625000000004</v>
      </c>
      <c r="K7" s="152"/>
      <c r="L7" s="99" t="s">
        <v>222</v>
      </c>
      <c r="M7" s="2">
        <v>4492</v>
      </c>
      <c r="N7" s="63">
        <v>377</v>
      </c>
    </row>
    <row r="8" spans="1:14" x14ac:dyDescent="0.2">
      <c r="A8" s="323" t="s">
        <v>157</v>
      </c>
      <c r="B8" s="232" t="s">
        <v>151</v>
      </c>
      <c r="C8" s="233" t="s">
        <v>148</v>
      </c>
      <c r="D8" s="234">
        <v>18</v>
      </c>
      <c r="E8" s="235">
        <v>91</v>
      </c>
      <c r="F8" s="236">
        <f t="shared" si="0"/>
        <v>1638</v>
      </c>
      <c r="G8" s="275" t="s">
        <v>477</v>
      </c>
      <c r="H8" s="236">
        <v>1500</v>
      </c>
      <c r="I8" s="237">
        <f t="shared" si="1"/>
        <v>1575</v>
      </c>
      <c r="J8" s="237">
        <f t="shared" si="1"/>
        <v>1653.75</v>
      </c>
      <c r="K8" s="152"/>
      <c r="L8" s="99" t="s">
        <v>222</v>
      </c>
      <c r="M8" s="2">
        <v>1500</v>
      </c>
      <c r="N8" s="63">
        <v>205</v>
      </c>
    </row>
    <row r="9" spans="1:14" ht="19" x14ac:dyDescent="0.25">
      <c r="A9" s="244" t="s">
        <v>162</v>
      </c>
      <c r="B9" s="245" t="s">
        <v>147</v>
      </c>
      <c r="C9" s="246"/>
      <c r="D9" s="247"/>
      <c r="E9" s="248"/>
      <c r="F9" s="249"/>
      <c r="G9" s="297"/>
      <c r="H9" s="249">
        <f>SUM(H3:H8)</f>
        <v>19690</v>
      </c>
      <c r="I9" s="7"/>
      <c r="J9" s="7"/>
      <c r="K9" s="250"/>
      <c r="L9" s="251"/>
      <c r="M9" s="252">
        <f>SUM(M3:M8)</f>
        <v>18437</v>
      </c>
      <c r="N9" s="253"/>
    </row>
    <row r="10" spans="1:14" x14ac:dyDescent="0.2">
      <c r="A10" s="323" t="s">
        <v>150</v>
      </c>
      <c r="B10" s="232" t="s">
        <v>151</v>
      </c>
      <c r="C10" s="233" t="s">
        <v>148</v>
      </c>
      <c r="D10" s="234">
        <v>24</v>
      </c>
      <c r="E10" s="235">
        <v>137</v>
      </c>
      <c r="F10" s="236">
        <f>D10*E10</f>
        <v>3288</v>
      </c>
      <c r="G10" s="275" t="s">
        <v>475</v>
      </c>
      <c r="H10" s="236">
        <v>5154</v>
      </c>
      <c r="I10" s="237">
        <f t="shared" ref="I10:J14" si="2">H10*1.05</f>
        <v>5411.7</v>
      </c>
      <c r="J10" s="237">
        <f t="shared" si="2"/>
        <v>5682.2849999999999</v>
      </c>
      <c r="K10" s="152"/>
      <c r="L10" s="99" t="s">
        <v>222</v>
      </c>
      <c r="M10" s="2">
        <v>5154</v>
      </c>
      <c r="N10"/>
    </row>
    <row r="11" spans="1:14" x14ac:dyDescent="0.2">
      <c r="A11" s="323" t="s">
        <v>478</v>
      </c>
      <c r="B11" s="232" t="s">
        <v>151</v>
      </c>
      <c r="C11" s="233" t="s">
        <v>148</v>
      </c>
      <c r="D11" s="234">
        <v>22</v>
      </c>
      <c r="E11" s="235">
        <v>137</v>
      </c>
      <c r="F11" s="236">
        <f t="shared" ref="F11:F14" si="3">D11*E11</f>
        <v>3014</v>
      </c>
      <c r="G11" s="275" t="s">
        <v>475</v>
      </c>
      <c r="H11" s="236">
        <v>5154</v>
      </c>
      <c r="I11" s="237">
        <f t="shared" si="2"/>
        <v>5411.7</v>
      </c>
      <c r="J11" s="237">
        <f t="shared" si="2"/>
        <v>5682.2849999999999</v>
      </c>
      <c r="K11" s="152"/>
      <c r="L11" s="99" t="s">
        <v>222</v>
      </c>
      <c r="M11" s="2">
        <v>5154</v>
      </c>
      <c r="N11"/>
    </row>
    <row r="12" spans="1:14" x14ac:dyDescent="0.2">
      <c r="A12" s="324" t="s">
        <v>152</v>
      </c>
      <c r="B12" s="238" t="s">
        <v>151</v>
      </c>
      <c r="C12" s="242" t="s">
        <v>148</v>
      </c>
      <c r="D12" s="243">
        <v>36</v>
      </c>
      <c r="E12" s="235">
        <v>137</v>
      </c>
      <c r="F12" s="236">
        <f t="shared" si="3"/>
        <v>4932</v>
      </c>
      <c r="G12" s="275" t="s">
        <v>475</v>
      </c>
      <c r="H12" s="236">
        <v>5154</v>
      </c>
      <c r="I12" s="237">
        <f t="shared" si="2"/>
        <v>5411.7</v>
      </c>
      <c r="J12" s="237">
        <f t="shared" si="2"/>
        <v>5682.2849999999999</v>
      </c>
      <c r="K12" s="152"/>
      <c r="L12" s="99" t="s">
        <v>222</v>
      </c>
      <c r="M12" s="1104">
        <v>7654</v>
      </c>
      <c r="N12"/>
    </row>
    <row r="13" spans="1:14" x14ac:dyDescent="0.2">
      <c r="A13" s="324" t="s">
        <v>160</v>
      </c>
      <c r="B13" s="238" t="s">
        <v>151</v>
      </c>
      <c r="C13" s="242" t="s">
        <v>149</v>
      </c>
      <c r="D13" s="243">
        <v>23</v>
      </c>
      <c r="E13" s="235">
        <v>137</v>
      </c>
      <c r="F13" s="236">
        <f t="shared" si="3"/>
        <v>3151</v>
      </c>
      <c r="G13" s="296" t="s">
        <v>476</v>
      </c>
      <c r="H13" s="236">
        <f>F13</f>
        <v>3151</v>
      </c>
      <c r="I13" s="237">
        <f t="shared" si="2"/>
        <v>3308.55</v>
      </c>
      <c r="J13" s="237">
        <f t="shared" si="2"/>
        <v>3473.9775000000004</v>
      </c>
      <c r="K13" s="152"/>
      <c r="L13" s="99" t="s">
        <v>222</v>
      </c>
      <c r="M13" s="1104"/>
      <c r="N13"/>
    </row>
    <row r="14" spans="1:14" x14ac:dyDescent="0.2">
      <c r="A14" s="323" t="s">
        <v>156</v>
      </c>
      <c r="B14" s="232" t="s">
        <v>151</v>
      </c>
      <c r="C14" s="233" t="s">
        <v>148</v>
      </c>
      <c r="D14" s="234">
        <v>28</v>
      </c>
      <c r="E14" s="235">
        <v>137</v>
      </c>
      <c r="F14" s="236">
        <f t="shared" si="3"/>
        <v>3836</v>
      </c>
      <c r="G14" s="275" t="s">
        <v>475</v>
      </c>
      <c r="H14" s="236">
        <v>5154</v>
      </c>
      <c r="I14" s="237">
        <f t="shared" si="2"/>
        <v>5411.7</v>
      </c>
      <c r="J14" s="237">
        <f t="shared" si="2"/>
        <v>5682.2849999999999</v>
      </c>
      <c r="K14" s="152"/>
      <c r="L14" s="99" t="s">
        <v>222</v>
      </c>
      <c r="M14">
        <v>5154</v>
      </c>
      <c r="N14"/>
    </row>
    <row r="15" spans="1:14" ht="21" x14ac:dyDescent="0.25">
      <c r="A15" s="254" t="s">
        <v>162</v>
      </c>
      <c r="B15" s="255" t="s">
        <v>151</v>
      </c>
      <c r="C15" s="256"/>
      <c r="D15" s="257"/>
      <c r="E15" s="258"/>
      <c r="F15" s="259"/>
      <c r="G15" s="298"/>
      <c r="H15" s="260">
        <f>SUM(H10:H14)</f>
        <v>23767</v>
      </c>
      <c r="I15" s="7"/>
      <c r="J15" s="7"/>
      <c r="K15" s="261"/>
      <c r="L15" s="262"/>
      <c r="M15" s="263">
        <f>SUM(M10:M14)</f>
        <v>23116</v>
      </c>
      <c r="N15" s="264"/>
    </row>
    <row r="16" spans="1:14" ht="24" x14ac:dyDescent="0.3">
      <c r="A16" s="265" t="s">
        <v>163</v>
      </c>
      <c r="B16" s="266" t="s">
        <v>164</v>
      </c>
      <c r="C16" s="267"/>
      <c r="D16" s="268"/>
      <c r="E16" s="269"/>
      <c r="F16" s="270"/>
      <c r="G16" s="299"/>
      <c r="H16" s="270">
        <f>H9+H15</f>
        <v>43457</v>
      </c>
      <c r="I16" s="7"/>
      <c r="J16" s="7"/>
      <c r="K16" s="271"/>
      <c r="L16" s="272"/>
      <c r="M16" s="273">
        <f>M9+M15</f>
        <v>41553</v>
      </c>
      <c r="N16" s="274"/>
    </row>
    <row r="17" spans="1:14" ht="24" x14ac:dyDescent="0.3">
      <c r="A17" s="265"/>
      <c r="B17" s="266"/>
      <c r="C17" s="267"/>
      <c r="D17" s="268"/>
      <c r="E17" s="269"/>
      <c r="F17" s="270"/>
      <c r="G17" s="299"/>
      <c r="H17" s="302" t="s">
        <v>544</v>
      </c>
      <c r="I17" s="303" t="s">
        <v>545</v>
      </c>
      <c r="J17" s="303" t="s">
        <v>546</v>
      </c>
      <c r="K17" s="271"/>
      <c r="L17" s="272"/>
      <c r="M17" s="273"/>
      <c r="N17" s="274"/>
    </row>
    <row r="18" spans="1:14" x14ac:dyDescent="0.2">
      <c r="A18" s="324" t="s">
        <v>353</v>
      </c>
      <c r="B18" s="241" t="s">
        <v>168</v>
      </c>
      <c r="C18" s="300" t="s">
        <v>148</v>
      </c>
      <c r="D18" s="301">
        <v>28</v>
      </c>
      <c r="E18" s="235">
        <v>65</v>
      </c>
      <c r="F18" s="236">
        <f>D18*E18</f>
        <v>1820</v>
      </c>
      <c r="G18" s="275" t="s">
        <v>475</v>
      </c>
      <c r="H18" s="236">
        <v>2735</v>
      </c>
      <c r="I18" s="237">
        <f t="shared" ref="I18:J30" si="4">H18*1.05</f>
        <v>2871.75</v>
      </c>
      <c r="J18" s="237">
        <f t="shared" si="4"/>
        <v>3015.3375000000001</v>
      </c>
      <c r="K18" s="276" t="s">
        <v>538</v>
      </c>
      <c r="L18" s="99"/>
      <c r="M18" s="291">
        <v>2735</v>
      </c>
      <c r="N18"/>
    </row>
    <row r="19" spans="1:14" x14ac:dyDescent="0.2">
      <c r="A19" s="323" t="s">
        <v>384</v>
      </c>
      <c r="B19" s="231" t="s">
        <v>168</v>
      </c>
      <c r="C19" s="233" t="s">
        <v>148</v>
      </c>
      <c r="D19" s="231">
        <v>25</v>
      </c>
      <c r="E19" s="235">
        <v>65</v>
      </c>
      <c r="F19" s="236">
        <f t="shared" ref="F19:F30" si="5">D19*E19</f>
        <v>1625</v>
      </c>
      <c r="G19" s="275" t="s">
        <v>475</v>
      </c>
      <c r="H19" s="236">
        <v>2735</v>
      </c>
      <c r="I19" s="237">
        <f t="shared" si="4"/>
        <v>2871.75</v>
      </c>
      <c r="J19" s="237">
        <f t="shared" si="4"/>
        <v>3015.3375000000001</v>
      </c>
      <c r="K19" s="276"/>
      <c r="L19" s="99" t="s">
        <v>222</v>
      </c>
      <c r="M19">
        <v>2735</v>
      </c>
      <c r="N19"/>
    </row>
    <row r="20" spans="1:14" x14ac:dyDescent="0.2">
      <c r="A20" s="323" t="s">
        <v>167</v>
      </c>
      <c r="B20" s="231" t="s">
        <v>168</v>
      </c>
      <c r="C20" s="233" t="s">
        <v>148</v>
      </c>
      <c r="D20" s="231">
        <v>25</v>
      </c>
      <c r="E20" s="235">
        <v>65</v>
      </c>
      <c r="F20" s="236">
        <f t="shared" si="5"/>
        <v>1625</v>
      </c>
      <c r="G20" s="275" t="s">
        <v>475</v>
      </c>
      <c r="H20" s="236">
        <v>2735</v>
      </c>
      <c r="I20" s="237">
        <f t="shared" si="4"/>
        <v>2871.75</v>
      </c>
      <c r="J20" s="237">
        <f t="shared" si="4"/>
        <v>3015.3375000000001</v>
      </c>
      <c r="K20" s="276"/>
      <c r="L20" s="99" t="s">
        <v>222</v>
      </c>
      <c r="M20" s="2">
        <v>2871</v>
      </c>
    </row>
    <row r="21" spans="1:14" x14ac:dyDescent="0.2">
      <c r="A21" s="323" t="s">
        <v>169</v>
      </c>
      <c r="B21" s="231" t="s">
        <v>168</v>
      </c>
      <c r="C21" s="233" t="s">
        <v>166</v>
      </c>
      <c r="D21" s="231">
        <v>36</v>
      </c>
      <c r="E21" s="235">
        <v>100</v>
      </c>
      <c r="F21" s="236">
        <f t="shared" si="5"/>
        <v>3600</v>
      </c>
      <c r="G21" s="275" t="s">
        <v>479</v>
      </c>
      <c r="H21" s="236">
        <f>F21</f>
        <v>3600</v>
      </c>
      <c r="I21" s="237">
        <f t="shared" si="4"/>
        <v>3780</v>
      </c>
      <c r="J21" s="237">
        <f t="shared" si="4"/>
        <v>3969</v>
      </c>
      <c r="K21" s="276"/>
      <c r="L21" s="99" t="s">
        <v>222</v>
      </c>
      <c r="M21" s="1104">
        <v>5225</v>
      </c>
    </row>
    <row r="22" spans="1:14" x14ac:dyDescent="0.2">
      <c r="A22" s="323" t="s">
        <v>169</v>
      </c>
      <c r="B22" s="231" t="s">
        <v>263</v>
      </c>
      <c r="C22" s="233" t="s">
        <v>264</v>
      </c>
      <c r="D22" s="231">
        <v>25</v>
      </c>
      <c r="E22" s="235">
        <v>65</v>
      </c>
      <c r="F22" s="236">
        <f t="shared" si="5"/>
        <v>1625</v>
      </c>
      <c r="G22" s="296" t="s">
        <v>476</v>
      </c>
      <c r="H22" s="236">
        <f>F22</f>
        <v>1625</v>
      </c>
      <c r="I22" s="237">
        <f t="shared" si="4"/>
        <v>1706.25</v>
      </c>
      <c r="J22" s="237">
        <f t="shared" si="4"/>
        <v>1791.5625</v>
      </c>
      <c r="K22" s="276"/>
      <c r="L22" s="99" t="s">
        <v>222</v>
      </c>
      <c r="M22" s="1104"/>
      <c r="N22"/>
    </row>
    <row r="23" spans="1:14" x14ac:dyDescent="0.2">
      <c r="A23" s="323" t="s">
        <v>154</v>
      </c>
      <c r="B23" s="231" t="s">
        <v>263</v>
      </c>
      <c r="C23" s="233" t="s">
        <v>148</v>
      </c>
      <c r="D23" s="234">
        <v>24</v>
      </c>
      <c r="E23" s="235">
        <v>65</v>
      </c>
      <c r="F23" s="236">
        <f t="shared" si="5"/>
        <v>1560</v>
      </c>
      <c r="G23" s="275" t="s">
        <v>475</v>
      </c>
      <c r="H23" s="236">
        <v>2735</v>
      </c>
      <c r="I23" s="237">
        <f t="shared" si="4"/>
        <v>2871.75</v>
      </c>
      <c r="J23" s="237">
        <f t="shared" si="4"/>
        <v>3015.3375000000001</v>
      </c>
      <c r="K23" s="276"/>
      <c r="L23" s="99" t="s">
        <v>222</v>
      </c>
      <c r="M23" s="2">
        <v>2735</v>
      </c>
      <c r="N23"/>
    </row>
    <row r="24" spans="1:14" x14ac:dyDescent="0.2">
      <c r="A24" s="323" t="s">
        <v>171</v>
      </c>
      <c r="B24" s="231" t="s">
        <v>168</v>
      </c>
      <c r="C24" s="233" t="s">
        <v>148</v>
      </c>
      <c r="D24" s="231">
        <v>31</v>
      </c>
      <c r="E24" s="235">
        <v>65</v>
      </c>
      <c r="F24" s="236">
        <f t="shared" si="5"/>
        <v>2015</v>
      </c>
      <c r="G24" s="275" t="s">
        <v>475</v>
      </c>
      <c r="H24" s="236">
        <v>2735</v>
      </c>
      <c r="I24" s="237">
        <f t="shared" si="4"/>
        <v>2871.75</v>
      </c>
      <c r="J24" s="237">
        <f t="shared" si="4"/>
        <v>3015.3375000000001</v>
      </c>
      <c r="K24" s="276"/>
      <c r="L24" s="99" t="s">
        <v>222</v>
      </c>
      <c r="M24">
        <v>3015</v>
      </c>
      <c r="N24"/>
    </row>
    <row r="25" spans="1:14" x14ac:dyDescent="0.2">
      <c r="A25" s="323" t="s">
        <v>354</v>
      </c>
      <c r="B25" s="231" t="s">
        <v>168</v>
      </c>
      <c r="C25" s="242" t="s">
        <v>166</v>
      </c>
      <c r="D25" s="231">
        <v>40</v>
      </c>
      <c r="E25" s="235">
        <v>100</v>
      </c>
      <c r="F25" s="236">
        <f t="shared" si="5"/>
        <v>4000</v>
      </c>
      <c r="G25" s="275" t="s">
        <v>480</v>
      </c>
      <c r="H25" s="236">
        <f>F25</f>
        <v>4000</v>
      </c>
      <c r="I25" s="237">
        <f t="shared" si="4"/>
        <v>4200</v>
      </c>
      <c r="J25" s="237">
        <f t="shared" si="4"/>
        <v>4410</v>
      </c>
      <c r="K25" s="276"/>
      <c r="L25" s="99"/>
      <c r="M25" s="2">
        <v>4000</v>
      </c>
      <c r="N25"/>
    </row>
    <row r="26" spans="1:14" x14ac:dyDescent="0.2">
      <c r="A26" s="326" t="s">
        <v>675</v>
      </c>
      <c r="B26" s="319" t="s">
        <v>676</v>
      </c>
      <c r="C26" s="320" t="s">
        <v>148</v>
      </c>
      <c r="D26" s="231">
        <v>27</v>
      </c>
      <c r="E26" s="235">
        <v>65</v>
      </c>
      <c r="F26" s="236">
        <f t="shared" ref="F26" si="6">D26*E26</f>
        <v>1755</v>
      </c>
      <c r="G26" s="318" t="s">
        <v>475</v>
      </c>
      <c r="H26" s="322">
        <v>2735</v>
      </c>
      <c r="I26" s="105"/>
      <c r="J26" s="105"/>
      <c r="K26" s="321"/>
    </row>
    <row r="27" spans="1:14" x14ac:dyDescent="0.2">
      <c r="A27" s="323" t="s">
        <v>174</v>
      </c>
      <c r="B27" s="231" t="s">
        <v>168</v>
      </c>
      <c r="C27" s="233" t="s">
        <v>483</v>
      </c>
      <c r="D27" s="231">
        <v>27</v>
      </c>
      <c r="E27" s="235">
        <v>100</v>
      </c>
      <c r="F27" s="236">
        <f t="shared" si="5"/>
        <v>2700</v>
      </c>
      <c r="G27" s="275" t="s">
        <v>475</v>
      </c>
      <c r="H27" s="236">
        <v>2735</v>
      </c>
      <c r="I27" s="237">
        <f t="shared" si="4"/>
        <v>2871.75</v>
      </c>
      <c r="J27" s="237">
        <f t="shared" si="4"/>
        <v>3015.3375000000001</v>
      </c>
      <c r="K27" s="276"/>
      <c r="L27" s="99" t="s">
        <v>222</v>
      </c>
      <c r="M27" s="277">
        <v>2810</v>
      </c>
      <c r="N27"/>
    </row>
    <row r="28" spans="1:14" x14ac:dyDescent="0.2">
      <c r="A28" s="324" t="s">
        <v>265</v>
      </c>
      <c r="B28" s="241" t="s">
        <v>168</v>
      </c>
      <c r="C28" s="233" t="s">
        <v>484</v>
      </c>
      <c r="D28" s="231">
        <v>25</v>
      </c>
      <c r="E28" s="235">
        <v>65</v>
      </c>
      <c r="F28" s="236">
        <f t="shared" si="5"/>
        <v>1625</v>
      </c>
      <c r="G28" s="275" t="s">
        <v>475</v>
      </c>
      <c r="H28" s="236">
        <v>2735</v>
      </c>
      <c r="I28" s="237">
        <f t="shared" si="4"/>
        <v>2871.75</v>
      </c>
      <c r="J28" s="237">
        <f t="shared" si="4"/>
        <v>3015.3375000000001</v>
      </c>
      <c r="K28" s="276" t="s">
        <v>538</v>
      </c>
      <c r="L28" s="99" t="s">
        <v>222</v>
      </c>
      <c r="M28"/>
      <c r="N28"/>
    </row>
    <row r="29" spans="1:14" x14ac:dyDescent="0.2">
      <c r="A29" s="323" t="s">
        <v>180</v>
      </c>
      <c r="B29" s="231" t="s">
        <v>168</v>
      </c>
      <c r="C29" s="233" t="s">
        <v>148</v>
      </c>
      <c r="D29" s="231">
        <v>28</v>
      </c>
      <c r="E29" s="235">
        <v>65</v>
      </c>
      <c r="F29" s="236">
        <f t="shared" si="5"/>
        <v>1820</v>
      </c>
      <c r="G29" s="275" t="s">
        <v>475</v>
      </c>
      <c r="H29" s="236">
        <v>2735</v>
      </c>
      <c r="I29" s="237">
        <f t="shared" si="4"/>
        <v>2871.75</v>
      </c>
      <c r="J29" s="237">
        <f t="shared" si="4"/>
        <v>3015.3375000000001</v>
      </c>
      <c r="K29" s="276"/>
      <c r="L29" s="99" t="s">
        <v>222</v>
      </c>
      <c r="M29">
        <v>2735</v>
      </c>
      <c r="N29"/>
    </row>
    <row r="30" spans="1:14" x14ac:dyDescent="0.2">
      <c r="A30" s="323" t="s">
        <v>183</v>
      </c>
      <c r="B30" s="231" t="s">
        <v>168</v>
      </c>
      <c r="C30" s="233" t="s">
        <v>148</v>
      </c>
      <c r="D30" s="231">
        <v>25</v>
      </c>
      <c r="E30" s="235">
        <v>65</v>
      </c>
      <c r="F30" s="236">
        <f t="shared" si="5"/>
        <v>1625</v>
      </c>
      <c r="G30" s="275" t="s">
        <v>475</v>
      </c>
      <c r="H30" s="236">
        <v>2735</v>
      </c>
      <c r="I30" s="237">
        <f t="shared" si="4"/>
        <v>2871.75</v>
      </c>
      <c r="J30" s="237">
        <f t="shared" si="4"/>
        <v>3015.3375000000001</v>
      </c>
      <c r="K30" s="276"/>
      <c r="L30" s="99" t="s">
        <v>222</v>
      </c>
      <c r="M30">
        <v>2735</v>
      </c>
      <c r="N30"/>
    </row>
    <row r="31" spans="1:14" ht="21" x14ac:dyDescent="0.25">
      <c r="A31" s="325" t="s">
        <v>163</v>
      </c>
      <c r="B31" s="254" t="s">
        <v>168</v>
      </c>
      <c r="C31" s="256"/>
      <c r="D31" s="254"/>
      <c r="E31" s="278"/>
      <c r="F31" s="279"/>
      <c r="G31" s="280"/>
      <c r="H31" s="279">
        <f>SUM(H18:H30)</f>
        <v>36575</v>
      </c>
      <c r="I31" s="7"/>
      <c r="J31" s="7"/>
      <c r="K31" s="261"/>
      <c r="L31" s="262"/>
      <c r="M31" s="292">
        <f>SUM(M18:M30)</f>
        <v>31596</v>
      </c>
      <c r="N31" s="264"/>
    </row>
    <row r="32" spans="1:14" x14ac:dyDescent="0.2">
      <c r="A32" s="324" t="s">
        <v>383</v>
      </c>
      <c r="B32" s="231" t="s">
        <v>165</v>
      </c>
      <c r="C32" s="233" t="s">
        <v>166</v>
      </c>
      <c r="D32" s="231">
        <v>30</v>
      </c>
      <c r="E32" s="235">
        <v>134</v>
      </c>
      <c r="F32" s="236">
        <f>D32*E32</f>
        <v>4020</v>
      </c>
      <c r="G32" s="275" t="s">
        <v>480</v>
      </c>
      <c r="H32" s="236">
        <f>F32</f>
        <v>4020</v>
      </c>
      <c r="I32" s="237">
        <f t="shared" ref="I32:J41" si="7">H32*1.05</f>
        <v>4221</v>
      </c>
      <c r="J32" s="237">
        <f t="shared" si="7"/>
        <v>4432.05</v>
      </c>
      <c r="K32" s="276"/>
      <c r="L32" s="99" t="s">
        <v>222</v>
      </c>
      <c r="M32">
        <v>4020</v>
      </c>
      <c r="N32" t="s">
        <v>539</v>
      </c>
    </row>
    <row r="33" spans="1:14" s="2" customFormat="1" x14ac:dyDescent="0.2">
      <c r="A33" s="324" t="s">
        <v>540</v>
      </c>
      <c r="B33" s="231" t="s">
        <v>165</v>
      </c>
      <c r="C33" s="300" t="s">
        <v>166</v>
      </c>
      <c r="D33" s="301">
        <v>31</v>
      </c>
      <c r="E33" s="235">
        <v>134</v>
      </c>
      <c r="F33" s="236">
        <f t="shared" ref="F33:F41" si="8">D33*E33</f>
        <v>4154</v>
      </c>
      <c r="G33" s="275" t="s">
        <v>480</v>
      </c>
      <c r="H33" s="236">
        <f t="shared" ref="H33:H41" si="9">F33</f>
        <v>4154</v>
      </c>
      <c r="I33" s="237">
        <f t="shared" si="7"/>
        <v>4361.7</v>
      </c>
      <c r="J33" s="237">
        <f t="shared" si="7"/>
        <v>4579.7849999999999</v>
      </c>
      <c r="K33" s="276"/>
      <c r="L33" s="99"/>
      <c r="M33" s="153">
        <v>2500</v>
      </c>
      <c r="N33" s="2" t="s">
        <v>541</v>
      </c>
    </row>
    <row r="34" spans="1:14" x14ac:dyDescent="0.2">
      <c r="A34" s="323" t="s">
        <v>170</v>
      </c>
      <c r="B34" s="231" t="s">
        <v>165</v>
      </c>
      <c r="C34" s="233" t="s">
        <v>166</v>
      </c>
      <c r="D34" s="231">
        <v>38</v>
      </c>
      <c r="E34" s="235">
        <v>134</v>
      </c>
      <c r="F34" s="236">
        <f t="shared" si="8"/>
        <v>5092</v>
      </c>
      <c r="G34" s="275" t="s">
        <v>480</v>
      </c>
      <c r="H34" s="236">
        <f t="shared" si="9"/>
        <v>5092</v>
      </c>
      <c r="I34" s="237">
        <f t="shared" si="7"/>
        <v>5346.6</v>
      </c>
      <c r="J34" s="237">
        <f t="shared" si="7"/>
        <v>5613.93</v>
      </c>
      <c r="K34" s="276"/>
      <c r="L34" s="99"/>
      <c r="M34">
        <v>5346</v>
      </c>
      <c r="N34"/>
    </row>
    <row r="35" spans="1:14" x14ac:dyDescent="0.2">
      <c r="A35" s="323" t="s">
        <v>172</v>
      </c>
      <c r="B35" s="231" t="s">
        <v>165</v>
      </c>
      <c r="C35" s="233" t="s">
        <v>166</v>
      </c>
      <c r="D35" s="231">
        <v>55</v>
      </c>
      <c r="E35" s="235">
        <v>134</v>
      </c>
      <c r="F35" s="236">
        <f t="shared" si="8"/>
        <v>7370</v>
      </c>
      <c r="G35" s="275" t="s">
        <v>480</v>
      </c>
      <c r="H35" s="236">
        <f t="shared" si="9"/>
        <v>7370</v>
      </c>
      <c r="I35" s="237">
        <f t="shared" si="7"/>
        <v>7738.5</v>
      </c>
      <c r="J35" s="237">
        <f t="shared" si="7"/>
        <v>8125.4250000000002</v>
      </c>
      <c r="K35" s="276"/>
      <c r="L35" s="99" t="s">
        <v>222</v>
      </c>
      <c r="M35">
        <v>7370</v>
      </c>
      <c r="N35"/>
    </row>
    <row r="36" spans="1:14" x14ac:dyDescent="0.2">
      <c r="A36" s="323" t="s">
        <v>175</v>
      </c>
      <c r="B36" s="231" t="s">
        <v>165</v>
      </c>
      <c r="C36" s="233" t="s">
        <v>176</v>
      </c>
      <c r="D36" s="231">
        <v>53</v>
      </c>
      <c r="E36" s="235">
        <v>97</v>
      </c>
      <c r="F36" s="236">
        <f t="shared" si="8"/>
        <v>5141</v>
      </c>
      <c r="G36" s="275" t="s">
        <v>480</v>
      </c>
      <c r="H36" s="236">
        <f t="shared" si="9"/>
        <v>5141</v>
      </c>
      <c r="I36" s="237">
        <f t="shared" si="7"/>
        <v>5398.05</v>
      </c>
      <c r="J36" s="237">
        <f t="shared" si="7"/>
        <v>5667.9525000000003</v>
      </c>
      <c r="K36" s="281"/>
      <c r="L36" s="99" t="s">
        <v>222</v>
      </c>
      <c r="M36">
        <v>5066</v>
      </c>
      <c r="N36"/>
    </row>
    <row r="37" spans="1:14" x14ac:dyDescent="0.2">
      <c r="A37" s="324" t="s">
        <v>177</v>
      </c>
      <c r="B37" s="241" t="s">
        <v>165</v>
      </c>
      <c r="C37" s="242" t="s">
        <v>166</v>
      </c>
      <c r="D37" s="241">
        <v>39</v>
      </c>
      <c r="E37" s="235">
        <v>134</v>
      </c>
      <c r="F37" s="236">
        <f t="shared" si="8"/>
        <v>5226</v>
      </c>
      <c r="G37" s="275" t="s">
        <v>480</v>
      </c>
      <c r="H37" s="236">
        <f t="shared" si="9"/>
        <v>5226</v>
      </c>
      <c r="I37" s="237">
        <f t="shared" si="7"/>
        <v>5487.3</v>
      </c>
      <c r="J37" s="237">
        <f t="shared" si="7"/>
        <v>5761.6650000000009</v>
      </c>
      <c r="K37" s="236"/>
      <c r="L37" s="99" t="s">
        <v>222</v>
      </c>
      <c r="M37" s="293">
        <v>5301</v>
      </c>
      <c r="N37"/>
    </row>
    <row r="38" spans="1:14" x14ac:dyDescent="0.2">
      <c r="A38" s="324" t="s">
        <v>178</v>
      </c>
      <c r="B38" s="231" t="s">
        <v>165</v>
      </c>
      <c r="C38" s="233" t="s">
        <v>166</v>
      </c>
      <c r="D38" s="231">
        <v>38</v>
      </c>
      <c r="E38" s="235">
        <v>134</v>
      </c>
      <c r="F38" s="236">
        <f t="shared" si="8"/>
        <v>5092</v>
      </c>
      <c r="G38" s="275" t="s">
        <v>480</v>
      </c>
      <c r="H38" s="236">
        <f t="shared" si="9"/>
        <v>5092</v>
      </c>
      <c r="I38" s="237">
        <f t="shared" si="7"/>
        <v>5346.6</v>
      </c>
      <c r="J38" s="237">
        <f t="shared" si="7"/>
        <v>5613.93</v>
      </c>
      <c r="K38" s="276"/>
      <c r="L38" s="99" t="s">
        <v>222</v>
      </c>
      <c r="M38">
        <v>5092</v>
      </c>
      <c r="N38"/>
    </row>
    <row r="39" spans="1:14" x14ac:dyDescent="0.2">
      <c r="A39" s="323" t="s">
        <v>179</v>
      </c>
      <c r="B39" s="231" t="s">
        <v>165</v>
      </c>
      <c r="C39" s="233" t="s">
        <v>166</v>
      </c>
      <c r="D39" s="231">
        <v>40</v>
      </c>
      <c r="E39" s="235">
        <v>134</v>
      </c>
      <c r="F39" s="236">
        <f t="shared" si="8"/>
        <v>5360</v>
      </c>
      <c r="G39" s="275" t="s">
        <v>480</v>
      </c>
      <c r="H39" s="236">
        <f t="shared" si="9"/>
        <v>5360</v>
      </c>
      <c r="I39" s="237">
        <f t="shared" si="7"/>
        <v>5628</v>
      </c>
      <c r="J39" s="237">
        <f t="shared" si="7"/>
        <v>5909.4000000000005</v>
      </c>
      <c r="K39" s="276"/>
      <c r="L39" s="99"/>
      <c r="M39">
        <v>4860</v>
      </c>
      <c r="N39" t="s">
        <v>542</v>
      </c>
    </row>
    <row r="40" spans="1:14" x14ac:dyDescent="0.2">
      <c r="A40" s="323" t="s">
        <v>485</v>
      </c>
      <c r="B40" s="231" t="s">
        <v>165</v>
      </c>
      <c r="C40" s="233" t="s">
        <v>166</v>
      </c>
      <c r="D40" s="231">
        <v>67</v>
      </c>
      <c r="E40" s="235">
        <v>134</v>
      </c>
      <c r="F40" s="236">
        <f t="shared" si="8"/>
        <v>8978</v>
      </c>
      <c r="G40" s="275" t="s">
        <v>480</v>
      </c>
      <c r="H40" s="236">
        <f t="shared" si="9"/>
        <v>8978</v>
      </c>
      <c r="I40" s="237">
        <f t="shared" si="7"/>
        <v>9426.9</v>
      </c>
      <c r="J40" s="237">
        <f t="shared" si="7"/>
        <v>9898.2450000000008</v>
      </c>
      <c r="K40" s="276"/>
      <c r="L40" s="99"/>
      <c r="M40">
        <v>7713</v>
      </c>
      <c r="N40" t="s">
        <v>543</v>
      </c>
    </row>
    <row r="41" spans="1:14" x14ac:dyDescent="0.2">
      <c r="A41" s="323" t="s">
        <v>181</v>
      </c>
      <c r="B41" s="231" t="s">
        <v>165</v>
      </c>
      <c r="C41" s="233" t="s">
        <v>166</v>
      </c>
      <c r="D41" s="231">
        <v>103</v>
      </c>
      <c r="E41" s="235">
        <v>134</v>
      </c>
      <c r="F41" s="236">
        <f t="shared" si="8"/>
        <v>13802</v>
      </c>
      <c r="G41" s="275" t="s">
        <v>480</v>
      </c>
      <c r="H41" s="236">
        <f t="shared" si="9"/>
        <v>13802</v>
      </c>
      <c r="I41" s="237">
        <f t="shared" si="7"/>
        <v>14492.1</v>
      </c>
      <c r="J41" s="237">
        <f t="shared" si="7"/>
        <v>15216.705000000002</v>
      </c>
      <c r="K41" s="276"/>
      <c r="L41" s="99"/>
      <c r="M41" s="277">
        <v>20000</v>
      </c>
      <c r="N41"/>
    </row>
    <row r="43" spans="1:14" ht="24" x14ac:dyDescent="0.3">
      <c r="A43" s="265" t="s">
        <v>163</v>
      </c>
      <c r="B43" s="265" t="s">
        <v>165</v>
      </c>
      <c r="C43" s="282"/>
      <c r="D43" s="283"/>
      <c r="E43" s="283"/>
      <c r="F43" s="283"/>
      <c r="G43" s="282"/>
      <c r="H43" s="270">
        <f>SUM(H32:H42)</f>
        <v>64235</v>
      </c>
      <c r="I43" s="284"/>
      <c r="J43" s="284"/>
      <c r="K43" s="261"/>
      <c r="L43" s="262"/>
      <c r="M43" s="263">
        <f>SUM(M32:M42)</f>
        <v>67268</v>
      </c>
      <c r="N43" s="264"/>
    </row>
    <row r="44" spans="1:14" ht="24" x14ac:dyDescent="0.3">
      <c r="A44" s="283" t="s">
        <v>163</v>
      </c>
      <c r="B44" s="265" t="s">
        <v>223</v>
      </c>
      <c r="C44" s="282"/>
      <c r="D44" s="283"/>
      <c r="E44" s="283"/>
      <c r="F44" s="283"/>
      <c r="G44" s="282"/>
      <c r="H44" s="270">
        <f>H31+H43</f>
        <v>100810</v>
      </c>
      <c r="I44" s="283"/>
      <c r="J44" s="283"/>
      <c r="K44" s="271"/>
      <c r="L44" s="272"/>
      <c r="M44" s="294">
        <f>M31+M43</f>
        <v>98864</v>
      </c>
      <c r="N44" s="274"/>
    </row>
    <row r="45" spans="1:14" x14ac:dyDescent="0.2">
      <c r="A45" s="6"/>
      <c r="B45" s="6"/>
      <c r="C45" s="126"/>
      <c r="D45" s="6"/>
      <c r="E45" s="6"/>
      <c r="F45" s="6"/>
      <c r="G45" s="126"/>
      <c r="H45" s="6"/>
      <c r="I45" s="6"/>
      <c r="J45" s="6"/>
      <c r="K45" s="152"/>
      <c r="L45" s="99"/>
      <c r="M45"/>
      <c r="N45"/>
    </row>
    <row r="46" spans="1:14" ht="24" x14ac:dyDescent="0.3">
      <c r="A46" s="285" t="s">
        <v>184</v>
      </c>
      <c r="B46" s="285"/>
      <c r="C46" s="286"/>
      <c r="D46" s="285"/>
      <c r="E46" s="285"/>
      <c r="F46" s="285"/>
      <c r="G46" s="286"/>
      <c r="H46" s="287">
        <f>H16+H44</f>
        <v>144267</v>
      </c>
      <c r="I46" s="285"/>
      <c r="J46" s="285"/>
      <c r="K46" s="271"/>
      <c r="L46" s="288"/>
      <c r="M46" s="294">
        <f>M44+M16</f>
        <v>140417</v>
      </c>
      <c r="N46" s="274"/>
    </row>
    <row r="47" spans="1:14" ht="21" x14ac:dyDescent="0.25">
      <c r="A47" s="8"/>
      <c r="B47" s="8"/>
      <c r="C47" s="289"/>
      <c r="D47" s="8"/>
      <c r="E47" s="8"/>
      <c r="F47" s="8"/>
      <c r="G47" s="289"/>
      <c r="H47" s="8"/>
      <c r="I47" s="8"/>
      <c r="J47" s="8"/>
      <c r="K47" s="261"/>
      <c r="L47" s="262"/>
      <c r="M47" s="263"/>
      <c r="N47" s="264"/>
    </row>
    <row r="51" spans="1:14" x14ac:dyDescent="0.2">
      <c r="A51" s="231" t="s">
        <v>158</v>
      </c>
      <c r="B51" s="232" t="s">
        <v>147</v>
      </c>
      <c r="C51" s="233" t="s">
        <v>148</v>
      </c>
      <c r="D51" s="234">
        <v>25</v>
      </c>
      <c r="E51" s="235">
        <v>87</v>
      </c>
      <c r="F51" s="236">
        <v>2175</v>
      </c>
      <c r="G51" s="275" t="s">
        <v>475</v>
      </c>
      <c r="H51" s="236">
        <v>3681</v>
      </c>
      <c r="I51" s="237">
        <v>3865</v>
      </c>
      <c r="J51" s="237">
        <v>4058</v>
      </c>
      <c r="K51" s="152"/>
      <c r="L51" s="99" t="s">
        <v>222</v>
      </c>
      <c r="N51"/>
    </row>
    <row r="52" spans="1:14" x14ac:dyDescent="0.2">
      <c r="A52" s="231" t="s">
        <v>146</v>
      </c>
      <c r="B52" s="232" t="s">
        <v>147</v>
      </c>
      <c r="C52" s="233" t="s">
        <v>161</v>
      </c>
      <c r="D52" s="234"/>
      <c r="E52" s="239"/>
      <c r="F52" s="237"/>
      <c r="G52" s="296"/>
      <c r="H52" s="240">
        <v>1400</v>
      </c>
      <c r="I52" s="240">
        <v>1470</v>
      </c>
      <c r="J52" s="240">
        <v>1543.5</v>
      </c>
      <c r="K52" s="152"/>
      <c r="L52" s="99"/>
      <c r="N52"/>
    </row>
    <row r="53" spans="1:14" x14ac:dyDescent="0.2">
      <c r="A53" s="231" t="s">
        <v>182</v>
      </c>
      <c r="B53" s="231" t="s">
        <v>168</v>
      </c>
      <c r="C53" s="242" t="s">
        <v>166</v>
      </c>
      <c r="D53" s="231">
        <v>30</v>
      </c>
      <c r="E53" s="235">
        <v>95</v>
      </c>
      <c r="F53" s="236">
        <v>2850</v>
      </c>
      <c r="G53" s="275" t="s">
        <v>479</v>
      </c>
      <c r="H53" s="236">
        <v>2850</v>
      </c>
      <c r="I53" s="237">
        <v>2993</v>
      </c>
      <c r="J53" s="237">
        <v>3143</v>
      </c>
      <c r="K53" s="276"/>
      <c r="L53" s="99" t="s">
        <v>222</v>
      </c>
      <c r="M53"/>
      <c r="N53"/>
    </row>
    <row r="54" spans="1:14" x14ac:dyDescent="0.2">
      <c r="A54" s="241" t="s">
        <v>173</v>
      </c>
      <c r="B54" s="241" t="s">
        <v>168</v>
      </c>
      <c r="C54" s="233" t="s">
        <v>481</v>
      </c>
      <c r="D54" s="231">
        <v>24</v>
      </c>
      <c r="E54" s="235">
        <v>65</v>
      </c>
      <c r="F54" s="236">
        <f>D54*E54</f>
        <v>1560</v>
      </c>
      <c r="G54" s="275" t="s">
        <v>475</v>
      </c>
      <c r="H54" s="236">
        <v>2735</v>
      </c>
      <c r="I54" s="237">
        <f t="shared" ref="I54:J56" si="10">H54*1.05</f>
        <v>2871.75</v>
      </c>
      <c r="J54" s="237">
        <f t="shared" si="10"/>
        <v>3015.3375000000001</v>
      </c>
      <c r="K54" s="276"/>
      <c r="L54" s="99" t="s">
        <v>222</v>
      </c>
      <c r="M54">
        <v>2735</v>
      </c>
      <c r="N54"/>
    </row>
    <row r="55" spans="1:14" x14ac:dyDescent="0.2">
      <c r="A55" s="231" t="s">
        <v>385</v>
      </c>
      <c r="B55" s="231" t="s">
        <v>165</v>
      </c>
      <c r="C55" s="233" t="s">
        <v>166</v>
      </c>
      <c r="D55" s="231">
        <v>31</v>
      </c>
      <c r="E55" s="235">
        <v>134</v>
      </c>
      <c r="F55" s="236">
        <f>D55*E55</f>
        <v>4154</v>
      </c>
      <c r="G55" s="275" t="s">
        <v>480</v>
      </c>
      <c r="H55" s="236">
        <f>F55</f>
        <v>4154</v>
      </c>
      <c r="I55" s="237">
        <f t="shared" si="10"/>
        <v>4361.7</v>
      </c>
      <c r="J55" s="237">
        <f t="shared" si="10"/>
        <v>4579.7849999999999</v>
      </c>
      <c r="K55" s="276"/>
      <c r="L55" s="99"/>
      <c r="M55">
        <v>4655</v>
      </c>
      <c r="N55">
        <v>4000</v>
      </c>
    </row>
    <row r="56" spans="1:14" x14ac:dyDescent="0.2">
      <c r="A56" s="241" t="s">
        <v>482</v>
      </c>
      <c r="B56" s="241" t="s">
        <v>168</v>
      </c>
      <c r="C56" s="233" t="s">
        <v>166</v>
      </c>
      <c r="D56" s="231">
        <v>30</v>
      </c>
      <c r="E56" s="235">
        <v>100</v>
      </c>
      <c r="F56" s="236">
        <f>D56*E56</f>
        <v>3000</v>
      </c>
      <c r="G56" s="275" t="s">
        <v>480</v>
      </c>
      <c r="H56" s="236">
        <f>F56</f>
        <v>3000</v>
      </c>
      <c r="I56" s="237">
        <f t="shared" si="10"/>
        <v>3150</v>
      </c>
      <c r="J56" s="237">
        <f t="shared" si="10"/>
        <v>3307.5</v>
      </c>
      <c r="K56" s="276"/>
      <c r="L56" s="99"/>
      <c r="M56">
        <v>3000</v>
      </c>
      <c r="N56"/>
    </row>
  </sheetData>
  <mergeCells count="2">
    <mergeCell ref="M21:M22"/>
    <mergeCell ref="M12:M13"/>
  </mergeCells>
  <pageMargins left="0.7" right="0.7" top="0.75" bottom="0.75" header="0.3" footer="0.3"/>
  <pageSetup scale="3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E798-8157-430C-8CFF-808B331FF13C}">
  <sheetPr>
    <tabColor theme="4"/>
  </sheetPr>
  <dimension ref="A1:AV63"/>
  <sheetViews>
    <sheetView workbookViewId="0">
      <selection activeCell="E5" sqref="E5"/>
    </sheetView>
  </sheetViews>
  <sheetFormatPr baseColWidth="10" defaultColWidth="8.83203125" defaultRowHeight="15" x14ac:dyDescent="0.2"/>
  <cols>
    <col min="1" max="1" width="18.83203125" style="2" customWidth="1"/>
    <col min="2" max="2" width="18.5" style="2" customWidth="1"/>
    <col min="3" max="6" width="8.83203125" style="2"/>
    <col min="7" max="7" width="12" style="2" customWidth="1"/>
    <col min="8" max="9" width="8.83203125" style="2"/>
    <col min="10" max="10" width="10.33203125" style="2" customWidth="1"/>
    <col min="11" max="16384" width="8.83203125" style="2"/>
  </cols>
  <sheetData>
    <row r="1" spans="1:48" ht="16" x14ac:dyDescent="0.2">
      <c r="A1" s="460" t="s">
        <v>734</v>
      </c>
      <c r="B1" s="461" t="s">
        <v>138</v>
      </c>
      <c r="C1" s="462" t="s">
        <v>140</v>
      </c>
      <c r="D1" s="463" t="s">
        <v>103</v>
      </c>
      <c r="E1" s="464" t="s">
        <v>141</v>
      </c>
      <c r="F1" s="465" t="s">
        <v>142</v>
      </c>
      <c r="G1" s="464" t="s">
        <v>57</v>
      </c>
      <c r="H1" s="465" t="s">
        <v>735</v>
      </c>
      <c r="I1" s="466" t="s">
        <v>276</v>
      </c>
      <c r="J1" s="467" t="s">
        <v>736</v>
      </c>
      <c r="K1" s="488" t="s">
        <v>737</v>
      </c>
      <c r="L1" s="468" t="s">
        <v>12</v>
      </c>
      <c r="M1" s="460" t="s">
        <v>738</v>
      </c>
      <c r="N1" s="460" t="s">
        <v>739</v>
      </c>
      <c r="O1" s="460" t="s">
        <v>740</v>
      </c>
      <c r="P1" s="460" t="s">
        <v>741</v>
      </c>
      <c r="Q1" s="460" t="s">
        <v>742</v>
      </c>
      <c r="R1" s="460" t="s">
        <v>743</v>
      </c>
      <c r="S1" s="460" t="s">
        <v>744</v>
      </c>
      <c r="T1" s="460" t="s">
        <v>745</v>
      </c>
      <c r="U1" s="460" t="s">
        <v>746</v>
      </c>
      <c r="V1" s="460" t="s">
        <v>747</v>
      </c>
      <c r="W1" s="460" t="s">
        <v>224</v>
      </c>
      <c r="X1" s="460" t="s">
        <v>748</v>
      </c>
      <c r="Y1" s="460" t="s">
        <v>749</v>
      </c>
      <c r="Z1" s="460" t="s">
        <v>750</v>
      </c>
      <c r="AA1" s="469" t="s">
        <v>751</v>
      </c>
      <c r="AB1" s="460" t="s">
        <v>752</v>
      </c>
      <c r="AC1" s="460" t="s">
        <v>753</v>
      </c>
      <c r="AD1" s="460" t="s">
        <v>754</v>
      </c>
      <c r="AE1" s="460" t="s">
        <v>755</v>
      </c>
      <c r="AF1" s="469" t="s">
        <v>756</v>
      </c>
      <c r="AG1" s="469" t="s">
        <v>757</v>
      </c>
      <c r="AH1" s="469" t="s">
        <v>758</v>
      </c>
      <c r="AI1" s="460" t="s">
        <v>759</v>
      </c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</row>
    <row r="2" spans="1:48" x14ac:dyDescent="0.2">
      <c r="A2" s="470" t="s">
        <v>760</v>
      </c>
      <c r="B2" s="472" t="s">
        <v>165</v>
      </c>
      <c r="C2" s="473">
        <v>35</v>
      </c>
      <c r="D2" s="474">
        <v>145</v>
      </c>
      <c r="E2" s="506">
        <v>5075</v>
      </c>
      <c r="F2" s="476" t="s">
        <v>121</v>
      </c>
      <c r="G2" s="506">
        <v>5075</v>
      </c>
      <c r="H2" s="506"/>
      <c r="I2" s="459"/>
      <c r="J2" s="479">
        <v>5075</v>
      </c>
      <c r="K2" s="459"/>
      <c r="L2" s="459"/>
      <c r="M2" s="472" t="s">
        <v>761</v>
      </c>
      <c r="N2" s="497" t="s">
        <v>762</v>
      </c>
      <c r="O2" s="472" t="s">
        <v>763</v>
      </c>
      <c r="P2" s="473" t="s">
        <v>764</v>
      </c>
      <c r="Q2" s="472">
        <v>7302</v>
      </c>
      <c r="R2" s="497" t="s">
        <v>765</v>
      </c>
      <c r="S2" s="459"/>
      <c r="T2" s="459"/>
      <c r="U2" s="459"/>
      <c r="V2" s="459"/>
      <c r="W2" s="499" t="s">
        <v>766</v>
      </c>
      <c r="X2" s="498" t="s">
        <v>767</v>
      </c>
      <c r="Y2" s="472" t="s">
        <v>768</v>
      </c>
      <c r="Z2" s="459"/>
      <c r="AA2" s="459"/>
      <c r="AB2" s="475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</row>
    <row r="3" spans="1:48" x14ac:dyDescent="0.2">
      <c r="A3" s="470" t="s">
        <v>174</v>
      </c>
      <c r="B3" s="472" t="s">
        <v>165</v>
      </c>
      <c r="C3" s="473">
        <v>23</v>
      </c>
      <c r="D3" s="474">
        <v>145</v>
      </c>
      <c r="E3" s="506">
        <v>3335</v>
      </c>
      <c r="F3" s="476" t="s">
        <v>1339</v>
      </c>
      <c r="G3" s="506">
        <v>4640</v>
      </c>
      <c r="H3" s="506"/>
      <c r="I3" s="459"/>
      <c r="J3" s="479">
        <v>4640</v>
      </c>
      <c r="K3" s="459"/>
      <c r="L3" s="459"/>
      <c r="M3" s="472" t="s">
        <v>942</v>
      </c>
      <c r="N3" s="472" t="s">
        <v>943</v>
      </c>
      <c r="O3" s="472" t="s">
        <v>944</v>
      </c>
      <c r="P3" s="473" t="s">
        <v>769</v>
      </c>
      <c r="Q3" s="472">
        <v>11231</v>
      </c>
      <c r="R3" s="472" t="s">
        <v>945</v>
      </c>
      <c r="S3" s="459"/>
      <c r="T3" s="472" t="s">
        <v>946</v>
      </c>
      <c r="U3" s="472">
        <v>6442</v>
      </c>
      <c r="V3" s="459"/>
      <c r="W3" s="487" t="s">
        <v>947</v>
      </c>
      <c r="X3" s="459"/>
      <c r="Y3" s="472" t="s">
        <v>948</v>
      </c>
      <c r="Z3" s="473" t="s">
        <v>949</v>
      </c>
      <c r="AA3" s="459"/>
      <c r="AB3" s="473">
        <v>9.5</v>
      </c>
      <c r="AC3" s="473" t="s">
        <v>950</v>
      </c>
      <c r="AD3" s="472" t="s">
        <v>869</v>
      </c>
      <c r="AE3" s="479">
        <v>10000</v>
      </c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</row>
    <row r="4" spans="1:48" x14ac:dyDescent="0.2">
      <c r="A4" s="470" t="s">
        <v>770</v>
      </c>
      <c r="B4" s="472" t="s">
        <v>165</v>
      </c>
      <c r="C4" s="473">
        <v>56</v>
      </c>
      <c r="D4" s="474">
        <v>145</v>
      </c>
      <c r="E4" s="506">
        <v>8120</v>
      </c>
      <c r="F4" s="476" t="s">
        <v>121</v>
      </c>
      <c r="G4" s="506">
        <v>8120</v>
      </c>
      <c r="H4" s="506"/>
      <c r="I4" s="478"/>
      <c r="J4" s="479">
        <v>8120</v>
      </c>
      <c r="K4" s="489"/>
      <c r="L4" s="475"/>
      <c r="M4" s="472" t="s">
        <v>771</v>
      </c>
      <c r="N4" s="472"/>
      <c r="O4" s="472"/>
      <c r="P4" s="473"/>
      <c r="Q4" s="472"/>
      <c r="R4" s="498" t="s">
        <v>772</v>
      </c>
      <c r="S4" s="472"/>
      <c r="T4" s="472"/>
      <c r="U4" s="472"/>
      <c r="V4" s="472"/>
      <c r="W4" s="472" t="s">
        <v>773</v>
      </c>
      <c r="X4" s="472" t="s">
        <v>774</v>
      </c>
      <c r="Y4" s="472" t="s">
        <v>775</v>
      </c>
      <c r="Z4" s="473"/>
      <c r="AA4" s="480"/>
      <c r="AB4" s="473"/>
      <c r="AC4" s="473"/>
      <c r="AD4" s="472" t="s">
        <v>776</v>
      </c>
      <c r="AE4" s="472"/>
      <c r="AF4" s="480"/>
      <c r="AG4" s="480"/>
      <c r="AH4" s="480"/>
      <c r="AI4" s="473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</row>
    <row r="5" spans="1:48" x14ac:dyDescent="0.2">
      <c r="A5" s="470" t="s">
        <v>175</v>
      </c>
      <c r="B5" s="472" t="s">
        <v>165</v>
      </c>
      <c r="C5" s="473">
        <v>53</v>
      </c>
      <c r="D5" s="474">
        <v>145</v>
      </c>
      <c r="E5" s="506">
        <v>7685</v>
      </c>
      <c r="F5" s="476" t="s">
        <v>121</v>
      </c>
      <c r="G5" s="506">
        <v>7685</v>
      </c>
      <c r="H5" s="506"/>
      <c r="I5" s="486"/>
      <c r="J5" s="479">
        <v>7685</v>
      </c>
      <c r="K5" s="459"/>
      <c r="L5" s="459"/>
      <c r="M5" s="472" t="s">
        <v>777</v>
      </c>
      <c r="N5" s="472" t="s">
        <v>778</v>
      </c>
      <c r="O5" s="472" t="s">
        <v>779</v>
      </c>
      <c r="P5" s="473" t="s">
        <v>780</v>
      </c>
      <c r="Q5" s="472">
        <v>33316</v>
      </c>
      <c r="R5" s="472" t="s">
        <v>781</v>
      </c>
      <c r="S5" s="472" t="s">
        <v>782</v>
      </c>
      <c r="T5" s="472" t="s">
        <v>783</v>
      </c>
      <c r="U5" s="459"/>
      <c r="V5" s="459"/>
      <c r="W5" s="485" t="s">
        <v>784</v>
      </c>
      <c r="X5" s="472" t="s">
        <v>785</v>
      </c>
      <c r="Y5" s="472" t="s">
        <v>786</v>
      </c>
      <c r="Z5" s="473" t="s">
        <v>787</v>
      </c>
      <c r="AA5" s="459"/>
      <c r="AB5" s="473" t="s">
        <v>788</v>
      </c>
      <c r="AC5" s="473">
        <v>4</v>
      </c>
      <c r="AD5" s="472" t="s">
        <v>776</v>
      </c>
      <c r="AE5" s="479">
        <v>232000</v>
      </c>
      <c r="AF5" s="480"/>
      <c r="AG5" s="480"/>
      <c r="AH5" s="480"/>
      <c r="AI5" s="494"/>
      <c r="AJ5" s="459"/>
      <c r="AK5" s="459"/>
      <c r="AL5" s="459"/>
      <c r="AM5" s="459"/>
      <c r="AN5" s="459"/>
      <c r="AO5" s="459"/>
      <c r="AP5" s="459"/>
      <c r="AQ5" s="459"/>
      <c r="AR5" s="459"/>
      <c r="AS5" s="459"/>
      <c r="AT5" s="459"/>
      <c r="AU5" s="459"/>
      <c r="AV5" s="459"/>
    </row>
    <row r="6" spans="1:48" x14ac:dyDescent="0.2">
      <c r="A6" s="470" t="s">
        <v>789</v>
      </c>
      <c r="B6" s="472" t="s">
        <v>165</v>
      </c>
      <c r="C6" s="473">
        <v>60</v>
      </c>
      <c r="D6" s="474">
        <v>145</v>
      </c>
      <c r="E6" s="506">
        <v>8700</v>
      </c>
      <c r="F6" s="476" t="s">
        <v>121</v>
      </c>
      <c r="G6" s="506">
        <v>8700</v>
      </c>
      <c r="H6" s="506"/>
      <c r="I6" s="478"/>
      <c r="J6" s="479">
        <v>8700</v>
      </c>
      <c r="K6" s="459"/>
      <c r="L6" s="459"/>
      <c r="M6" s="472" t="s">
        <v>790</v>
      </c>
      <c r="N6" s="495" t="s">
        <v>791</v>
      </c>
      <c r="O6" s="472" t="s">
        <v>792</v>
      </c>
      <c r="P6" s="473" t="s">
        <v>769</v>
      </c>
      <c r="Q6" s="472">
        <v>11719</v>
      </c>
      <c r="R6" s="472" t="s">
        <v>793</v>
      </c>
      <c r="S6" s="459"/>
      <c r="T6" s="459"/>
      <c r="U6" s="459"/>
      <c r="V6" s="459"/>
      <c r="W6" s="487" t="s">
        <v>794</v>
      </c>
      <c r="X6" s="472" t="s">
        <v>795</v>
      </c>
      <c r="Y6" s="472" t="s">
        <v>796</v>
      </c>
      <c r="Z6" s="459"/>
      <c r="AA6" s="459"/>
      <c r="AB6" s="473" t="s">
        <v>797</v>
      </c>
      <c r="AC6" s="473" t="s">
        <v>798</v>
      </c>
      <c r="AD6" s="472" t="s">
        <v>776</v>
      </c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/>
      <c r="AR6" s="459"/>
      <c r="AS6" s="459"/>
      <c r="AT6" s="459"/>
      <c r="AU6" s="459"/>
      <c r="AV6" s="459"/>
    </row>
    <row r="7" spans="1:48" x14ac:dyDescent="0.2">
      <c r="A7" s="470" t="s">
        <v>177</v>
      </c>
      <c r="B7" s="472" t="s">
        <v>165</v>
      </c>
      <c r="C7" s="473">
        <v>39</v>
      </c>
      <c r="D7" s="474">
        <v>145</v>
      </c>
      <c r="E7" s="506">
        <v>5655</v>
      </c>
      <c r="F7" s="476" t="s">
        <v>121</v>
      </c>
      <c r="G7" s="506">
        <v>5655</v>
      </c>
      <c r="H7" s="506"/>
      <c r="I7" s="478"/>
      <c r="J7" s="479">
        <v>5655</v>
      </c>
      <c r="K7" s="489"/>
      <c r="L7" s="475"/>
      <c r="M7" s="472" t="s">
        <v>799</v>
      </c>
      <c r="N7" s="472" t="s">
        <v>800</v>
      </c>
      <c r="O7" s="472" t="s">
        <v>801</v>
      </c>
      <c r="P7" s="473" t="s">
        <v>802</v>
      </c>
      <c r="Q7" s="472"/>
      <c r="R7" s="472" t="s">
        <v>803</v>
      </c>
      <c r="S7" s="472"/>
      <c r="T7" s="472"/>
      <c r="U7" s="472"/>
      <c r="V7" s="472"/>
      <c r="W7" s="483" t="s">
        <v>804</v>
      </c>
      <c r="X7" s="472" t="s">
        <v>805</v>
      </c>
      <c r="Y7" s="472" t="s">
        <v>806</v>
      </c>
      <c r="Z7" s="473">
        <v>581118</v>
      </c>
      <c r="AA7" s="480"/>
      <c r="AB7" s="473" t="s">
        <v>807</v>
      </c>
      <c r="AC7" s="473"/>
      <c r="AD7" s="472" t="s">
        <v>776</v>
      </c>
      <c r="AE7" s="472"/>
      <c r="AF7" s="480"/>
      <c r="AG7" s="480"/>
      <c r="AH7" s="480"/>
      <c r="AI7" s="473"/>
      <c r="AJ7" s="475"/>
      <c r="AK7" s="475"/>
      <c r="AL7" s="475"/>
      <c r="AM7" s="475"/>
      <c r="AN7" s="475"/>
      <c r="AO7" s="475"/>
      <c r="AP7" s="475"/>
      <c r="AQ7" s="475"/>
      <c r="AR7" s="475"/>
      <c r="AS7" s="475"/>
      <c r="AT7" s="475"/>
      <c r="AU7" s="475"/>
      <c r="AV7" s="475"/>
    </row>
    <row r="8" spans="1:48" x14ac:dyDescent="0.2">
      <c r="A8" s="470" t="s">
        <v>178</v>
      </c>
      <c r="B8" s="472" t="s">
        <v>165</v>
      </c>
      <c r="C8" s="473">
        <v>38</v>
      </c>
      <c r="D8" s="474">
        <v>145</v>
      </c>
      <c r="E8" s="506">
        <v>5510</v>
      </c>
      <c r="F8" s="476" t="s">
        <v>121</v>
      </c>
      <c r="G8" s="506">
        <v>5510</v>
      </c>
      <c r="H8" s="506"/>
      <c r="I8" s="478"/>
      <c r="J8" s="479">
        <v>5510</v>
      </c>
      <c r="K8" s="459"/>
      <c r="L8" s="459"/>
      <c r="M8" s="472" t="s">
        <v>808</v>
      </c>
      <c r="N8" s="472" t="s">
        <v>809</v>
      </c>
      <c r="O8" s="472" t="s">
        <v>810</v>
      </c>
      <c r="P8" s="473" t="s">
        <v>769</v>
      </c>
      <c r="Q8" s="472">
        <v>11961</v>
      </c>
      <c r="R8" s="472" t="s">
        <v>811</v>
      </c>
      <c r="S8" s="472" t="s">
        <v>812</v>
      </c>
      <c r="T8" s="459"/>
      <c r="U8" s="459"/>
      <c r="V8" s="459"/>
      <c r="W8" s="485" t="s">
        <v>813</v>
      </c>
      <c r="X8" s="472" t="s">
        <v>814</v>
      </c>
      <c r="Y8" s="472" t="s">
        <v>815</v>
      </c>
      <c r="Z8" s="473">
        <v>934778</v>
      </c>
      <c r="AA8" s="459"/>
      <c r="AB8" s="473">
        <v>14</v>
      </c>
      <c r="AC8" s="473" t="s">
        <v>816</v>
      </c>
      <c r="AD8" s="472" t="s">
        <v>776</v>
      </c>
      <c r="AE8" s="479">
        <v>98000</v>
      </c>
      <c r="AF8" s="459"/>
      <c r="AG8" s="459"/>
      <c r="AH8" s="459"/>
      <c r="AI8" s="459"/>
      <c r="AJ8" s="459"/>
      <c r="AK8" s="459"/>
      <c r="AL8" s="459"/>
      <c r="AM8" s="459"/>
      <c r="AN8" s="459"/>
      <c r="AO8" s="459"/>
      <c r="AP8" s="459"/>
      <c r="AQ8" s="459"/>
      <c r="AR8" s="459"/>
      <c r="AS8" s="459"/>
      <c r="AT8" s="459"/>
      <c r="AU8" s="459"/>
      <c r="AV8" s="459"/>
    </row>
    <row r="9" spans="1:48" x14ac:dyDescent="0.2">
      <c r="A9" s="504" t="s">
        <v>817</v>
      </c>
      <c r="B9" s="472" t="s">
        <v>165</v>
      </c>
      <c r="C9" s="473">
        <v>25</v>
      </c>
      <c r="D9" s="474">
        <v>145</v>
      </c>
      <c r="E9" s="506">
        <v>3829</v>
      </c>
      <c r="F9" s="476" t="s">
        <v>1339</v>
      </c>
      <c r="G9" s="506">
        <v>4640</v>
      </c>
      <c r="H9" s="506"/>
      <c r="I9" s="478"/>
      <c r="J9" s="479">
        <v>4640</v>
      </c>
      <c r="K9" s="489"/>
      <c r="L9" s="475" t="s">
        <v>818</v>
      </c>
      <c r="M9" s="472" t="s">
        <v>819</v>
      </c>
      <c r="N9" s="472" t="s">
        <v>820</v>
      </c>
      <c r="O9" s="472"/>
      <c r="P9" s="473"/>
      <c r="Q9" s="472"/>
      <c r="R9" s="472" t="s">
        <v>821</v>
      </c>
      <c r="S9" s="472"/>
      <c r="T9" s="472"/>
      <c r="U9" s="472"/>
      <c r="V9" s="472"/>
      <c r="W9" s="472" t="s">
        <v>822</v>
      </c>
      <c r="X9" s="472"/>
      <c r="Y9" s="472" t="s">
        <v>823</v>
      </c>
      <c r="Z9" s="473"/>
      <c r="AA9" s="480"/>
      <c r="AB9" s="473" t="s">
        <v>824</v>
      </c>
      <c r="AC9" s="473" t="s">
        <v>825</v>
      </c>
      <c r="AD9" s="472" t="s">
        <v>776</v>
      </c>
      <c r="AE9" s="472"/>
      <c r="AF9" s="480"/>
      <c r="AG9" s="480"/>
      <c r="AH9" s="480"/>
      <c r="AI9" s="473"/>
      <c r="AJ9" s="475"/>
      <c r="AK9" s="475"/>
      <c r="AL9" s="475"/>
      <c r="AM9" s="475"/>
      <c r="AN9" s="475"/>
      <c r="AO9" s="475"/>
      <c r="AP9" s="475"/>
      <c r="AQ9" s="475"/>
      <c r="AR9" s="475"/>
      <c r="AS9" s="475"/>
      <c r="AT9" s="475"/>
      <c r="AU9" s="475"/>
      <c r="AV9" s="475"/>
    </row>
    <row r="10" spans="1:48" x14ac:dyDescent="0.2">
      <c r="A10" s="470" t="s">
        <v>179</v>
      </c>
      <c r="B10" s="472" t="s">
        <v>165</v>
      </c>
      <c r="C10" s="473">
        <v>40</v>
      </c>
      <c r="D10" s="474">
        <v>145</v>
      </c>
      <c r="E10" s="506">
        <v>5800</v>
      </c>
      <c r="F10" s="476" t="s">
        <v>121</v>
      </c>
      <c r="G10" s="506">
        <v>5800</v>
      </c>
      <c r="H10" s="506"/>
      <c r="I10" s="478"/>
      <c r="J10" s="479">
        <v>5800</v>
      </c>
      <c r="K10" s="459"/>
      <c r="L10" s="459"/>
      <c r="M10" s="472" t="s">
        <v>826</v>
      </c>
      <c r="N10" s="472" t="s">
        <v>827</v>
      </c>
      <c r="O10" s="472" t="s">
        <v>828</v>
      </c>
      <c r="P10" s="473" t="s">
        <v>769</v>
      </c>
      <c r="Q10" s="472">
        <v>10321</v>
      </c>
      <c r="R10" s="472" t="s">
        <v>829</v>
      </c>
      <c r="S10" s="472" t="s">
        <v>830</v>
      </c>
      <c r="T10" s="459"/>
      <c r="U10" s="459"/>
      <c r="V10" s="459"/>
      <c r="W10" s="483" t="s">
        <v>831</v>
      </c>
      <c r="X10" s="472" t="s">
        <v>832</v>
      </c>
      <c r="Y10" s="472" t="s">
        <v>768</v>
      </c>
      <c r="Z10" s="473">
        <v>1133774</v>
      </c>
      <c r="AA10" s="459"/>
      <c r="AB10" s="473">
        <v>15</v>
      </c>
      <c r="AC10" s="473">
        <v>4.5</v>
      </c>
      <c r="AD10" s="472" t="s">
        <v>776</v>
      </c>
      <c r="AE10" s="479">
        <v>500000</v>
      </c>
      <c r="AF10" s="459"/>
      <c r="AG10" s="459"/>
      <c r="AH10" s="459"/>
      <c r="AI10" s="459"/>
      <c r="AJ10" s="459"/>
      <c r="AK10" s="459"/>
      <c r="AL10" s="459"/>
      <c r="AM10" s="459"/>
      <c r="AN10" s="459"/>
      <c r="AO10" s="459"/>
      <c r="AP10" s="459"/>
      <c r="AQ10" s="459"/>
      <c r="AR10" s="459"/>
      <c r="AS10" s="459"/>
      <c r="AT10" s="459"/>
      <c r="AU10" s="459"/>
      <c r="AV10" s="459"/>
    </row>
    <row r="11" spans="1:48" x14ac:dyDescent="0.2">
      <c r="A11" s="470" t="s">
        <v>181</v>
      </c>
      <c r="B11" s="472" t="s">
        <v>165</v>
      </c>
      <c r="C11" s="473">
        <v>103</v>
      </c>
      <c r="D11" s="474">
        <v>145</v>
      </c>
      <c r="E11" s="506">
        <v>14935</v>
      </c>
      <c r="F11" s="476" t="s">
        <v>121</v>
      </c>
      <c r="G11" s="506">
        <v>14935</v>
      </c>
      <c r="H11" s="506"/>
      <c r="I11" s="478"/>
      <c r="J11" s="479">
        <v>14935</v>
      </c>
      <c r="K11" s="489"/>
      <c r="L11" s="475"/>
      <c r="M11" s="472" t="s">
        <v>833</v>
      </c>
      <c r="N11" s="472" t="s">
        <v>834</v>
      </c>
      <c r="O11" s="472" t="s">
        <v>835</v>
      </c>
      <c r="P11" s="473" t="s">
        <v>836</v>
      </c>
      <c r="Q11" s="472">
        <v>92067</v>
      </c>
      <c r="R11" s="472" t="s">
        <v>837</v>
      </c>
      <c r="S11" s="472"/>
      <c r="T11" s="472" t="s">
        <v>838</v>
      </c>
      <c r="U11" s="472"/>
      <c r="V11" s="472"/>
      <c r="W11" s="496" t="s">
        <v>839</v>
      </c>
      <c r="X11" s="472" t="s">
        <v>840</v>
      </c>
      <c r="Y11" s="472" t="s">
        <v>841</v>
      </c>
      <c r="Z11" s="473" t="s">
        <v>842</v>
      </c>
      <c r="AA11" s="480"/>
      <c r="AB11" s="473">
        <v>22</v>
      </c>
      <c r="AC11" s="473">
        <v>6</v>
      </c>
      <c r="AD11" s="472" t="s">
        <v>776</v>
      </c>
      <c r="AE11" s="479">
        <v>250000</v>
      </c>
      <c r="AF11" s="480"/>
      <c r="AG11" s="480"/>
      <c r="AH11" s="480"/>
      <c r="AI11" s="473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  <c r="AU11" s="475"/>
      <c r="AV11" s="475"/>
    </row>
    <row r="12" spans="1:48" x14ac:dyDescent="0.2">
      <c r="A12" s="470" t="s">
        <v>1340</v>
      </c>
      <c r="B12" s="472" t="s">
        <v>168</v>
      </c>
      <c r="C12" s="473">
        <v>24</v>
      </c>
      <c r="D12" s="474">
        <v>110</v>
      </c>
      <c r="E12" s="506">
        <v>2640</v>
      </c>
      <c r="F12" s="476" t="s">
        <v>1339</v>
      </c>
      <c r="G12" s="506">
        <v>3520</v>
      </c>
      <c r="H12" s="506"/>
      <c r="I12" s="478"/>
      <c r="J12" s="479">
        <v>3520</v>
      </c>
      <c r="K12" s="459"/>
      <c r="L12" s="459"/>
      <c r="M12" s="472" t="s">
        <v>1341</v>
      </c>
      <c r="N12" s="459"/>
      <c r="O12" s="459"/>
      <c r="P12" s="459"/>
      <c r="Q12" s="459"/>
      <c r="R12" s="475"/>
      <c r="S12" s="459"/>
      <c r="T12" s="459"/>
      <c r="U12" s="459"/>
      <c r="V12" s="459"/>
      <c r="W12" s="481"/>
      <c r="X12" s="472" t="s">
        <v>1342</v>
      </c>
      <c r="Y12" s="472" t="s">
        <v>1343</v>
      </c>
      <c r="Z12" s="459"/>
      <c r="AA12" s="459"/>
      <c r="AB12" s="473" t="s">
        <v>1344</v>
      </c>
      <c r="AC12" s="473" t="s">
        <v>879</v>
      </c>
      <c r="AD12" s="472" t="s">
        <v>869</v>
      </c>
      <c r="AE12" s="459"/>
      <c r="AF12" s="459"/>
      <c r="AG12" s="459"/>
      <c r="AH12" s="459"/>
      <c r="AI12" s="459"/>
      <c r="AJ12" s="459"/>
      <c r="AK12" s="459"/>
      <c r="AL12" s="459"/>
      <c r="AM12" s="459"/>
      <c r="AN12" s="459"/>
      <c r="AO12" s="459"/>
      <c r="AP12" s="459"/>
      <c r="AQ12" s="459"/>
      <c r="AR12" s="459"/>
      <c r="AS12" s="459"/>
      <c r="AT12" s="459"/>
      <c r="AU12" s="459"/>
      <c r="AV12" s="459"/>
    </row>
    <row r="13" spans="1:48" s="132" customFormat="1" x14ac:dyDescent="0.2">
      <c r="A13" s="470" t="s">
        <v>843</v>
      </c>
      <c r="B13" s="472" t="s">
        <v>168</v>
      </c>
      <c r="C13" s="473">
        <v>28</v>
      </c>
      <c r="D13" s="474">
        <v>110</v>
      </c>
      <c r="E13" s="506">
        <v>3080</v>
      </c>
      <c r="F13" s="476" t="s">
        <v>1339</v>
      </c>
      <c r="G13" s="506">
        <v>3520</v>
      </c>
      <c r="H13" s="506"/>
      <c r="I13" s="478"/>
      <c r="J13" s="479">
        <v>3520</v>
      </c>
      <c r="K13" s="489"/>
      <c r="L13" s="475"/>
      <c r="M13" s="472" t="s">
        <v>108</v>
      </c>
      <c r="N13" s="472" t="s">
        <v>844</v>
      </c>
      <c r="O13" s="472" t="s">
        <v>845</v>
      </c>
      <c r="P13" s="473" t="s">
        <v>769</v>
      </c>
      <c r="Q13" s="472">
        <v>11733</v>
      </c>
      <c r="R13" s="475" t="s">
        <v>846</v>
      </c>
      <c r="S13" s="472"/>
      <c r="T13" s="472"/>
      <c r="U13" s="472"/>
      <c r="V13" s="472"/>
      <c r="W13" s="481" t="s">
        <v>847</v>
      </c>
      <c r="X13" s="472" t="s">
        <v>848</v>
      </c>
      <c r="Y13" s="472" t="s">
        <v>1345</v>
      </c>
      <c r="Z13" s="473"/>
      <c r="AA13" s="480"/>
      <c r="AB13" s="473"/>
      <c r="AC13" s="473"/>
      <c r="AD13" s="472" t="s">
        <v>776</v>
      </c>
      <c r="AE13" s="472"/>
      <c r="AF13" s="480"/>
      <c r="AG13" s="480"/>
      <c r="AH13" s="480"/>
      <c r="AI13" s="473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</row>
    <row r="14" spans="1:48" x14ac:dyDescent="0.2">
      <c r="A14" s="470" t="s">
        <v>540</v>
      </c>
      <c r="B14" s="472" t="s">
        <v>168</v>
      </c>
      <c r="C14" s="473">
        <v>31</v>
      </c>
      <c r="D14" s="474">
        <v>110</v>
      </c>
      <c r="E14" s="506">
        <v>3410</v>
      </c>
      <c r="F14" s="476" t="s">
        <v>1339</v>
      </c>
      <c r="G14" s="506">
        <v>3520</v>
      </c>
      <c r="H14" s="506"/>
      <c r="I14" s="478"/>
      <c r="J14" s="479">
        <v>3520</v>
      </c>
      <c r="K14" s="489"/>
      <c r="L14" s="475"/>
      <c r="M14" s="472" t="s">
        <v>849</v>
      </c>
      <c r="N14" s="472" t="s">
        <v>850</v>
      </c>
      <c r="O14" s="472" t="s">
        <v>851</v>
      </c>
      <c r="P14" s="473" t="s">
        <v>769</v>
      </c>
      <c r="Q14" s="472">
        <v>10002</v>
      </c>
      <c r="R14" s="475"/>
      <c r="S14" s="472" t="s">
        <v>852</v>
      </c>
      <c r="T14" s="472"/>
      <c r="U14" s="472"/>
      <c r="V14" s="472"/>
      <c r="W14" s="490" t="s">
        <v>1346</v>
      </c>
      <c r="X14" s="472" t="s">
        <v>853</v>
      </c>
      <c r="Y14" s="472" t="s">
        <v>1347</v>
      </c>
      <c r="Z14" s="473"/>
      <c r="AA14" s="480"/>
      <c r="AB14" s="473">
        <v>31</v>
      </c>
      <c r="AC14" s="473"/>
      <c r="AD14" s="472"/>
      <c r="AE14" s="472"/>
      <c r="AF14" s="480"/>
      <c r="AG14" s="480"/>
      <c r="AH14" s="480"/>
      <c r="AI14" s="473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</row>
    <row r="15" spans="1:48" x14ac:dyDescent="0.2">
      <c r="A15" s="470" t="s">
        <v>384</v>
      </c>
      <c r="B15" s="472" t="s">
        <v>168</v>
      </c>
      <c r="C15" s="473">
        <v>25</v>
      </c>
      <c r="D15" s="474">
        <v>110</v>
      </c>
      <c r="E15" s="506">
        <v>2750</v>
      </c>
      <c r="F15" s="476" t="s">
        <v>1339</v>
      </c>
      <c r="G15" s="506">
        <v>3520</v>
      </c>
      <c r="H15" s="506"/>
      <c r="I15" s="478"/>
      <c r="J15" s="479">
        <v>3520</v>
      </c>
      <c r="K15" s="459"/>
      <c r="L15" s="459"/>
      <c r="M15" s="472" t="s">
        <v>771</v>
      </c>
      <c r="N15" s="482" t="s">
        <v>854</v>
      </c>
      <c r="O15" s="472" t="s">
        <v>855</v>
      </c>
      <c r="P15" s="473" t="s">
        <v>769</v>
      </c>
      <c r="Q15" s="472">
        <v>10011</v>
      </c>
      <c r="R15" s="472" t="s">
        <v>856</v>
      </c>
      <c r="S15" s="459"/>
      <c r="T15" s="459"/>
      <c r="U15" s="459"/>
      <c r="V15" s="472">
        <v>62</v>
      </c>
      <c r="W15" s="481" t="s">
        <v>857</v>
      </c>
      <c r="X15" s="472" t="s">
        <v>869</v>
      </c>
      <c r="Y15" s="472" t="s">
        <v>858</v>
      </c>
      <c r="Z15" s="459"/>
      <c r="AA15" s="459"/>
      <c r="AB15" s="473" t="s">
        <v>859</v>
      </c>
      <c r="AC15" s="473" t="s">
        <v>860</v>
      </c>
      <c r="AD15" s="472" t="s">
        <v>776</v>
      </c>
      <c r="AE15" s="479">
        <v>135000</v>
      </c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</row>
    <row r="16" spans="1:48" x14ac:dyDescent="0.2">
      <c r="A16" s="471" t="s">
        <v>167</v>
      </c>
      <c r="B16" s="472" t="s">
        <v>168</v>
      </c>
      <c r="C16" s="473">
        <v>25</v>
      </c>
      <c r="D16" s="474">
        <v>110</v>
      </c>
      <c r="E16" s="506">
        <v>2750</v>
      </c>
      <c r="F16" s="476" t="s">
        <v>1339</v>
      </c>
      <c r="G16" s="506">
        <v>3520</v>
      </c>
      <c r="H16" s="506"/>
      <c r="I16" s="478"/>
      <c r="J16" s="479">
        <v>3520</v>
      </c>
      <c r="K16" s="489"/>
      <c r="L16" s="475"/>
      <c r="M16" s="472" t="s">
        <v>861</v>
      </c>
      <c r="N16" s="472" t="s">
        <v>862</v>
      </c>
      <c r="O16" s="472" t="s">
        <v>851</v>
      </c>
      <c r="P16" s="473" t="s">
        <v>769</v>
      </c>
      <c r="Q16" s="472">
        <v>10017</v>
      </c>
      <c r="R16" s="472" t="s">
        <v>863</v>
      </c>
      <c r="S16" s="472" t="s">
        <v>864</v>
      </c>
      <c r="T16" s="472"/>
      <c r="U16" s="472">
        <v>6922</v>
      </c>
      <c r="V16" s="472">
        <v>562</v>
      </c>
      <c r="W16" s="487" t="s">
        <v>865</v>
      </c>
      <c r="X16" s="472" t="s">
        <v>866</v>
      </c>
      <c r="Y16" s="472" t="s">
        <v>867</v>
      </c>
      <c r="Z16" s="473" t="s">
        <v>868</v>
      </c>
      <c r="AA16" s="480"/>
      <c r="AB16" s="473"/>
      <c r="AC16" s="473"/>
      <c r="AD16" s="472" t="s">
        <v>869</v>
      </c>
      <c r="AE16" s="472"/>
      <c r="AF16" s="480"/>
      <c r="AG16" s="480"/>
      <c r="AH16" s="480"/>
      <c r="AI16" s="473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</row>
    <row r="17" spans="1:48" x14ac:dyDescent="0.2">
      <c r="A17" s="470" t="s">
        <v>870</v>
      </c>
      <c r="B17" s="472" t="s">
        <v>168</v>
      </c>
      <c r="C17" s="473">
        <v>23</v>
      </c>
      <c r="D17" s="474">
        <v>110</v>
      </c>
      <c r="E17" s="506">
        <v>2735</v>
      </c>
      <c r="F17" s="476" t="s">
        <v>1339</v>
      </c>
      <c r="G17" s="506">
        <v>3520</v>
      </c>
      <c r="H17" s="506">
        <v>500</v>
      </c>
      <c r="I17" s="478">
        <v>500</v>
      </c>
      <c r="J17" s="479">
        <v>3520</v>
      </c>
      <c r="K17" s="489"/>
      <c r="L17" s="475"/>
      <c r="M17" s="472" t="s">
        <v>871</v>
      </c>
      <c r="N17" s="472" t="s">
        <v>872</v>
      </c>
      <c r="O17" s="472" t="s">
        <v>873</v>
      </c>
      <c r="P17" s="473" t="s">
        <v>769</v>
      </c>
      <c r="Q17" s="472">
        <v>11201</v>
      </c>
      <c r="R17" s="472" t="s">
        <v>874</v>
      </c>
      <c r="S17" s="472"/>
      <c r="T17" s="472"/>
      <c r="U17" s="472"/>
      <c r="V17" s="472">
        <v>149</v>
      </c>
      <c r="W17" s="503" t="s">
        <v>875</v>
      </c>
      <c r="X17" s="472" t="s">
        <v>876</v>
      </c>
      <c r="Y17" s="472" t="s">
        <v>877</v>
      </c>
      <c r="Z17" s="473" t="s">
        <v>878</v>
      </c>
      <c r="AA17" s="480"/>
      <c r="AB17" s="473" t="s">
        <v>859</v>
      </c>
      <c r="AC17" s="473" t="s">
        <v>879</v>
      </c>
      <c r="AD17" s="472" t="s">
        <v>869</v>
      </c>
      <c r="AE17" s="472"/>
      <c r="AF17" s="480"/>
      <c r="AG17" s="480"/>
      <c r="AH17" s="480"/>
      <c r="AI17" s="473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</row>
    <row r="18" spans="1:48" x14ac:dyDescent="0.2">
      <c r="A18" s="470" t="s">
        <v>169</v>
      </c>
      <c r="B18" s="472" t="s">
        <v>168</v>
      </c>
      <c r="C18" s="473">
        <v>36</v>
      </c>
      <c r="D18" s="474">
        <v>110</v>
      </c>
      <c r="E18" s="506">
        <v>3960</v>
      </c>
      <c r="F18" s="476" t="s">
        <v>121</v>
      </c>
      <c r="G18" s="506">
        <v>3960</v>
      </c>
      <c r="H18" s="507"/>
      <c r="I18" s="505"/>
      <c r="J18" s="479">
        <v>3960</v>
      </c>
      <c r="K18" s="475"/>
      <c r="L18" s="475" t="s">
        <v>1348</v>
      </c>
      <c r="M18" s="472" t="s">
        <v>880</v>
      </c>
      <c r="N18" s="472" t="s">
        <v>881</v>
      </c>
      <c r="O18" s="472" t="s">
        <v>763</v>
      </c>
      <c r="P18" s="473" t="s">
        <v>764</v>
      </c>
      <c r="Q18" s="472">
        <v>7302</v>
      </c>
      <c r="R18" s="472" t="s">
        <v>882</v>
      </c>
      <c r="S18" s="472"/>
      <c r="T18" s="472"/>
      <c r="U18" s="472"/>
      <c r="V18" s="472">
        <v>368</v>
      </c>
      <c r="W18" s="496" t="s">
        <v>883</v>
      </c>
      <c r="X18" s="472" t="s">
        <v>1349</v>
      </c>
      <c r="Y18" s="472" t="s">
        <v>815</v>
      </c>
      <c r="Z18" s="473" t="s">
        <v>1350</v>
      </c>
      <c r="AA18" s="480"/>
      <c r="AB18" s="473"/>
      <c r="AC18" s="473"/>
      <c r="AD18" s="472" t="s">
        <v>776</v>
      </c>
      <c r="AE18" s="480"/>
      <c r="AF18" s="480"/>
      <c r="AG18" s="480"/>
      <c r="AH18" s="473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</row>
    <row r="19" spans="1:48" x14ac:dyDescent="0.2">
      <c r="A19" s="470" t="s">
        <v>169</v>
      </c>
      <c r="B19" s="472" t="s">
        <v>168</v>
      </c>
      <c r="C19" s="473">
        <v>25</v>
      </c>
      <c r="D19" s="474">
        <v>110</v>
      </c>
      <c r="E19" s="506">
        <v>2750</v>
      </c>
      <c r="F19" s="476" t="s">
        <v>1351</v>
      </c>
      <c r="G19" s="506">
        <v>3520</v>
      </c>
      <c r="H19" s="506"/>
      <c r="I19" s="478"/>
      <c r="J19" s="479">
        <v>3520</v>
      </c>
      <c r="K19" s="489"/>
      <c r="L19" s="475"/>
      <c r="M19" s="472" t="s">
        <v>880</v>
      </c>
      <c r="N19" s="472" t="s">
        <v>881</v>
      </c>
      <c r="O19" s="472" t="s">
        <v>763</v>
      </c>
      <c r="P19" s="473" t="s">
        <v>764</v>
      </c>
      <c r="Q19" s="472">
        <v>7302</v>
      </c>
      <c r="R19" s="472" t="s">
        <v>882</v>
      </c>
      <c r="S19" s="472"/>
      <c r="T19" s="472"/>
      <c r="U19" s="472"/>
      <c r="V19" s="472">
        <v>368</v>
      </c>
      <c r="W19" s="496" t="s">
        <v>883</v>
      </c>
      <c r="X19" s="472" t="s">
        <v>869</v>
      </c>
      <c r="Y19" s="472" t="s">
        <v>884</v>
      </c>
      <c r="Z19" s="473" t="s">
        <v>885</v>
      </c>
      <c r="AA19" s="480"/>
      <c r="AB19" s="473"/>
      <c r="AC19" s="473"/>
      <c r="AD19" s="472" t="s">
        <v>869</v>
      </c>
      <c r="AE19" s="472"/>
      <c r="AF19" s="480"/>
      <c r="AG19" s="480"/>
      <c r="AH19" s="480"/>
      <c r="AI19" s="473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</row>
    <row r="20" spans="1:48" x14ac:dyDescent="0.2">
      <c r="A20" s="470" t="s">
        <v>154</v>
      </c>
      <c r="B20" s="472" t="s">
        <v>168</v>
      </c>
      <c r="C20" s="492">
        <v>24</v>
      </c>
      <c r="D20" s="474">
        <v>110</v>
      </c>
      <c r="E20" s="506">
        <v>2735</v>
      </c>
      <c r="F20" s="476" t="s">
        <v>1339</v>
      </c>
      <c r="G20" s="506">
        <v>3520</v>
      </c>
      <c r="H20" s="506"/>
      <c r="I20" s="479"/>
      <c r="J20" s="479">
        <v>3520</v>
      </c>
      <c r="K20" s="459"/>
      <c r="L20" s="472"/>
      <c r="M20" s="472" t="s">
        <v>886</v>
      </c>
      <c r="N20" s="472" t="s">
        <v>887</v>
      </c>
      <c r="O20" s="472" t="s">
        <v>888</v>
      </c>
      <c r="P20" s="473" t="s">
        <v>769</v>
      </c>
      <c r="Q20" s="472">
        <v>11705</v>
      </c>
      <c r="R20" s="459"/>
      <c r="S20" s="472" t="s">
        <v>889</v>
      </c>
      <c r="T20" s="459"/>
      <c r="U20" s="472">
        <v>7575</v>
      </c>
      <c r="V20" s="472">
        <v>246</v>
      </c>
      <c r="W20" s="483" t="s">
        <v>890</v>
      </c>
      <c r="X20" s="472" t="s">
        <v>891</v>
      </c>
      <c r="Y20" s="472" t="s">
        <v>892</v>
      </c>
      <c r="Z20" s="473" t="s">
        <v>893</v>
      </c>
      <c r="AA20" s="459"/>
      <c r="AB20" s="473" t="s">
        <v>894</v>
      </c>
      <c r="AC20" s="459"/>
      <c r="AD20" s="472" t="s">
        <v>869</v>
      </c>
      <c r="AE20" s="472">
        <v>18000</v>
      </c>
      <c r="AF20" s="473"/>
      <c r="AG20" s="493"/>
      <c r="AH20" s="493"/>
      <c r="AI20" s="493"/>
      <c r="AJ20" s="493"/>
      <c r="AK20" s="472"/>
      <c r="AL20" s="472"/>
      <c r="AM20" s="473"/>
      <c r="AN20" s="472"/>
      <c r="AO20" s="472"/>
      <c r="AP20" s="472"/>
      <c r="AQ20" s="472"/>
      <c r="AR20" s="472"/>
      <c r="AS20" s="472"/>
      <c r="AT20" s="472"/>
      <c r="AU20" s="472"/>
      <c r="AV20" s="472"/>
    </row>
    <row r="21" spans="1:48" x14ac:dyDescent="0.2">
      <c r="A21" s="470" t="s">
        <v>171</v>
      </c>
      <c r="B21" s="472" t="s">
        <v>168</v>
      </c>
      <c r="C21" s="473">
        <v>31</v>
      </c>
      <c r="D21" s="474">
        <v>110</v>
      </c>
      <c r="E21" s="506">
        <v>3410</v>
      </c>
      <c r="F21" s="476" t="s">
        <v>1339</v>
      </c>
      <c r="G21" s="506">
        <v>3520</v>
      </c>
      <c r="H21" s="506"/>
      <c r="I21" s="478"/>
      <c r="J21" s="479">
        <v>3520</v>
      </c>
      <c r="K21" s="459"/>
      <c r="L21" s="459"/>
      <c r="M21" s="472" t="s">
        <v>108</v>
      </c>
      <c r="N21" s="472" t="s">
        <v>895</v>
      </c>
      <c r="O21" s="472" t="s">
        <v>896</v>
      </c>
      <c r="P21" s="473" t="s">
        <v>769</v>
      </c>
      <c r="Q21" s="472">
        <v>15115</v>
      </c>
      <c r="R21" s="472" t="s">
        <v>897</v>
      </c>
      <c r="S21" s="472" t="s">
        <v>898</v>
      </c>
      <c r="T21" s="472" t="s">
        <v>899</v>
      </c>
      <c r="U21" s="472">
        <v>7046</v>
      </c>
      <c r="V21" s="472">
        <v>286</v>
      </c>
      <c r="W21" s="485" t="s">
        <v>900</v>
      </c>
      <c r="X21" s="472" t="s">
        <v>901</v>
      </c>
      <c r="Y21" s="472" t="s">
        <v>902</v>
      </c>
      <c r="Z21" s="459"/>
      <c r="AA21" s="459"/>
      <c r="AB21" s="473">
        <v>12</v>
      </c>
      <c r="AC21" s="473">
        <v>3</v>
      </c>
      <c r="AD21" s="472" t="s">
        <v>776</v>
      </c>
      <c r="AE21" s="459"/>
      <c r="AF21" s="459"/>
      <c r="AG21" s="459"/>
      <c r="AH21" s="459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</row>
    <row r="22" spans="1:48" x14ac:dyDescent="0.2">
      <c r="A22" s="470" t="s">
        <v>903</v>
      </c>
      <c r="B22" s="472" t="s">
        <v>168</v>
      </c>
      <c r="C22" s="473">
        <v>30</v>
      </c>
      <c r="D22" s="474">
        <v>110</v>
      </c>
      <c r="E22" s="506">
        <v>3300</v>
      </c>
      <c r="F22" s="476" t="s">
        <v>1339</v>
      </c>
      <c r="G22" s="506">
        <v>3520</v>
      </c>
      <c r="H22" s="506"/>
      <c r="I22" s="478"/>
      <c r="J22" s="479">
        <v>3520</v>
      </c>
      <c r="K22" s="489"/>
      <c r="L22" s="475"/>
      <c r="M22" s="472" t="s">
        <v>904</v>
      </c>
      <c r="N22" s="472"/>
      <c r="O22" s="472"/>
      <c r="P22" s="473"/>
      <c r="Q22" s="472"/>
      <c r="R22" s="472" t="s">
        <v>905</v>
      </c>
      <c r="S22" s="472"/>
      <c r="T22" s="472"/>
      <c r="U22" s="472"/>
      <c r="V22" s="472"/>
      <c r="W22" s="500" t="s">
        <v>906</v>
      </c>
      <c r="X22" s="472" t="s">
        <v>907</v>
      </c>
      <c r="Y22" s="472" t="s">
        <v>908</v>
      </c>
      <c r="Z22" s="473"/>
      <c r="AA22" s="480"/>
      <c r="AB22" s="473" t="s">
        <v>909</v>
      </c>
      <c r="AC22" s="473" t="s">
        <v>910</v>
      </c>
      <c r="AD22" s="472" t="s">
        <v>776</v>
      </c>
      <c r="AE22" s="472"/>
      <c r="AF22" s="480"/>
      <c r="AG22" s="480"/>
      <c r="AH22" s="480"/>
      <c r="AI22" s="473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</row>
    <row r="23" spans="1:48" x14ac:dyDescent="0.2">
      <c r="A23" s="470" t="s">
        <v>911</v>
      </c>
      <c r="B23" s="472" t="s">
        <v>168</v>
      </c>
      <c r="C23" s="473">
        <v>37</v>
      </c>
      <c r="D23" s="474">
        <v>110</v>
      </c>
      <c r="E23" s="506">
        <v>4070</v>
      </c>
      <c r="F23" s="476" t="s">
        <v>121</v>
      </c>
      <c r="G23" s="506">
        <v>4070</v>
      </c>
      <c r="H23" s="506">
        <v>500</v>
      </c>
      <c r="I23" s="478">
        <v>500</v>
      </c>
      <c r="J23" s="479">
        <v>4070</v>
      </c>
      <c r="K23" s="459"/>
      <c r="L23" s="459"/>
      <c r="M23" s="472" t="s">
        <v>912</v>
      </c>
      <c r="N23" s="472" t="s">
        <v>913</v>
      </c>
      <c r="O23" s="472" t="s">
        <v>914</v>
      </c>
      <c r="P23" s="473" t="s">
        <v>769</v>
      </c>
      <c r="Q23" s="472">
        <v>10801</v>
      </c>
      <c r="R23" s="459"/>
      <c r="S23" s="459"/>
      <c r="T23" s="459"/>
      <c r="U23" s="459"/>
      <c r="V23" s="472">
        <v>127</v>
      </c>
      <c r="W23" s="487" t="s">
        <v>915</v>
      </c>
      <c r="X23" s="472" t="s">
        <v>916</v>
      </c>
      <c r="Y23" s="472" t="s">
        <v>917</v>
      </c>
      <c r="Z23" s="459"/>
      <c r="AA23" s="459"/>
      <c r="AB23" s="473" t="s">
        <v>918</v>
      </c>
      <c r="AC23" s="459"/>
      <c r="AD23" s="472" t="s">
        <v>776</v>
      </c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</row>
    <row r="24" spans="1:48" x14ac:dyDescent="0.2">
      <c r="A24" s="470" t="s">
        <v>919</v>
      </c>
      <c r="B24" s="472" t="s">
        <v>168</v>
      </c>
      <c r="C24" s="473">
        <v>40</v>
      </c>
      <c r="D24" s="474">
        <v>110</v>
      </c>
      <c r="E24" s="506">
        <v>4400</v>
      </c>
      <c r="F24" s="476" t="s">
        <v>121</v>
      </c>
      <c r="G24" s="506">
        <v>4400</v>
      </c>
      <c r="H24" s="506"/>
      <c r="I24" s="459"/>
      <c r="J24" s="479">
        <v>4400</v>
      </c>
      <c r="K24" s="459"/>
      <c r="L24" s="459"/>
      <c r="M24" s="472" t="s">
        <v>761</v>
      </c>
      <c r="N24" s="472" t="s">
        <v>920</v>
      </c>
      <c r="O24" s="472" t="s">
        <v>921</v>
      </c>
      <c r="P24" s="473" t="s">
        <v>769</v>
      </c>
      <c r="Q24" s="472">
        <v>10605</v>
      </c>
      <c r="R24" s="472" t="s">
        <v>922</v>
      </c>
      <c r="S24" s="472" t="s">
        <v>923</v>
      </c>
      <c r="T24" s="472" t="s">
        <v>924</v>
      </c>
      <c r="U24" s="459"/>
      <c r="V24" s="459"/>
      <c r="W24" s="487" t="s">
        <v>925</v>
      </c>
      <c r="X24" s="472" t="s">
        <v>926</v>
      </c>
      <c r="Y24" s="472" t="s">
        <v>927</v>
      </c>
      <c r="Z24" s="459"/>
      <c r="AA24" s="459"/>
      <c r="AB24" s="473" t="s">
        <v>928</v>
      </c>
      <c r="AC24" s="473" t="s">
        <v>929</v>
      </c>
      <c r="AD24" s="472" t="s">
        <v>776</v>
      </c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</row>
    <row r="25" spans="1:48" x14ac:dyDescent="0.2">
      <c r="A25" s="470" t="s">
        <v>930</v>
      </c>
      <c r="B25" s="472" t="s">
        <v>168</v>
      </c>
      <c r="C25" s="473">
        <v>28</v>
      </c>
      <c r="D25" s="474">
        <v>110</v>
      </c>
      <c r="E25" s="506">
        <v>3080</v>
      </c>
      <c r="F25" s="476" t="s">
        <v>1339</v>
      </c>
      <c r="G25" s="506">
        <v>3520</v>
      </c>
      <c r="H25" s="506"/>
      <c r="I25" s="478"/>
      <c r="J25" s="479">
        <v>3520</v>
      </c>
      <c r="K25" s="489"/>
      <c r="L25" s="475"/>
      <c r="M25" s="472" t="s">
        <v>931</v>
      </c>
      <c r="N25" s="472"/>
      <c r="O25" s="472"/>
      <c r="P25" s="473"/>
      <c r="Q25" s="472"/>
      <c r="R25" s="491" t="s">
        <v>932</v>
      </c>
      <c r="S25" s="472"/>
      <c r="T25" s="491" t="s">
        <v>933</v>
      </c>
      <c r="U25" s="472"/>
      <c r="V25" s="472"/>
      <c r="W25" s="501" t="s">
        <v>934</v>
      </c>
      <c r="X25" s="472" t="s">
        <v>935</v>
      </c>
      <c r="Y25" s="472"/>
      <c r="Z25" s="473"/>
      <c r="AA25" s="480"/>
      <c r="AB25" s="473"/>
      <c r="AC25" s="473"/>
      <c r="AD25" s="472" t="s">
        <v>869</v>
      </c>
      <c r="AE25" s="472"/>
      <c r="AF25" s="480"/>
      <c r="AG25" s="480"/>
      <c r="AH25" s="480"/>
      <c r="AI25" s="473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</row>
    <row r="26" spans="1:48" x14ac:dyDescent="0.2">
      <c r="A26" s="504" t="s">
        <v>936</v>
      </c>
      <c r="B26" s="472" t="s">
        <v>168</v>
      </c>
      <c r="C26" s="473">
        <v>13</v>
      </c>
      <c r="D26" s="474">
        <v>110</v>
      </c>
      <c r="E26" s="506">
        <v>1430</v>
      </c>
      <c r="F26" s="476" t="s">
        <v>1352</v>
      </c>
      <c r="G26" s="506">
        <v>3520</v>
      </c>
      <c r="H26" s="506"/>
      <c r="I26" s="478"/>
      <c r="J26" s="479">
        <v>3520</v>
      </c>
      <c r="K26" s="489"/>
      <c r="L26" s="475" t="s">
        <v>1353</v>
      </c>
      <c r="M26" s="472" t="s">
        <v>937</v>
      </c>
      <c r="N26" s="472"/>
      <c r="O26" s="472"/>
      <c r="P26" s="473"/>
      <c r="Q26" s="472"/>
      <c r="R26" s="491" t="s">
        <v>938</v>
      </c>
      <c r="S26" s="472"/>
      <c r="T26" s="491"/>
      <c r="U26" s="472"/>
      <c r="V26" s="472" t="s">
        <v>939</v>
      </c>
      <c r="W26" s="501" t="s">
        <v>940</v>
      </c>
      <c r="X26" s="472" t="s">
        <v>1354</v>
      </c>
      <c r="Y26" s="472" t="s">
        <v>941</v>
      </c>
      <c r="Z26" s="473"/>
      <c r="AA26" s="480"/>
      <c r="AB26" s="473"/>
      <c r="AC26" s="473"/>
      <c r="AD26" s="472"/>
      <c r="AE26" s="472"/>
      <c r="AF26" s="480"/>
      <c r="AG26" s="480"/>
      <c r="AH26" s="480"/>
      <c r="AI26" s="473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</row>
    <row r="27" spans="1:48" x14ac:dyDescent="0.2">
      <c r="A27" s="470" t="s">
        <v>951</v>
      </c>
      <c r="B27" s="472" t="s">
        <v>168</v>
      </c>
      <c r="C27" s="473">
        <v>27</v>
      </c>
      <c r="D27" s="474">
        <v>110</v>
      </c>
      <c r="E27" s="506">
        <v>2970</v>
      </c>
      <c r="F27" s="476" t="s">
        <v>1339</v>
      </c>
      <c r="G27" s="506">
        <v>3520</v>
      </c>
      <c r="H27" s="506"/>
      <c r="I27" s="459"/>
      <c r="J27" s="479">
        <v>3520</v>
      </c>
      <c r="K27" s="459"/>
      <c r="L27" s="459"/>
      <c r="M27" s="472" t="s">
        <v>937</v>
      </c>
      <c r="N27" s="472" t="s">
        <v>952</v>
      </c>
      <c r="O27" s="472" t="s">
        <v>851</v>
      </c>
      <c r="P27" s="473" t="s">
        <v>769</v>
      </c>
      <c r="Q27" s="472">
        <v>10013</v>
      </c>
      <c r="R27" s="472" t="s">
        <v>953</v>
      </c>
      <c r="S27" s="459"/>
      <c r="T27" s="459"/>
      <c r="U27" s="459"/>
      <c r="V27" s="459"/>
      <c r="W27" s="490" t="s">
        <v>954</v>
      </c>
      <c r="X27" s="472" t="s">
        <v>955</v>
      </c>
      <c r="Y27" s="472" t="s">
        <v>956</v>
      </c>
      <c r="Z27" s="459"/>
      <c r="AA27" s="459"/>
      <c r="AB27" s="473" t="s">
        <v>957</v>
      </c>
      <c r="AC27" s="473" t="s">
        <v>958</v>
      </c>
      <c r="AD27" s="472" t="s">
        <v>776</v>
      </c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</row>
    <row r="28" spans="1:48" x14ac:dyDescent="0.2">
      <c r="A28" s="470" t="s">
        <v>1355</v>
      </c>
      <c r="B28" s="472" t="s">
        <v>168</v>
      </c>
      <c r="C28" s="473">
        <v>41</v>
      </c>
      <c r="D28" s="474">
        <v>110</v>
      </c>
      <c r="E28" s="506">
        <v>4510</v>
      </c>
      <c r="F28" s="476" t="s">
        <v>121</v>
      </c>
      <c r="G28" s="506">
        <v>4510</v>
      </c>
      <c r="H28" s="477"/>
      <c r="I28" s="478"/>
      <c r="J28" s="479">
        <v>4510</v>
      </c>
      <c r="K28" s="489"/>
      <c r="L28" s="475"/>
      <c r="M28" s="472" t="s">
        <v>1356</v>
      </c>
      <c r="N28" s="472"/>
      <c r="O28" s="472"/>
      <c r="P28" s="473"/>
      <c r="Q28" s="472"/>
      <c r="R28" s="472" t="s">
        <v>1357</v>
      </c>
      <c r="S28" s="472"/>
      <c r="T28" s="472"/>
      <c r="U28" s="472"/>
      <c r="V28" s="472"/>
      <c r="W28" s="472" t="s">
        <v>1358</v>
      </c>
      <c r="X28" s="472"/>
      <c r="Y28" s="472" t="s">
        <v>1359</v>
      </c>
      <c r="Z28" s="473"/>
      <c r="AA28" s="480"/>
      <c r="AB28" s="473" t="s">
        <v>918</v>
      </c>
      <c r="AC28" s="473"/>
      <c r="AD28" s="472"/>
      <c r="AE28" s="472"/>
      <c r="AF28" s="480"/>
      <c r="AG28" s="480"/>
      <c r="AH28" s="480"/>
      <c r="AI28" s="473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</row>
    <row r="29" spans="1:48" x14ac:dyDescent="0.2">
      <c r="A29" s="470" t="s">
        <v>265</v>
      </c>
      <c r="B29" s="472" t="s">
        <v>168</v>
      </c>
      <c r="C29" s="473">
        <v>25</v>
      </c>
      <c r="D29" s="474">
        <v>110</v>
      </c>
      <c r="E29" s="506">
        <v>2750</v>
      </c>
      <c r="F29" s="476" t="s">
        <v>1339</v>
      </c>
      <c r="G29" s="506">
        <v>3520</v>
      </c>
      <c r="H29" s="506">
        <v>500</v>
      </c>
      <c r="I29" s="478"/>
      <c r="J29" s="479">
        <v>4020</v>
      </c>
      <c r="K29" s="489"/>
      <c r="L29" s="475"/>
      <c r="M29" s="472" t="s">
        <v>248</v>
      </c>
      <c r="N29" s="472"/>
      <c r="O29" s="472"/>
      <c r="P29" s="473"/>
      <c r="Q29" s="472"/>
      <c r="R29" s="472"/>
      <c r="S29" s="472"/>
      <c r="T29" s="472"/>
      <c r="U29" s="472"/>
      <c r="V29" s="472"/>
      <c r="W29" s="502" t="s">
        <v>249</v>
      </c>
      <c r="X29" s="472" t="s">
        <v>959</v>
      </c>
      <c r="Y29" s="472" t="s">
        <v>960</v>
      </c>
      <c r="Z29" s="473" t="s">
        <v>961</v>
      </c>
      <c r="AA29" s="480"/>
      <c r="AB29" s="473" t="s">
        <v>962</v>
      </c>
      <c r="AC29" s="473" t="s">
        <v>963</v>
      </c>
      <c r="AD29" s="472" t="s">
        <v>869</v>
      </c>
      <c r="AE29" s="472"/>
      <c r="AF29" s="480"/>
      <c r="AG29" s="480"/>
      <c r="AH29" s="480"/>
      <c r="AI29" s="473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</row>
    <row r="30" spans="1:48" x14ac:dyDescent="0.2">
      <c r="A30" s="470" t="s">
        <v>964</v>
      </c>
      <c r="B30" s="472" t="s">
        <v>168</v>
      </c>
      <c r="C30" s="473">
        <v>28</v>
      </c>
      <c r="D30" s="474">
        <v>110</v>
      </c>
      <c r="E30" s="506">
        <v>3080</v>
      </c>
      <c r="F30" s="476" t="s">
        <v>1339</v>
      </c>
      <c r="G30" s="506">
        <v>3520</v>
      </c>
      <c r="H30" s="506">
        <v>500</v>
      </c>
      <c r="I30" s="478"/>
      <c r="J30" s="479">
        <v>4020</v>
      </c>
      <c r="K30" s="489"/>
      <c r="L30" s="475"/>
      <c r="M30" s="472" t="s">
        <v>965</v>
      </c>
      <c r="N30" s="472" t="s">
        <v>966</v>
      </c>
      <c r="O30" s="472" t="s">
        <v>967</v>
      </c>
      <c r="P30" s="473" t="s">
        <v>769</v>
      </c>
      <c r="Q30" s="472">
        <v>11963</v>
      </c>
      <c r="R30" s="472"/>
      <c r="S30" s="472" t="s">
        <v>968</v>
      </c>
      <c r="T30" s="472" t="s">
        <v>969</v>
      </c>
      <c r="U30" s="472">
        <v>6560</v>
      </c>
      <c r="V30" s="472">
        <v>140</v>
      </c>
      <c r="W30" s="485" t="s">
        <v>970</v>
      </c>
      <c r="X30" s="472" t="s">
        <v>971</v>
      </c>
      <c r="Y30" s="472" t="s">
        <v>927</v>
      </c>
      <c r="Z30" s="473" t="s">
        <v>972</v>
      </c>
      <c r="AA30" s="480"/>
      <c r="AB30" s="473">
        <v>9</v>
      </c>
      <c r="AC30" s="473">
        <v>3</v>
      </c>
      <c r="AD30" s="472" t="s">
        <v>869</v>
      </c>
      <c r="AE30" s="479">
        <v>70000</v>
      </c>
      <c r="AF30" s="480"/>
      <c r="AG30" s="480"/>
      <c r="AH30" s="480"/>
      <c r="AI30" s="473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</row>
    <row r="31" spans="1:48" x14ac:dyDescent="0.2">
      <c r="A31" s="470" t="s">
        <v>183</v>
      </c>
      <c r="B31" s="472" t="s">
        <v>168</v>
      </c>
      <c r="C31" s="473">
        <v>25</v>
      </c>
      <c r="D31" s="474">
        <v>110</v>
      </c>
      <c r="E31" s="506">
        <v>2750</v>
      </c>
      <c r="F31" s="476" t="s">
        <v>1339</v>
      </c>
      <c r="G31" s="506">
        <v>4640</v>
      </c>
      <c r="H31" s="506"/>
      <c r="I31" s="459"/>
      <c r="J31" s="479">
        <v>4640</v>
      </c>
      <c r="K31" s="459"/>
      <c r="L31" s="459"/>
      <c r="M31" s="472" t="s">
        <v>973</v>
      </c>
      <c r="N31" s="472" t="s">
        <v>974</v>
      </c>
      <c r="O31" s="472" t="s">
        <v>975</v>
      </c>
      <c r="P31" s="473" t="s">
        <v>976</v>
      </c>
      <c r="Q31" s="472">
        <v>2840</v>
      </c>
      <c r="R31" s="472" t="s">
        <v>977</v>
      </c>
      <c r="S31" s="472" t="s">
        <v>978</v>
      </c>
      <c r="T31" s="472" t="s">
        <v>979</v>
      </c>
      <c r="U31" s="472">
        <v>9677</v>
      </c>
      <c r="V31" s="472">
        <v>230</v>
      </c>
      <c r="W31" s="485" t="s">
        <v>980</v>
      </c>
      <c r="X31" s="472" t="s">
        <v>981</v>
      </c>
      <c r="Y31" s="472" t="s">
        <v>982</v>
      </c>
      <c r="Z31" s="473" t="s">
        <v>983</v>
      </c>
      <c r="AA31" s="459"/>
      <c r="AB31" s="473" t="s">
        <v>984</v>
      </c>
      <c r="AC31" s="473" t="s">
        <v>985</v>
      </c>
      <c r="AD31" s="472" t="s">
        <v>869</v>
      </c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</row>
    <row r="32" spans="1:48" x14ac:dyDescent="0.2">
      <c r="A32" s="459"/>
      <c r="B32" s="459"/>
      <c r="C32" s="459"/>
      <c r="D32" s="459"/>
      <c r="E32" s="459"/>
      <c r="F32" s="476"/>
      <c r="G32" s="459"/>
      <c r="H32" s="506"/>
      <c r="I32" s="459"/>
      <c r="J32" s="479"/>
      <c r="K32" s="459"/>
      <c r="L32" s="459"/>
      <c r="M32" s="459"/>
      <c r="N32" s="459"/>
      <c r="O32" s="459"/>
      <c r="P32" s="459"/>
      <c r="Q32" s="459"/>
      <c r="R32" s="475"/>
      <c r="S32" s="459"/>
      <c r="T32" s="459"/>
      <c r="U32" s="459"/>
      <c r="V32" s="459"/>
      <c r="W32" s="481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59"/>
      <c r="AP32" s="459"/>
      <c r="AQ32" s="459"/>
      <c r="AR32" s="459"/>
      <c r="AS32" s="459"/>
      <c r="AT32" s="459"/>
      <c r="AU32" s="459"/>
      <c r="AV32" s="459"/>
    </row>
    <row r="33" spans="1:48" x14ac:dyDescent="0.2">
      <c r="A33" s="459"/>
      <c r="B33" s="459"/>
      <c r="C33" s="459"/>
      <c r="D33" s="459"/>
      <c r="E33" s="459"/>
      <c r="F33" s="476"/>
      <c r="G33" s="459"/>
      <c r="H33" s="459"/>
      <c r="I33" s="459"/>
      <c r="J33" s="47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</row>
    <row r="34" spans="1:48" x14ac:dyDescent="0.2">
      <c r="A34" s="470"/>
      <c r="B34" s="472"/>
      <c r="C34" s="473"/>
      <c r="D34" s="474"/>
      <c r="E34" s="475"/>
      <c r="F34" s="509" t="s">
        <v>1360</v>
      </c>
      <c r="G34" s="510">
        <v>70760</v>
      </c>
      <c r="H34" s="477"/>
      <c r="I34" s="478"/>
      <c r="J34" s="479"/>
      <c r="K34" s="489"/>
      <c r="L34" s="475"/>
      <c r="M34" s="472"/>
      <c r="N34" s="472"/>
      <c r="O34" s="472"/>
      <c r="P34" s="473"/>
      <c r="Q34" s="472"/>
      <c r="R34" s="472"/>
      <c r="S34" s="472"/>
      <c r="T34" s="472"/>
      <c r="U34" s="472"/>
      <c r="V34" s="472"/>
      <c r="W34" s="472"/>
      <c r="X34" s="472"/>
      <c r="Y34" s="472"/>
      <c r="Z34" s="473"/>
      <c r="AA34" s="480"/>
      <c r="AB34" s="473"/>
      <c r="AC34" s="473"/>
      <c r="AD34" s="472"/>
      <c r="AE34" s="472"/>
      <c r="AF34" s="480"/>
      <c r="AG34" s="480"/>
      <c r="AH34" s="480"/>
      <c r="AI34" s="473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</row>
    <row r="35" spans="1:48" x14ac:dyDescent="0.2">
      <c r="A35" s="459"/>
      <c r="B35" s="459"/>
      <c r="C35" s="459"/>
      <c r="D35" s="459"/>
      <c r="E35" s="459"/>
      <c r="F35" s="509" t="s">
        <v>1361</v>
      </c>
      <c r="G35" s="510">
        <v>74380</v>
      </c>
      <c r="H35" s="484"/>
      <c r="I35" s="459"/>
      <c r="J35" s="47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  <c r="AD35" s="459"/>
      <c r="AE35" s="459"/>
      <c r="AF35" s="459"/>
      <c r="AG35" s="459"/>
      <c r="AH35" s="459"/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</row>
    <row r="36" spans="1:48" x14ac:dyDescent="0.2">
      <c r="A36" s="459"/>
      <c r="B36" s="459"/>
      <c r="C36" s="459"/>
      <c r="D36" s="459"/>
      <c r="E36" s="459"/>
      <c r="F36" s="511" t="s">
        <v>57</v>
      </c>
      <c r="G36" s="512">
        <v>145140</v>
      </c>
      <c r="H36" s="484">
        <v>2000</v>
      </c>
      <c r="I36" s="478">
        <v>1000</v>
      </c>
      <c r="J36" s="479">
        <v>146140</v>
      </c>
      <c r="K36" s="459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</row>
    <row r="37" spans="1:48" x14ac:dyDescent="0.2">
      <c r="A37" s="459"/>
      <c r="B37" s="459"/>
      <c r="C37" s="459"/>
      <c r="D37" s="459"/>
      <c r="E37" s="459"/>
      <c r="F37" s="484"/>
      <c r="G37" s="459"/>
      <c r="H37" s="508"/>
      <c r="I37" s="459"/>
      <c r="J37" s="474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  <c r="AD37" s="459"/>
      <c r="AE37" s="459"/>
      <c r="AF37" s="459"/>
      <c r="AG37" s="459"/>
      <c r="AH37" s="459"/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59"/>
      <c r="AU37" s="459"/>
      <c r="AV37" s="459"/>
    </row>
    <row r="38" spans="1:48" s="132" customFormat="1" x14ac:dyDescent="0.2">
      <c r="A38" s="459"/>
      <c r="B38" s="459"/>
      <c r="C38" s="459"/>
      <c r="D38" s="459"/>
      <c r="E38" s="459"/>
      <c r="F38" s="476"/>
      <c r="G38" s="459"/>
      <c r="H38" s="506"/>
      <c r="I38" s="459"/>
      <c r="J38" s="479"/>
      <c r="K38" s="459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59"/>
      <c r="AH38" s="459"/>
      <c r="AI38" s="459"/>
      <c r="AJ38" s="459"/>
      <c r="AK38" s="459"/>
      <c r="AL38" s="459"/>
      <c r="AM38" s="459"/>
      <c r="AN38" s="459"/>
      <c r="AO38" s="459"/>
      <c r="AP38" s="459"/>
      <c r="AQ38" s="459"/>
      <c r="AR38" s="459"/>
      <c r="AS38" s="459"/>
      <c r="AT38" s="459"/>
      <c r="AU38" s="459"/>
      <c r="AV38" s="459"/>
    </row>
    <row r="39" spans="1:48" x14ac:dyDescent="0.2">
      <c r="A39" s="459"/>
      <c r="B39" s="459"/>
      <c r="C39" s="459"/>
      <c r="D39" s="459"/>
      <c r="E39" s="459"/>
      <c r="F39" s="476"/>
      <c r="G39" s="459"/>
      <c r="H39" s="506"/>
      <c r="I39" s="459"/>
      <c r="J39" s="479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85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</row>
    <row r="40" spans="1:48" x14ac:dyDescent="0.2">
      <c r="A40" s="459"/>
      <c r="B40" s="459"/>
      <c r="C40" s="459"/>
      <c r="D40" s="459"/>
      <c r="E40" s="459"/>
      <c r="F40" s="476"/>
      <c r="G40" s="459"/>
      <c r="H40" s="506"/>
      <c r="I40" s="459"/>
      <c r="J40" s="479"/>
      <c r="K40" s="459"/>
      <c r="L40" s="459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85"/>
      <c r="X40" s="459"/>
      <c r="Y40" s="459"/>
      <c r="Z40" s="459"/>
      <c r="AA40" s="459"/>
      <c r="AB40" s="459"/>
      <c r="AC40" s="459"/>
      <c r="AD40" s="459"/>
      <c r="AE40" s="459"/>
      <c r="AF40" s="459"/>
      <c r="AG40" s="459"/>
      <c r="AH40" s="459"/>
      <c r="AI40" s="459"/>
      <c r="AJ40" s="459"/>
      <c r="AK40" s="459"/>
      <c r="AL40" s="459"/>
      <c r="AM40" s="459"/>
      <c r="AN40" s="459"/>
      <c r="AO40" s="459"/>
      <c r="AP40" s="459"/>
      <c r="AQ40" s="459"/>
      <c r="AR40" s="459"/>
      <c r="AS40" s="459"/>
      <c r="AT40" s="459"/>
      <c r="AU40" s="459"/>
      <c r="AV40" s="459"/>
    </row>
    <row r="41" spans="1:48" x14ac:dyDescent="0.2">
      <c r="A41" s="459"/>
      <c r="B41" s="459"/>
      <c r="C41" s="459"/>
      <c r="D41" s="459"/>
      <c r="E41" s="459"/>
      <c r="F41" s="476"/>
      <c r="G41" s="459"/>
      <c r="H41" s="484"/>
      <c r="I41" s="459"/>
      <c r="J41" s="479"/>
      <c r="K41" s="459"/>
      <c r="L41" s="459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59"/>
      <c r="X41" s="459"/>
      <c r="Y41" s="459"/>
      <c r="Z41" s="459"/>
      <c r="AA41" s="459"/>
      <c r="AB41" s="459"/>
      <c r="AC41" s="459"/>
      <c r="AD41" s="459"/>
      <c r="AE41" s="459"/>
      <c r="AF41" s="459"/>
      <c r="AG41" s="459"/>
      <c r="AH41" s="459"/>
      <c r="AI41" s="459"/>
      <c r="AJ41" s="459"/>
      <c r="AK41" s="459"/>
      <c r="AL41" s="459"/>
      <c r="AM41" s="459"/>
      <c r="AN41" s="459"/>
      <c r="AO41" s="459"/>
      <c r="AP41" s="459"/>
      <c r="AQ41" s="459"/>
      <c r="AR41" s="459"/>
      <c r="AS41" s="459"/>
      <c r="AT41" s="459"/>
      <c r="AU41" s="459"/>
      <c r="AV41" s="459"/>
    </row>
    <row r="42" spans="1:48" x14ac:dyDescent="0.2">
      <c r="A42" s="459"/>
      <c r="B42" s="459"/>
      <c r="C42" s="459"/>
      <c r="D42" s="459"/>
      <c r="E42" s="459"/>
      <c r="F42" s="476"/>
      <c r="G42" s="459"/>
      <c r="H42" s="484"/>
      <c r="I42" s="459"/>
      <c r="J42" s="47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59"/>
      <c r="V42" s="459"/>
      <c r="W42" s="459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59"/>
      <c r="AI42" s="459"/>
      <c r="AJ42" s="459"/>
      <c r="AK42" s="459"/>
      <c r="AL42" s="459"/>
      <c r="AM42" s="459"/>
      <c r="AN42" s="459"/>
      <c r="AO42" s="459"/>
      <c r="AP42" s="459"/>
      <c r="AQ42" s="459"/>
      <c r="AR42" s="459"/>
      <c r="AS42" s="459"/>
      <c r="AT42" s="459"/>
      <c r="AU42" s="459"/>
      <c r="AV42" s="459"/>
    </row>
    <row r="43" spans="1:48" x14ac:dyDescent="0.2">
      <c r="A43" s="459"/>
      <c r="B43" s="459"/>
      <c r="C43" s="459"/>
      <c r="D43" s="459"/>
      <c r="E43" s="459"/>
      <c r="F43" s="476"/>
      <c r="G43" s="459"/>
      <c r="H43" s="506"/>
      <c r="I43" s="459"/>
      <c r="J43" s="479"/>
      <c r="K43" s="459"/>
      <c r="L43" s="459"/>
      <c r="M43" s="459"/>
      <c r="N43" s="459"/>
      <c r="O43" s="459"/>
      <c r="P43" s="459"/>
      <c r="Q43" s="459"/>
      <c r="R43" s="491"/>
      <c r="S43" s="459"/>
      <c r="T43" s="491"/>
      <c r="U43" s="459"/>
      <c r="V43" s="459"/>
      <c r="W43" s="490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59"/>
      <c r="AI43" s="459"/>
      <c r="AJ43" s="459"/>
      <c r="AK43" s="459"/>
      <c r="AL43" s="459"/>
      <c r="AM43" s="459"/>
      <c r="AN43" s="459"/>
      <c r="AO43" s="459"/>
      <c r="AP43" s="459"/>
      <c r="AQ43" s="459"/>
      <c r="AR43" s="459"/>
      <c r="AS43" s="459"/>
      <c r="AT43" s="459"/>
      <c r="AU43" s="459"/>
      <c r="AV43" s="459"/>
    </row>
    <row r="44" spans="1:48" x14ac:dyDescent="0.2">
      <c r="A44" s="459"/>
      <c r="B44" s="459"/>
      <c r="C44" s="459"/>
      <c r="D44" s="459"/>
      <c r="E44" s="459"/>
      <c r="F44" s="476"/>
      <c r="G44" s="459"/>
      <c r="H44" s="484"/>
      <c r="I44" s="459"/>
      <c r="J44" s="47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  <c r="AK44" s="459"/>
      <c r="AL44" s="459"/>
      <c r="AM44" s="459"/>
      <c r="AN44" s="459"/>
      <c r="AO44" s="459"/>
      <c r="AP44" s="459"/>
      <c r="AQ44" s="459"/>
      <c r="AR44" s="459"/>
      <c r="AS44" s="459"/>
      <c r="AT44" s="459"/>
      <c r="AU44" s="459"/>
      <c r="AV44" s="459"/>
    </row>
    <row r="45" spans="1:48" x14ac:dyDescent="0.2">
      <c r="A45" s="459"/>
      <c r="B45" s="459"/>
      <c r="C45" s="459"/>
      <c r="D45" s="459"/>
      <c r="E45" s="459"/>
      <c r="F45" s="476"/>
      <c r="G45" s="459"/>
      <c r="H45" s="484"/>
      <c r="I45" s="459"/>
      <c r="J45" s="479"/>
      <c r="K45" s="459"/>
      <c r="L45" s="459"/>
      <c r="M45" s="459"/>
      <c r="N45" s="459"/>
      <c r="O45" s="459"/>
      <c r="P45" s="459"/>
      <c r="Q45" s="459"/>
      <c r="R45" s="459"/>
      <c r="S45" s="459"/>
      <c r="T45" s="459"/>
      <c r="U45" s="459"/>
      <c r="V45" s="459"/>
      <c r="W45" s="459"/>
      <c r="X45" s="459"/>
      <c r="Y45" s="459"/>
      <c r="Z45" s="459"/>
      <c r="AA45" s="459"/>
      <c r="AB45" s="459"/>
      <c r="AC45" s="459"/>
      <c r="AD45" s="459"/>
      <c r="AE45" s="459"/>
      <c r="AF45" s="459"/>
      <c r="AG45" s="459"/>
      <c r="AH45" s="459"/>
      <c r="AI45" s="459"/>
      <c r="AJ45" s="459"/>
      <c r="AK45" s="459"/>
      <c r="AL45" s="459"/>
      <c r="AM45" s="459"/>
      <c r="AN45" s="459"/>
      <c r="AO45" s="459"/>
      <c r="AP45" s="459"/>
      <c r="AQ45" s="459"/>
      <c r="AR45" s="459"/>
      <c r="AS45" s="459"/>
      <c r="AT45" s="459"/>
      <c r="AU45" s="459"/>
      <c r="AV45" s="459"/>
    </row>
    <row r="46" spans="1:48" x14ac:dyDescent="0.2">
      <c r="A46" s="470"/>
      <c r="B46" s="472"/>
      <c r="C46" s="473"/>
      <c r="D46" s="474"/>
      <c r="E46" s="506"/>
      <c r="F46" s="476"/>
      <c r="G46" s="506"/>
      <c r="H46" s="484"/>
      <c r="I46" s="478"/>
      <c r="J46" s="479"/>
      <c r="K46" s="489"/>
      <c r="L46" s="475"/>
      <c r="M46" s="472"/>
      <c r="N46" s="472"/>
      <c r="O46" s="472"/>
      <c r="P46" s="473"/>
      <c r="Q46" s="472"/>
      <c r="R46" s="472"/>
      <c r="S46" s="472"/>
      <c r="T46" s="472"/>
      <c r="U46" s="472"/>
      <c r="V46" s="472"/>
      <c r="W46" s="472"/>
      <c r="X46" s="472"/>
      <c r="Y46" s="472"/>
      <c r="Z46" s="473"/>
      <c r="AA46" s="480"/>
      <c r="AB46" s="473"/>
      <c r="AC46" s="473"/>
      <c r="AD46" s="472"/>
      <c r="AE46" s="472"/>
      <c r="AF46" s="480"/>
      <c r="AG46" s="480"/>
      <c r="AH46" s="480"/>
      <c r="AI46" s="473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</row>
    <row r="47" spans="1:48" x14ac:dyDescent="0.2">
      <c r="A47" s="459"/>
      <c r="B47" s="459"/>
      <c r="C47" s="459"/>
      <c r="D47" s="459"/>
      <c r="E47" s="459"/>
      <c r="F47" s="476"/>
      <c r="G47" s="459"/>
      <c r="H47" s="506"/>
      <c r="I47" s="459"/>
      <c r="J47" s="47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59"/>
      <c r="AJ47" s="459"/>
      <c r="AK47" s="459"/>
      <c r="AL47" s="459"/>
      <c r="AM47" s="459"/>
      <c r="AN47" s="459"/>
      <c r="AO47" s="459"/>
      <c r="AP47" s="459"/>
      <c r="AQ47" s="459"/>
      <c r="AR47" s="459"/>
      <c r="AS47" s="459"/>
      <c r="AT47" s="459"/>
      <c r="AU47" s="459"/>
      <c r="AV47" s="459"/>
    </row>
    <row r="48" spans="1:48" x14ac:dyDescent="0.2">
      <c r="A48" s="470"/>
      <c r="B48" s="472"/>
      <c r="C48" s="473"/>
      <c r="D48" s="474"/>
      <c r="E48" s="506"/>
      <c r="F48" s="476"/>
      <c r="G48" s="506"/>
      <c r="H48" s="484"/>
      <c r="I48" s="478"/>
      <c r="J48" s="479"/>
      <c r="K48" s="489"/>
      <c r="L48" s="475"/>
      <c r="M48" s="472"/>
      <c r="N48" s="472"/>
      <c r="O48" s="472"/>
      <c r="P48" s="473"/>
      <c r="Q48" s="472"/>
      <c r="R48" s="472"/>
      <c r="S48" s="472"/>
      <c r="T48" s="472"/>
      <c r="U48" s="472"/>
      <c r="V48" s="472"/>
      <c r="W48" s="472"/>
      <c r="X48" s="472"/>
      <c r="Y48" s="472"/>
      <c r="Z48" s="473"/>
      <c r="AA48" s="480"/>
      <c r="AB48" s="473"/>
      <c r="AC48" s="473"/>
      <c r="AD48" s="472"/>
      <c r="AE48" s="472"/>
      <c r="AF48" s="480"/>
      <c r="AG48" s="480"/>
      <c r="AH48" s="480"/>
      <c r="AI48" s="473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</row>
    <row r="49" spans="1:48" x14ac:dyDescent="0.2">
      <c r="A49" s="459"/>
      <c r="B49" s="459"/>
      <c r="C49" s="459"/>
      <c r="D49" s="459"/>
      <c r="E49" s="459"/>
      <c r="F49" s="476"/>
      <c r="G49" s="459"/>
      <c r="H49" s="484"/>
      <c r="I49" s="459"/>
      <c r="J49" s="479"/>
      <c r="K49" s="459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59"/>
      <c r="AJ49" s="459"/>
      <c r="AK49" s="459"/>
      <c r="AL49" s="459"/>
      <c r="AM49" s="459"/>
      <c r="AN49" s="459"/>
      <c r="AO49" s="459"/>
      <c r="AP49" s="459"/>
      <c r="AQ49" s="459"/>
      <c r="AR49" s="459"/>
      <c r="AS49" s="459"/>
      <c r="AT49" s="459"/>
      <c r="AU49" s="459"/>
      <c r="AV49" s="459"/>
    </row>
    <row r="50" spans="1:48" x14ac:dyDescent="0.2">
      <c r="A50" s="459"/>
      <c r="B50" s="459"/>
      <c r="C50" s="459"/>
      <c r="D50" s="459"/>
      <c r="E50" s="459"/>
      <c r="F50" s="476"/>
      <c r="G50" s="459"/>
      <c r="H50" s="484"/>
      <c r="I50" s="459"/>
      <c r="J50" s="47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  <c r="AG50" s="459"/>
      <c r="AH50" s="459"/>
      <c r="AI50" s="459"/>
      <c r="AJ50" s="459"/>
      <c r="AK50" s="459"/>
      <c r="AL50" s="459"/>
      <c r="AM50" s="459"/>
      <c r="AN50" s="459"/>
      <c r="AO50" s="459"/>
      <c r="AP50" s="459"/>
      <c r="AQ50" s="459"/>
      <c r="AR50" s="459"/>
      <c r="AS50" s="459"/>
      <c r="AT50" s="459"/>
      <c r="AU50" s="459"/>
      <c r="AV50" s="459"/>
    </row>
    <row r="51" spans="1:48" x14ac:dyDescent="0.2">
      <c r="A51" s="459"/>
      <c r="B51" s="459"/>
      <c r="C51" s="459"/>
      <c r="D51" s="459"/>
      <c r="E51" s="459"/>
      <c r="F51" s="476"/>
      <c r="G51" s="459"/>
      <c r="H51" s="484"/>
      <c r="I51" s="459"/>
      <c r="J51" s="47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59"/>
      <c r="AH51" s="459"/>
      <c r="AI51" s="459"/>
      <c r="AJ51" s="459"/>
      <c r="AK51" s="459"/>
      <c r="AL51" s="459"/>
      <c r="AM51" s="459"/>
      <c r="AN51" s="459"/>
      <c r="AO51" s="459"/>
      <c r="AP51" s="459"/>
      <c r="AQ51" s="459"/>
      <c r="AR51" s="459"/>
      <c r="AS51" s="459"/>
      <c r="AT51" s="459"/>
      <c r="AU51" s="459"/>
      <c r="AV51" s="459"/>
    </row>
    <row r="52" spans="1:48" x14ac:dyDescent="0.2">
      <c r="A52" s="459"/>
      <c r="B52" s="459"/>
      <c r="C52" s="459"/>
      <c r="D52" s="459"/>
      <c r="E52" s="459"/>
      <c r="F52" s="476"/>
      <c r="G52" s="459"/>
      <c r="H52" s="484"/>
      <c r="I52" s="459"/>
      <c r="J52" s="47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59"/>
      <c r="AM52" s="459"/>
      <c r="AN52" s="459"/>
      <c r="AO52" s="459"/>
      <c r="AP52" s="459"/>
      <c r="AQ52" s="459"/>
      <c r="AR52" s="459"/>
      <c r="AS52" s="459"/>
      <c r="AT52" s="459"/>
      <c r="AU52" s="459"/>
      <c r="AV52" s="459"/>
    </row>
    <row r="53" spans="1:48" x14ac:dyDescent="0.2">
      <c r="A53" s="459"/>
      <c r="B53" s="459"/>
      <c r="C53" s="459"/>
      <c r="D53" s="459"/>
      <c r="E53" s="459"/>
      <c r="F53" s="476"/>
      <c r="G53" s="459"/>
      <c r="H53" s="484"/>
      <c r="I53" s="459"/>
      <c r="J53" s="47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459"/>
      <c r="AS53" s="459"/>
      <c r="AT53" s="459"/>
      <c r="AU53" s="459"/>
      <c r="AV53" s="459"/>
    </row>
    <row r="54" spans="1:48" x14ac:dyDescent="0.2">
      <c r="A54" s="470"/>
      <c r="B54" s="472"/>
      <c r="C54" s="473"/>
      <c r="D54" s="474"/>
      <c r="E54" s="506"/>
      <c r="F54" s="476"/>
      <c r="G54" s="506"/>
      <c r="H54" s="477"/>
      <c r="I54" s="478"/>
      <c r="J54" s="479"/>
      <c r="K54" s="489"/>
      <c r="L54" s="475"/>
      <c r="M54" s="472"/>
      <c r="N54" s="472"/>
      <c r="O54" s="472"/>
      <c r="P54" s="473"/>
      <c r="Q54" s="472"/>
      <c r="R54" s="472"/>
      <c r="S54" s="472"/>
      <c r="T54" s="472"/>
      <c r="U54" s="472"/>
      <c r="V54" s="472"/>
      <c r="W54" s="472"/>
      <c r="X54" s="472"/>
      <c r="Y54" s="472"/>
      <c r="Z54" s="473"/>
      <c r="AA54" s="480"/>
      <c r="AB54" s="473"/>
      <c r="AC54" s="473"/>
      <c r="AD54" s="472"/>
      <c r="AE54" s="472"/>
      <c r="AF54" s="480"/>
      <c r="AG54" s="480"/>
      <c r="AH54" s="480"/>
      <c r="AI54" s="473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</row>
    <row r="55" spans="1:48" x14ac:dyDescent="0.2">
      <c r="A55" s="459"/>
      <c r="B55" s="459"/>
      <c r="C55" s="459"/>
      <c r="D55" s="459"/>
      <c r="E55" s="459"/>
      <c r="F55" s="476"/>
      <c r="G55" s="459"/>
      <c r="H55" s="506"/>
      <c r="I55" s="459"/>
      <c r="J55" s="47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85"/>
      <c r="X55" s="459"/>
      <c r="Y55" s="459"/>
      <c r="Z55" s="459"/>
      <c r="AA55" s="459"/>
      <c r="AB55" s="459"/>
      <c r="AC55" s="459"/>
      <c r="AD55" s="459"/>
      <c r="AE55" s="47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459"/>
    </row>
    <row r="56" spans="1:48" x14ac:dyDescent="0.2">
      <c r="A56" s="459"/>
      <c r="B56" s="459"/>
      <c r="C56" s="459"/>
      <c r="D56" s="459"/>
      <c r="E56" s="459"/>
      <c r="F56" s="476"/>
      <c r="G56" s="459"/>
      <c r="H56" s="484"/>
      <c r="I56" s="459"/>
      <c r="J56" s="47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59"/>
      <c r="AM56" s="459"/>
      <c r="AN56" s="459"/>
      <c r="AO56" s="459"/>
      <c r="AP56" s="459"/>
      <c r="AQ56" s="459"/>
      <c r="AR56" s="459"/>
      <c r="AS56" s="459"/>
      <c r="AT56" s="459"/>
      <c r="AU56" s="459"/>
      <c r="AV56" s="459"/>
    </row>
    <row r="57" spans="1:48" x14ac:dyDescent="0.2">
      <c r="A57" s="459"/>
      <c r="B57" s="459"/>
      <c r="C57" s="459"/>
      <c r="D57" s="459"/>
      <c r="E57" s="459"/>
      <c r="F57" s="459"/>
      <c r="G57" s="459"/>
      <c r="H57" s="459"/>
      <c r="I57" s="459"/>
      <c r="J57" s="47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59"/>
      <c r="AM57" s="459"/>
      <c r="AN57" s="459"/>
      <c r="AO57" s="459"/>
      <c r="AP57" s="459"/>
      <c r="AQ57" s="459"/>
      <c r="AR57" s="459"/>
      <c r="AS57" s="459"/>
      <c r="AT57" s="459"/>
      <c r="AU57" s="459"/>
      <c r="AV57" s="459"/>
    </row>
    <row r="58" spans="1:48" x14ac:dyDescent="0.2">
      <c r="A58" s="459"/>
      <c r="B58" s="459"/>
      <c r="C58" s="459"/>
      <c r="D58" s="459"/>
      <c r="E58" s="459"/>
      <c r="F58" s="459"/>
      <c r="G58" s="459"/>
      <c r="H58" s="459"/>
      <c r="I58" s="459"/>
      <c r="J58" s="47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59"/>
      <c r="AL58" s="459"/>
      <c r="AM58" s="459"/>
      <c r="AN58" s="459"/>
      <c r="AO58" s="459"/>
      <c r="AP58" s="459"/>
      <c r="AQ58" s="459"/>
      <c r="AR58" s="459"/>
      <c r="AS58" s="459"/>
      <c r="AT58" s="459"/>
      <c r="AU58" s="459"/>
      <c r="AV58" s="459"/>
    </row>
    <row r="61" spans="1:48" x14ac:dyDescent="0.2">
      <c r="A61" s="459"/>
      <c r="B61" s="486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59"/>
      <c r="AH61" s="459"/>
      <c r="AI61" s="459"/>
      <c r="AJ61" s="459"/>
      <c r="AK61" s="459"/>
      <c r="AL61" s="459"/>
      <c r="AM61" s="459"/>
      <c r="AN61" s="459"/>
      <c r="AO61" s="459"/>
      <c r="AP61" s="459"/>
      <c r="AQ61" s="459"/>
      <c r="AR61" s="459"/>
      <c r="AS61" s="459"/>
      <c r="AT61" s="459"/>
      <c r="AU61" s="459"/>
      <c r="AV61" s="459"/>
    </row>
    <row r="62" spans="1:48" x14ac:dyDescent="0.2">
      <c r="A62" s="459"/>
      <c r="B62" s="486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59"/>
      <c r="AM62" s="459"/>
      <c r="AN62" s="459"/>
      <c r="AO62" s="459"/>
      <c r="AP62" s="459"/>
      <c r="AQ62" s="459"/>
      <c r="AR62" s="459"/>
      <c r="AS62" s="459"/>
      <c r="AT62" s="459"/>
      <c r="AU62" s="459"/>
      <c r="AV62" s="459"/>
    </row>
    <row r="63" spans="1:48" x14ac:dyDescent="0.2">
      <c r="A63" s="459"/>
      <c r="B63" s="486"/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59"/>
      <c r="AM63" s="459"/>
      <c r="AN63" s="459"/>
      <c r="AO63" s="459"/>
      <c r="AP63" s="459"/>
      <c r="AQ63" s="459"/>
      <c r="AR63" s="459"/>
      <c r="AS63" s="459"/>
      <c r="AT63" s="459"/>
      <c r="AU63" s="459"/>
      <c r="AV63" s="459"/>
    </row>
  </sheetData>
  <hyperlinks>
    <hyperlink ref="W5" r:id="rId1" xr:uid="{00000000-0004-0000-0100-000000000000}"/>
    <hyperlink ref="W21" r:id="rId2" xr:uid="{00000000-0004-0000-0100-000002000000}"/>
    <hyperlink ref="W8" r:id="rId3" xr:uid="{00000000-0004-0000-0100-000004000000}"/>
    <hyperlink ref="W11" r:id="rId4" xr:uid="{00000000-0004-0000-0100-000005000000}"/>
    <hyperlink ref="W31" r:id="rId5" xr:uid="{00000000-0004-0000-0100-000006000000}"/>
    <hyperlink ref="W19" r:id="rId6" xr:uid="{00000000-0004-0000-0100-000007000000}"/>
    <hyperlink ref="W10" r:id="rId7" xr:uid="{00000000-0004-0000-0100-000008000000}"/>
    <hyperlink ref="W29" r:id="rId8" xr:uid="{00000000-0004-0000-0100-000009000000}"/>
    <hyperlink ref="W16" r:id="rId9" xr:uid="{00000000-0004-0000-0100-00000A000000}"/>
    <hyperlink ref="W15" r:id="rId10" xr:uid="{00000000-0004-0000-0100-00000F000000}"/>
    <hyperlink ref="W13" r:id="rId11" display="mailto:Christopher.chimeri@gmail.com" xr:uid="{00000000-0004-0000-0100-000011000000}"/>
    <hyperlink ref="W24" r:id="rId12" xr:uid="{00000000-0004-0000-0100-000012000000}"/>
    <hyperlink ref="W7" r:id="rId13" xr:uid="{00000000-0004-0000-0100-00000D000000}"/>
    <hyperlink ref="W25" r:id="rId14" display="mailto:mack696@aol.com" xr:uid="{49C9A6C7-CCFF-4CAD-9E20-C897EB48EC6F}"/>
    <hyperlink ref="W3" r:id="rId15" xr:uid="{8D823DE5-0979-44FF-935D-696ACF598C17}"/>
    <hyperlink ref="W6" r:id="rId16" xr:uid="{8E80D7EC-4992-4810-B83A-A6D969A06169}"/>
    <hyperlink ref="W20" r:id="rId17" xr:uid="{263CC28C-6AF9-44BC-94A0-6C74DAE45067}"/>
    <hyperlink ref="W23" r:id="rId18" xr:uid="{1C3AF573-104E-4A28-BAA1-03D375E63C20}"/>
    <hyperlink ref="W27" r:id="rId19" xr:uid="{68A00D43-E6DC-481A-866B-0DE24157742D}"/>
    <hyperlink ref="W22" r:id="rId20" xr:uid="{8ABE9596-4FD0-4F1F-83CE-1DDF2BBEC1B3}"/>
    <hyperlink ref="W26" r:id="rId21" display="mailto:kmc276@aol.com" xr:uid="{21262601-1DA2-4949-885C-9C8F0AC6614A}"/>
    <hyperlink ref="W2" r:id="rId22" xr:uid="{4A95475B-7626-43EA-A30E-C5C557585803}"/>
    <hyperlink ref="W17" r:id="rId23" xr:uid="{F7AE2587-ECB0-4A07-A450-0F0CF667CAE0}"/>
    <hyperlink ref="W18" r:id="rId24" xr:uid="{1BD73261-7660-47D5-BFB1-C057265EB211}"/>
    <hyperlink ref="W14" r:id="rId25" display="mailto:ryan@ryanespinosa.com" xr:uid="{D87A6CD5-7C65-4C67-8A0B-F2BE7992D6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GlobalSummary</vt:lpstr>
      <vt:lpstr>FIPPOASummary</vt:lpstr>
      <vt:lpstr>Harbor</vt:lpstr>
      <vt:lpstr>Boulevard</vt:lpstr>
      <vt:lpstr>AdminMemb</vt:lpstr>
      <vt:lpstr>ParkingRev</vt:lpstr>
      <vt:lpstr>CorralRev</vt:lpstr>
      <vt:lpstr>Boater</vt:lpstr>
      <vt:lpstr>RECBOAT</vt:lpstr>
      <vt:lpstr>COMBOAT</vt:lpstr>
      <vt:lpstr>Membershiponly</vt:lpstr>
      <vt:lpstr>OffBudget</vt:lpstr>
      <vt:lpstr>CapitalApproved</vt:lpstr>
      <vt:lpstr>FdnSummary</vt:lpstr>
      <vt:lpstr>Admin</vt:lpstr>
      <vt:lpstr>WH</vt:lpstr>
      <vt:lpstr>PEST</vt:lpstr>
      <vt:lpstr>DonorRestricted</vt:lpstr>
      <vt:lpstr>WHRent</vt:lpstr>
      <vt:lpstr>WHUser</vt:lpstr>
      <vt:lpstr>SharedAdmin</vt:lpstr>
      <vt:lpstr>Payroll</vt:lpstr>
      <vt:lpstr>Hourly</vt:lpstr>
      <vt:lpstr>Insurance</vt:lpstr>
      <vt:lpstr>Total insurance</vt:lpstr>
      <vt:lpstr>TechDetails</vt:lpstr>
      <vt:lpstr>Tax Districts</vt:lpstr>
      <vt:lpstr>Contracts</vt:lpstr>
      <vt:lpstr>Harbor!Print_Area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Microsoft Office User</cp:lastModifiedBy>
  <cp:lastPrinted>2021-06-11T14:51:53Z</cp:lastPrinted>
  <dcterms:created xsi:type="dcterms:W3CDTF">2015-10-30T18:16:39Z</dcterms:created>
  <dcterms:modified xsi:type="dcterms:W3CDTF">2023-03-16T00:20:29Z</dcterms:modified>
</cp:coreProperties>
</file>