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3600" windowHeight="1084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6" i="1" l="1"/>
  <c r="H24" i="1"/>
  <c r="H23" i="1"/>
  <c r="I21" i="1"/>
  <c r="E21" i="1"/>
  <c r="D21" i="1"/>
  <c r="C21" i="1"/>
  <c r="C15" i="1" s="1"/>
  <c r="B21" i="1"/>
  <c r="B18" i="1" s="1"/>
  <c r="E20" i="1"/>
  <c r="D20" i="1"/>
  <c r="H19" i="1"/>
  <c r="G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H10" i="1"/>
  <c r="H5" i="1"/>
  <c r="R3" i="1"/>
  <c r="E1" i="1"/>
  <c r="C12" i="1" l="1"/>
  <c r="C18" i="1"/>
  <c r="C13" i="1"/>
  <c r="I10" i="1"/>
  <c r="C16" i="1"/>
  <c r="C11" i="1"/>
  <c r="C14" i="1"/>
  <c r="C17" i="1"/>
  <c r="C20" i="1"/>
  <c r="B11" i="1"/>
  <c r="B13" i="1"/>
  <c r="B15" i="1"/>
  <c r="B17" i="1"/>
  <c r="B20" i="1"/>
  <c r="B12" i="1"/>
  <c r="B14" i="1"/>
  <c r="B16" i="1"/>
  <c r="L40" i="1"/>
  <c r="N37" i="1"/>
  <c r="L37" i="1"/>
  <c r="L33" i="1"/>
  <c r="L32" i="1"/>
  <c r="L31" i="1"/>
  <c r="B31" i="1"/>
  <c r="L30" i="1"/>
  <c r="B30" i="1"/>
  <c r="L29" i="1"/>
  <c r="B29" i="1"/>
  <c r="L28" i="1"/>
  <c r="B28" i="1"/>
  <c r="B27" i="1"/>
  <c r="L26" i="1"/>
  <c r="B26" i="1"/>
  <c r="L25" i="1"/>
  <c r="B25" i="1"/>
  <c r="L24" i="1"/>
  <c r="B24" i="1"/>
  <c r="L23" i="1"/>
  <c r="L22" i="1"/>
  <c r="B22" i="1"/>
  <c r="N21" i="1"/>
  <c r="L21" i="1"/>
  <c r="M40" i="1"/>
  <c r="M37" i="1"/>
  <c r="M33" i="1"/>
  <c r="M32" i="1"/>
  <c r="M31" i="1"/>
  <c r="C31" i="1"/>
  <c r="M30" i="1"/>
  <c r="C30" i="1"/>
  <c r="M29" i="1"/>
  <c r="C29" i="1"/>
  <c r="M28" i="1"/>
  <c r="C28" i="1"/>
  <c r="C27" i="1"/>
  <c r="M26" i="1"/>
  <c r="C26" i="1"/>
  <c r="M25" i="1"/>
  <c r="C25" i="1"/>
  <c r="M24" i="1"/>
  <c r="C24" i="1"/>
  <c r="M23" i="1"/>
  <c r="M22" i="1"/>
  <c r="C22" i="1"/>
  <c r="M21" i="1"/>
  <c r="N40" i="1"/>
  <c r="N33" i="1"/>
  <c r="N32" i="1"/>
  <c r="N31" i="1"/>
  <c r="D31" i="1"/>
  <c r="N30" i="1"/>
  <c r="D30" i="1"/>
  <c r="N29" i="1"/>
  <c r="D29" i="1"/>
  <c r="N28" i="1"/>
  <c r="D28" i="1"/>
  <c r="D27" i="1"/>
  <c r="N26" i="1"/>
  <c r="D26" i="1"/>
  <c r="N25" i="1"/>
  <c r="D25" i="1"/>
  <c r="N24" i="1"/>
  <c r="D24" i="1"/>
  <c r="N23" i="1"/>
  <c r="N22" i="1"/>
  <c r="D22" i="1"/>
  <c r="E31" i="1"/>
  <c r="E30" i="1"/>
  <c r="E29" i="1"/>
  <c r="E28" i="1"/>
  <c r="E27" i="1"/>
  <c r="E26" i="1"/>
  <c r="E25" i="1"/>
  <c r="E24" i="1"/>
  <c r="E22" i="1"/>
  <c r="H27" i="1"/>
  <c r="H28" i="1" s="1"/>
  <c r="I23" i="1"/>
  <c r="I27" i="1"/>
  <c r="I28" i="1" s="1"/>
  <c r="I24" i="1"/>
  <c r="E19" i="1" l="1"/>
  <c r="E23" i="1"/>
  <c r="D19" i="1"/>
  <c r="D23" i="1"/>
  <c r="C19" i="1"/>
  <c r="C23" i="1"/>
  <c r="B19" i="1"/>
  <c r="B23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<sst xmlns="http://schemas.openxmlformats.org/spreadsheetml/2006/main" count="116" uniqueCount="91">
  <si>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</si>
  <si>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</si>
  <si>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</si>
  <si>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</si>
  <si>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</si>
  <si>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</si>
  <si>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</si>
  <si>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</si>
  <si>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</si>
  <si>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</si>
  <si>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ESM25</t>
  </si>
  <si>
    <t>NQM25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</si>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</sst>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0.00;[Red]0.00"/>
  </numFmts>
  <fonts count="4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23292B"/>
      <name val="Calibri"/>
      <family val="2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Arial"/>
      <family val="2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sz val="12"/>
      <color rgb="FF000000"/>
      <name val="Calibri"/>
      <family val="2"/>
    </font>
    <font>
      <b/>
      <sz val="12"/>
      <name val="Arial"/>
      <family val="2"/>
    </font>
    <font>
      <sz val="12"/>
      <name val="Calibri"/>
      <family val="2"/>
      <scheme val="minor"/>
    </font>
    <font>
      <sz val="12"/>
      <color rgb="FF23292B"/>
      <name val="Georgia"/>
      <family val="1"/>
    </font>
    <font>
      <b/>
      <sz val="12"/>
      <color rgb="FFFF0000"/>
      <name val="Georgia"/>
      <family val="1"/>
    </font>
    <font>
      <sz val="12"/>
      <name val="Segoe UI"/>
      <family val="2"/>
    </font>
    <font>
      <sz val="12"/>
      <color rgb="FF000000"/>
      <name val="Calibri"/>
      <family val="2"/>
      <scheme val="minor"/>
    </font>
    <font>
      <sz val="12"/>
      <color theme="2"/>
      <name val="Calibri"/>
      <family val="2"/>
      <scheme val="minor"/>
    </font>
    <font>
      <b/>
      <sz val="12"/>
      <color rgb="FF006100"/>
      <name val="Calibri"/>
      <family val="2"/>
      <scheme val="minor"/>
    </font>
    <font>
      <b/>
      <sz val="12"/>
      <color rgb="FF000000"/>
      <name val="Calibri"/>
      <family val="2"/>
    </font>
    <font>
      <b/>
      <sz val="12"/>
      <color theme="4" tint="-0.249977111117893"/>
      <name val="Calibri"/>
      <family val="2"/>
      <scheme val="minor"/>
    </font>
    <font>
      <sz val="12"/>
      <color rgb="FF9C0006"/>
      <name val="Calibri"/>
      <family val="2"/>
      <scheme val="minor"/>
    </font>
    <font>
      <b/>
      <u/>
      <sz val="12"/>
      <name val="Arial"/>
      <family val="2"/>
    </font>
    <font>
      <b/>
      <u/>
      <sz val="12"/>
      <color theme="1"/>
      <name val="Calibri"/>
      <family val="2"/>
      <scheme val="minor"/>
    </font>
    <font>
      <b/>
      <sz val="12"/>
      <color rgb="FF9C0006"/>
      <name val="Calibri"/>
      <family val="2"/>
      <scheme val="minor"/>
    </font>
    <font>
      <b/>
      <sz val="12"/>
      <color theme="4" tint="-0.249977111117893"/>
      <name val="Calibri"/>
      <family val="2"/>
    </font>
    <font>
      <sz val="12"/>
      <color rgb="FF9C5700"/>
      <name val="Calibri"/>
      <family val="2"/>
      <scheme val="minor"/>
    </font>
    <font>
      <b/>
      <sz val="12"/>
      <color rgb="FF9C5700"/>
      <name val="Calibri"/>
      <family val="2"/>
      <scheme val="minor"/>
    </font>
    <font>
      <b/>
      <sz val="12"/>
      <color rgb="FF23292B"/>
      <name val="Georgia"/>
      <family val="1"/>
    </font>
    <font>
      <sz val="12"/>
      <color rgb="FFFF0000"/>
      <name val="Calibri"/>
      <family val="2"/>
      <scheme val="minor"/>
    </font>
    <font>
      <b/>
      <sz val="12"/>
      <name val="Calibri"/>
      <family val="2"/>
    </font>
    <font>
      <b/>
      <sz val="11"/>
      <color rgb="FF0061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5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8" fillId="0" borderId="0"/>
    <xf numFmtId="164" fontId="11" fillId="0" borderId="0"/>
    <xf numFmtId="0" fontId="10" fillId="0" borderId="0"/>
    <xf numFmtId="44" fontId="11" fillId="0" borderId="0"/>
    <xf numFmtId="164" fontId="11" fillId="0" borderId="0"/>
    <xf numFmtId="9" fontId="11" fillId="0" borderId="0"/>
    <xf numFmtId="0" fontId="1" fillId="0" borderId="0"/>
    <xf numFmtId="0" fontId="11" fillId="0" borderId="0"/>
    <xf numFmtId="164" fontId="11" fillId="0" borderId="0"/>
    <xf numFmtId="43" fontId="8" fillId="0" borderId="0" applyFont="0" applyFill="0" applyBorder="0" applyAlignment="0" applyProtection="0"/>
  </cellStyleXfs>
  <cellXfs count="115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6" fillId="0" borderId="3" xfId="0" applyFont="1" applyBorder="1" applyAlignment="1">
      <alignment horizontal="right"/>
    </xf>
    <xf numFmtId="0" fontId="7" fillId="0" borderId="6" xfId="0" applyFont="1" applyBorder="1" applyAlignment="1">
      <alignment horizontal="right" vertical="center"/>
    </xf>
    <xf numFmtId="2" fontId="6" fillId="5" borderId="2" xfId="4" applyNumberFormat="1" applyFont="1" applyBorder="1"/>
    <xf numFmtId="0" fontId="9" fillId="0" borderId="0" xfId="0" applyFont="1"/>
    <xf numFmtId="0" fontId="12" fillId="6" borderId="2" xfId="7" applyFont="1" applyFill="1" applyBorder="1" applyAlignment="1" applyProtection="1">
      <alignment horizontal="center"/>
      <protection locked="0"/>
    </xf>
    <xf numFmtId="0" fontId="13" fillId="6" borderId="2" xfId="3" applyFont="1" applyFill="1" applyBorder="1" applyAlignment="1" applyProtection="1">
      <alignment horizontal="center"/>
      <protection locked="0"/>
    </xf>
    <xf numFmtId="2" fontId="14" fillId="0" borderId="0" xfId="4" applyNumberFormat="1" applyFont="1" applyFill="1" applyBorder="1"/>
    <xf numFmtId="1" fontId="7" fillId="0" borderId="7" xfId="0" applyNumberFormat="1" applyFont="1" applyBorder="1" applyAlignment="1">
      <alignment vertical="center"/>
    </xf>
    <xf numFmtId="1" fontId="7" fillId="0" borderId="10" xfId="0" applyNumberFormat="1" applyFont="1" applyBorder="1" applyAlignment="1">
      <alignment vertical="center"/>
    </xf>
    <xf numFmtId="0" fontId="15" fillId="0" borderId="0" xfId="0" applyFont="1"/>
    <xf numFmtId="14" fontId="16" fillId="0" borderId="0" xfId="0" applyNumberFormat="1" applyFont="1"/>
    <xf numFmtId="0" fontId="17" fillId="0" borderId="0" xfId="0" applyFont="1"/>
    <xf numFmtId="0" fontId="18" fillId="0" borderId="2" xfId="0" applyFont="1" applyBorder="1" applyAlignment="1">
      <alignment horizontal="center"/>
    </xf>
    <xf numFmtId="14" fontId="19" fillId="0" borderId="2" xfId="0" quotePrefix="1" applyNumberFormat="1" applyFont="1" applyBorder="1"/>
    <xf numFmtId="0" fontId="20" fillId="0" borderId="0" xfId="0" applyFont="1"/>
    <xf numFmtId="0" fontId="1" fillId="0" borderId="0" xfId="0" applyFont="1"/>
    <xf numFmtId="0" fontId="22" fillId="0" borderId="0" xfId="0" applyFont="1"/>
    <xf numFmtId="0" fontId="6" fillId="0" borderId="0" xfId="0" applyFont="1" applyAlignment="1">
      <alignment horizontal="right"/>
    </xf>
    <xf numFmtId="0" fontId="16" fillId="0" borderId="0" xfId="0" applyFont="1"/>
    <xf numFmtId="0" fontId="1" fillId="0" borderId="0" xfId="0" applyFont="1" applyAlignment="1">
      <alignment horizontal="right"/>
    </xf>
    <xf numFmtId="0" fontId="23" fillId="0" borderId="0" xfId="0" applyFont="1" applyAlignment="1">
      <alignment vertical="center"/>
    </xf>
    <xf numFmtId="0" fontId="15" fillId="0" borderId="0" xfId="0" applyFont="1" applyAlignment="1">
      <alignment horizontal="right"/>
    </xf>
    <xf numFmtId="0" fontId="1" fillId="6" borderId="12" xfId="3" applyFont="1" applyFill="1" applyBorder="1" applyAlignment="1" applyProtection="1">
      <alignment horizontal="center"/>
      <protection locked="0"/>
    </xf>
    <xf numFmtId="0" fontId="22" fillId="0" borderId="0" xfId="3" applyFont="1" applyFill="1" applyAlignment="1" applyProtection="1">
      <alignment horizontal="center"/>
      <protection locked="0"/>
    </xf>
    <xf numFmtId="0" fontId="1" fillId="0" borderId="0" xfId="0" applyFont="1" applyAlignment="1">
      <alignment horizontal="left" indent="1"/>
    </xf>
    <xf numFmtId="14" fontId="6" fillId="0" borderId="0" xfId="0" applyNumberFormat="1" applyFont="1"/>
    <xf numFmtId="0" fontId="1" fillId="0" borderId="0" xfId="0" quotePrefix="1" applyFont="1" applyAlignment="1">
      <alignment horizontal="center"/>
    </xf>
    <xf numFmtId="0" fontId="24" fillId="0" borderId="0" xfId="0" quotePrefix="1" applyFont="1" applyAlignment="1">
      <alignment vertical="center"/>
    </xf>
    <xf numFmtId="0" fontId="19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6" fillId="0" borderId="2" xfId="0" applyNumberFormat="1" applyFont="1" applyBorder="1" applyProtection="1">
      <protection locked="0"/>
    </xf>
    <xf numFmtId="2" fontId="14" fillId="0" borderId="0" xfId="0" applyNumberFormat="1" applyFont="1" applyProtection="1">
      <protection locked="0"/>
    </xf>
    <xf numFmtId="2" fontId="6" fillId="0" borderId="0" xfId="0" applyNumberFormat="1" applyFont="1"/>
    <xf numFmtId="0" fontId="25" fillId="0" borderId="0" xfId="0" applyFont="1" applyAlignment="1">
      <alignment horizontal="center"/>
    </xf>
    <xf numFmtId="16" fontId="1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/>
    </xf>
    <xf numFmtId="16" fontId="26" fillId="0" borderId="0" xfId="0" applyNumberFormat="1" applyFont="1" applyAlignment="1">
      <alignment horizontal="right"/>
    </xf>
    <xf numFmtId="2" fontId="1" fillId="0" borderId="0" xfId="0" applyNumberFormat="1" applyFont="1" applyAlignment="1">
      <alignment horizontal="right" vertical="center"/>
    </xf>
    <xf numFmtId="2" fontId="6" fillId="11" borderId="2" xfId="0" applyNumberFormat="1" applyFont="1" applyFill="1" applyBorder="1"/>
    <xf numFmtId="2" fontId="6" fillId="10" borderId="2" xfId="1" applyNumberFormat="1" applyFont="1" applyFill="1" applyBorder="1"/>
    <xf numFmtId="2" fontId="22" fillId="0" borderId="0" xfId="1" applyNumberFormat="1" applyFont="1" applyFill="1"/>
    <xf numFmtId="0" fontId="14" fillId="10" borderId="2" xfId="0" applyFont="1" applyFill="1" applyBorder="1"/>
    <xf numFmtId="0" fontId="19" fillId="0" borderId="0" xfId="0" quotePrefix="1" applyFont="1"/>
    <xf numFmtId="16" fontId="1" fillId="0" borderId="0" xfId="0" applyNumberFormat="1" applyFont="1"/>
    <xf numFmtId="2" fontId="1" fillId="0" borderId="0" xfId="0" applyNumberFormat="1" applyFont="1"/>
    <xf numFmtId="0" fontId="6" fillId="0" borderId="3" xfId="0" applyFont="1" applyBorder="1" applyAlignment="1">
      <alignment horizontal="left"/>
    </xf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0" fontId="6" fillId="12" borderId="6" xfId="0" applyFont="1" applyFill="1" applyBorder="1" applyAlignment="1">
      <alignment horizontal="center"/>
    </xf>
    <xf numFmtId="2" fontId="1" fillId="9" borderId="9" xfId="0" applyNumberFormat="1" applyFont="1" applyFill="1" applyBorder="1"/>
    <xf numFmtId="2" fontId="1" fillId="9" borderId="10" xfId="0" applyNumberFormat="1" applyFont="1" applyFill="1" applyBorder="1"/>
    <xf numFmtId="10" fontId="1" fillId="0" borderId="0" xfId="0" applyNumberFormat="1" applyFont="1"/>
    <xf numFmtId="0" fontId="6" fillId="13" borderId="8" xfId="0" applyFont="1" applyFill="1" applyBorder="1" applyAlignment="1">
      <alignment horizontal="center"/>
    </xf>
    <xf numFmtId="2" fontId="1" fillId="9" borderId="13" xfId="0" applyNumberFormat="1" applyFont="1" applyFill="1" applyBorder="1"/>
    <xf numFmtId="0" fontId="1" fillId="0" borderId="4" xfId="0" quotePrefix="1" applyFont="1" applyBorder="1"/>
    <xf numFmtId="0" fontId="1" fillId="0" borderId="4" xfId="0" applyFont="1" applyBorder="1"/>
    <xf numFmtId="0" fontId="1" fillId="0" borderId="5" xfId="0" applyFont="1" applyBorder="1"/>
    <xf numFmtId="2" fontId="28" fillId="2" borderId="2" xfId="1" applyNumberFormat="1" applyFont="1" applyBorder="1"/>
    <xf numFmtId="0" fontId="1" fillId="0" borderId="0" xfId="0" quotePrefix="1" applyFont="1"/>
    <xf numFmtId="0" fontId="1" fillId="0" borderId="7" xfId="0" applyFont="1" applyBorder="1"/>
    <xf numFmtId="0" fontId="23" fillId="0" borderId="6" xfId="0" applyFont="1" applyBorder="1" applyAlignment="1">
      <alignment horizontal="right" vertical="center"/>
    </xf>
    <xf numFmtId="0" fontId="1" fillId="0" borderId="3" xfId="0" applyFont="1" applyBorder="1"/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0" fontId="1" fillId="15" borderId="10" xfId="0" applyFont="1" applyFill="1" applyBorder="1" applyAlignment="1">
      <alignment horizontal="right"/>
    </xf>
    <xf numFmtId="0" fontId="23" fillId="0" borderId="8" xfId="0" applyFont="1" applyBorder="1" applyAlignment="1">
      <alignment horizontal="right" vertical="center"/>
    </xf>
    <xf numFmtId="0" fontId="1" fillId="0" borderId="9" xfId="0" quotePrefix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0" xfId="0" applyFont="1" applyProtection="1">
      <protection hidden="1"/>
    </xf>
    <xf numFmtId="2" fontId="22" fillId="0" borderId="0" xfId="2" applyNumberFormat="1" applyFont="1" applyFill="1"/>
    <xf numFmtId="0" fontId="29" fillId="0" borderId="3" xfId="0" applyFont="1" applyBorder="1" applyAlignment="1">
      <alignment horizontal="center"/>
    </xf>
    <xf numFmtId="0" fontId="30" fillId="0" borderId="5" xfId="0" applyFont="1" applyBorder="1"/>
    <xf numFmtId="2" fontId="31" fillId="0" borderId="0" xfId="2" applyNumberFormat="1" applyFont="1" applyFill="1"/>
    <xf numFmtId="0" fontId="1" fillId="0" borderId="0" xfId="0" applyFont="1" applyAlignment="1">
      <alignment horizontal="center"/>
    </xf>
    <xf numFmtId="2" fontId="32" fillId="9" borderId="6" xfId="0" applyNumberFormat="1" applyFont="1" applyFill="1" applyBorder="1"/>
    <xf numFmtId="0" fontId="6" fillId="0" borderId="0" xfId="0" quotePrefix="1" applyFont="1" applyAlignment="1">
      <alignment horizontal="right"/>
    </xf>
    <xf numFmtId="10" fontId="33" fillId="0" borderId="7" xfId="5" applyNumberFormat="1" applyFont="1" applyBorder="1"/>
    <xf numFmtId="0" fontId="23" fillId="0" borderId="0" xfId="0" applyFont="1" applyAlignment="1">
      <alignment horizontal="right" vertical="center"/>
    </xf>
    <xf numFmtId="2" fontId="34" fillId="3" borderId="11" xfId="2" applyNumberFormat="1" applyFont="1" applyBorder="1"/>
    <xf numFmtId="2" fontId="34" fillId="3" borderId="2" xfId="2" applyNumberFormat="1" applyFont="1" applyBorder="1"/>
    <xf numFmtId="0" fontId="32" fillId="9" borderId="6" xfId="0" applyFont="1" applyFill="1" applyBorder="1"/>
    <xf numFmtId="0" fontId="20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1" fillId="0" borderId="6" xfId="0" applyNumberFormat="1" applyFont="1" applyBorder="1" applyAlignment="1">
      <alignment horizontal="right"/>
    </xf>
    <xf numFmtId="2" fontId="29" fillId="0" borderId="0" xfId="0" applyNumberFormat="1" applyFont="1"/>
    <xf numFmtId="2" fontId="1" fillId="0" borderId="8" xfId="0" applyNumberFormat="1" applyFont="1" applyBorder="1" applyAlignment="1">
      <alignment horizontal="right"/>
    </xf>
    <xf numFmtId="2" fontId="21" fillId="0" borderId="9" xfId="0" applyNumberFormat="1" applyFont="1" applyBorder="1"/>
    <xf numFmtId="2" fontId="19" fillId="0" borderId="0" xfId="0" applyNumberFormat="1" applyFont="1"/>
    <xf numFmtId="2" fontId="22" fillId="0" borderId="0" xfId="0" applyNumberFormat="1" applyFont="1"/>
    <xf numFmtId="0" fontId="29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0" fontId="29" fillId="14" borderId="2" xfId="5" applyNumberFormat="1" applyFont="1" applyFill="1" applyBorder="1" applyAlignment="1">
      <alignment horizontal="center"/>
    </xf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22" fillId="0" borderId="0" xfId="3" applyNumberFormat="1" applyFont="1" applyFill="1"/>
    <xf numFmtId="0" fontId="35" fillId="0" borderId="2" xfId="0" applyFont="1" applyBorder="1" applyAlignment="1">
      <alignment horizontal="center"/>
    </xf>
    <xf numFmtId="2" fontId="29" fillId="16" borderId="2" xfId="5" applyNumberFormat="1" applyFont="1" applyFill="1" applyBorder="1" applyAlignment="1">
      <alignment horizontal="center"/>
    </xf>
    <xf numFmtId="2" fontId="37" fillId="7" borderId="11" xfId="3" applyNumberFormat="1" applyFont="1" applyFill="1" applyBorder="1"/>
    <xf numFmtId="2" fontId="37" fillId="7" borderId="2" xfId="3" applyNumberFormat="1" applyFont="1" applyFill="1" applyBorder="1"/>
    <xf numFmtId="0" fontId="38" fillId="0" borderId="0" xfId="0" applyFont="1" applyAlignment="1">
      <alignment horizontal="right" vertical="center"/>
    </xf>
    <xf numFmtId="0" fontId="39" fillId="0" borderId="0" xfId="0" applyFont="1"/>
    <xf numFmtId="165" fontId="40" fillId="17" borderId="2" xfId="14" applyNumberFormat="1" applyFont="1" applyFill="1" applyBorder="1" applyAlignment="1">
      <alignment horizontal="center"/>
    </xf>
    <xf numFmtId="165" fontId="40" fillId="17" borderId="14" xfId="14" applyNumberFormat="1" applyFont="1" applyFill="1" applyBorder="1" applyAlignment="1">
      <alignment horizontal="center"/>
    </xf>
    <xf numFmtId="16" fontId="20" fillId="0" borderId="0" xfId="0" applyNumberFormat="1" applyFont="1"/>
    <xf numFmtId="0" fontId="6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36" fillId="0" borderId="0" xfId="3" applyFont="1" applyFill="1" applyAlignment="1" applyProtection="1">
      <alignment horizontal="center"/>
      <protection locked="0"/>
    </xf>
    <xf numFmtId="0" fontId="6" fillId="0" borderId="0" xfId="0" applyFont="1" applyAlignment="1">
      <alignment horizontal="left"/>
    </xf>
    <xf numFmtId="0" fontId="38" fillId="0" borderId="0" xfId="0" applyFont="1" applyAlignment="1">
      <alignment vertical="center"/>
    </xf>
    <xf numFmtId="0" fontId="41" fillId="8" borderId="0" xfId="1" applyFont="1" applyFill="1" applyAlignment="1">
      <alignment horizontal="center"/>
    </xf>
  </cellXfs>
  <cellStyles count="15">
    <cellStyle name="_x000a_bidires=100_x000d_" xfId="6"/>
    <cellStyle name="Bad" xfId="2" builtinId="27"/>
    <cellStyle name="Check Cell" xfId="4" builtinId="23"/>
    <cellStyle name="Comma" xfId="14" builtinId="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40"/>
  <sheetViews>
    <sheetView tabSelected="1" zoomScale="110" zoomScaleNormal="110" workbookViewId="0">
      <selection activeCell="P18" sqref="P18"/>
    </sheetView>
  </sheetViews>
  <sheetFormatPr defaultColWidth="8.81640625" defaultRowHeight="15.5" x14ac:dyDescent="0.35"/>
  <cols>
    <col min="1" max="1" width="11.26953125" style="78" customWidth="1"/>
    <col min="2" max="2" width="10.81640625" style="18" customWidth="1"/>
    <col min="3" max="3" width="12" style="18" customWidth="1"/>
    <col min="4" max="4" width="10.81640625" style="18" customWidth="1"/>
    <col min="5" max="5" width="11.26953125" style="18" customWidth="1"/>
    <col min="6" max="6" width="3.453125" style="19" customWidth="1"/>
    <col min="7" max="7" width="11.81640625" style="18" customWidth="1"/>
    <col min="8" max="8" width="11.453125" style="18" customWidth="1"/>
    <col min="9" max="9" width="12.26953125" style="18" customWidth="1"/>
    <col min="10" max="10" width="4.7265625" style="18" customWidth="1"/>
    <col min="11" max="11" width="9.7265625" style="18" customWidth="1"/>
    <col min="12" max="15" width="8.81640625" style="18" customWidth="1"/>
    <col min="16" max="17" width="10.26953125" style="18" customWidth="1"/>
    <col min="18" max="18" width="8.81640625" style="18"/>
    <col min="19" max="19" width="8.7265625" style="18" customWidth="1"/>
    <col min="20" max="16384" width="8.81640625" style="18"/>
  </cols>
  <sheetData>
    <row r="1" spans="1:21" ht="26.15" customHeight="1" x14ac:dyDescent="0.35">
      <c r="A1" s="112" t="s">
        <v>0</v>
      </c>
      <c r="E1" s="13">
        <f ca="1">TODAY()</f>
        <v>45799</v>
      </c>
      <c r="G1" s="1"/>
      <c r="K1" s="1" t="s">
        <v>1</v>
      </c>
      <c r="R1" s="18" t="s">
        <v>2</v>
      </c>
    </row>
    <row r="2" spans="1:21" ht="18.5" customHeight="1" x14ac:dyDescent="0.35">
      <c r="A2" s="109"/>
      <c r="E2" s="13"/>
      <c r="G2" s="1"/>
      <c r="K2" s="1"/>
    </row>
    <row r="3" spans="1:21" ht="15" customHeight="1" x14ac:dyDescent="0.35">
      <c r="A3" s="109" t="s">
        <v>3</v>
      </c>
      <c r="B3" s="13">
        <v>45798</v>
      </c>
      <c r="C3" s="109" t="s">
        <v>4</v>
      </c>
      <c r="D3" s="6" t="s">
        <v>5</v>
      </c>
      <c r="E3" s="6"/>
      <c r="F3" s="21"/>
      <c r="H3" s="20" t="s">
        <v>6</v>
      </c>
      <c r="K3" s="113" t="s">
        <v>7</v>
      </c>
      <c r="P3" s="12"/>
      <c r="Q3" s="24" t="s">
        <v>8</v>
      </c>
      <c r="R3" s="18">
        <f>COUNTA(#REF!)</f>
        <v>1</v>
      </c>
    </row>
    <row r="4" spans="1:21" ht="15" customHeight="1" thickBot="1" x14ac:dyDescent="0.4">
      <c r="A4" s="109"/>
      <c r="B4" s="13"/>
      <c r="C4" s="20"/>
      <c r="D4" s="6"/>
      <c r="E4" s="6"/>
      <c r="F4" s="21"/>
      <c r="H4" s="22"/>
      <c r="K4" s="23"/>
      <c r="P4" s="12"/>
      <c r="Q4" s="24"/>
    </row>
    <row r="5" spans="1:21" ht="18" customHeight="1" x14ac:dyDescent="0.35">
      <c r="A5" s="78" t="s">
        <v>9</v>
      </c>
      <c r="B5" s="7" t="s">
        <v>10</v>
      </c>
      <c r="C5" s="8" t="s">
        <v>11</v>
      </c>
      <c r="D5" s="25" t="s">
        <v>12</v>
      </c>
      <c r="E5" s="25" t="s">
        <v>13</v>
      </c>
      <c r="F5" s="26"/>
      <c r="G5" s="27"/>
      <c r="H5" s="28">
        <f>+B3</f>
        <v>45798</v>
      </c>
      <c r="J5" s="29"/>
      <c r="K5" s="30" t="s">
        <v>14</v>
      </c>
      <c r="L5" s="31"/>
      <c r="M5" s="31"/>
      <c r="N5" s="6" t="s">
        <v>15</v>
      </c>
      <c r="P5" s="12"/>
    </row>
    <row r="6" spans="1:21" ht="18" customHeight="1" x14ac:dyDescent="0.35">
      <c r="A6" s="78" t="s">
        <v>16</v>
      </c>
      <c r="B6" s="32">
        <v>5914.5</v>
      </c>
      <c r="C6" s="33">
        <v>21279.5</v>
      </c>
      <c r="D6" s="34">
        <v>5910.18</v>
      </c>
      <c r="E6" s="34">
        <v>21217.3</v>
      </c>
      <c r="F6" s="35"/>
      <c r="H6" s="29" t="s">
        <v>17</v>
      </c>
      <c r="I6" s="29" t="s">
        <v>18</v>
      </c>
      <c r="K6" s="23" t="s">
        <v>19</v>
      </c>
    </row>
    <row r="7" spans="1:21" ht="18" customHeight="1" x14ac:dyDescent="0.45">
      <c r="A7" s="78" t="s">
        <v>20</v>
      </c>
      <c r="B7" s="32">
        <v>5956.25</v>
      </c>
      <c r="C7" s="33">
        <v>21558.5</v>
      </c>
      <c r="D7" s="34">
        <v>5938.37</v>
      </c>
      <c r="E7" s="34">
        <v>21482.98</v>
      </c>
      <c r="F7" s="35"/>
      <c r="G7" s="22" t="s">
        <v>21</v>
      </c>
      <c r="H7" s="106">
        <v>5956</v>
      </c>
      <c r="I7" s="106">
        <v>21558</v>
      </c>
      <c r="J7" s="36"/>
      <c r="K7" s="23" t="s">
        <v>22</v>
      </c>
      <c r="P7" s="17"/>
      <c r="Q7" s="37" t="s">
        <v>23</v>
      </c>
    </row>
    <row r="8" spans="1:21" ht="18" customHeight="1" x14ac:dyDescent="0.35">
      <c r="A8" s="78" t="s">
        <v>24</v>
      </c>
      <c r="B8" s="32">
        <v>5847.75</v>
      </c>
      <c r="C8" s="33">
        <v>21072.75</v>
      </c>
      <c r="D8" s="34">
        <v>5830.91</v>
      </c>
      <c r="E8" s="34">
        <v>21002.09</v>
      </c>
      <c r="F8" s="35"/>
      <c r="G8" s="22" t="s">
        <v>25</v>
      </c>
      <c r="H8" s="106">
        <v>5948</v>
      </c>
      <c r="I8" s="106">
        <v>21520</v>
      </c>
      <c r="J8" s="36"/>
      <c r="K8" s="23" t="s">
        <v>26</v>
      </c>
      <c r="P8" s="17"/>
      <c r="Q8" s="38">
        <v>45768</v>
      </c>
      <c r="R8" s="39">
        <v>5184</v>
      </c>
      <c r="S8" s="14"/>
    </row>
    <row r="9" spans="1:21" ht="18" customHeight="1" x14ac:dyDescent="0.35">
      <c r="A9" s="109" t="s">
        <v>27</v>
      </c>
      <c r="B9" s="32">
        <v>5855.5</v>
      </c>
      <c r="C9" s="33">
        <v>21156.75</v>
      </c>
      <c r="D9" s="34">
        <v>5844.61</v>
      </c>
      <c r="E9" s="34">
        <v>21080.36</v>
      </c>
      <c r="F9" s="35"/>
      <c r="G9" s="22" t="s">
        <v>28</v>
      </c>
      <c r="H9" s="106">
        <v>5878</v>
      </c>
      <c r="I9" s="107">
        <v>21235</v>
      </c>
      <c r="J9" s="36"/>
      <c r="K9" s="23" t="s">
        <v>29</v>
      </c>
      <c r="P9" s="17"/>
      <c r="Q9" s="40">
        <v>45770</v>
      </c>
      <c r="R9" s="41">
        <v>5697.5</v>
      </c>
    </row>
    <row r="10" spans="1:21" ht="18" customHeight="1" x14ac:dyDescent="0.35">
      <c r="A10" s="110"/>
      <c r="B10" s="36"/>
      <c r="C10" s="22" t="s">
        <v>30</v>
      </c>
      <c r="D10" s="36" t="s">
        <v>31</v>
      </c>
      <c r="E10" s="36"/>
      <c r="G10" s="22" t="s">
        <v>32</v>
      </c>
      <c r="H10" s="42">
        <f>+B21</f>
        <v>5886.5</v>
      </c>
      <c r="I10" s="42">
        <f>+C21</f>
        <v>21262.75</v>
      </c>
      <c r="J10" s="36"/>
      <c r="K10" s="23" t="s">
        <v>33</v>
      </c>
      <c r="P10" s="17"/>
      <c r="Q10" s="40">
        <v>45785</v>
      </c>
      <c r="R10" s="41">
        <v>5649</v>
      </c>
    </row>
    <row r="11" spans="1:21" ht="18" customHeight="1" x14ac:dyDescent="0.35">
      <c r="A11" s="78" t="s">
        <v>34</v>
      </c>
      <c r="B11" s="43">
        <f>(9*B$21)+(B$7-(9*B$8))</f>
        <v>6305</v>
      </c>
      <c r="C11" s="43">
        <f>(9*C$21)+(C$7-(9*C$8))</f>
        <v>23268.5</v>
      </c>
      <c r="D11" s="43">
        <f>(9*D$21)+(D$7-(9*D$8))</f>
        <v>6301.43</v>
      </c>
      <c r="E11" s="43">
        <f>(9*E$21)+(E$7-(9*E$8))</f>
        <v>23160.670000000013</v>
      </c>
      <c r="F11" s="44"/>
      <c r="G11" s="45" t="s">
        <v>35</v>
      </c>
      <c r="H11" s="46" t="s">
        <v>36</v>
      </c>
      <c r="K11" s="23" t="s">
        <v>37</v>
      </c>
      <c r="P11" s="17"/>
      <c r="Q11" s="47">
        <v>45789</v>
      </c>
      <c r="R11" s="48">
        <v>5678</v>
      </c>
    </row>
    <row r="12" spans="1:21" ht="18" customHeight="1" x14ac:dyDescent="0.35">
      <c r="A12" s="78" t="s">
        <v>38</v>
      </c>
      <c r="B12" s="43">
        <f>(8*B$21)+(B$7-(8*B$8))</f>
        <v>6266.25</v>
      </c>
      <c r="C12" s="43">
        <f>(8*C$21)+(C$7-(8*C$8))</f>
        <v>23078.5</v>
      </c>
      <c r="D12" s="43">
        <f>(8*D$21)+(D$7-(8*D$8))</f>
        <v>6261.0900000000038</v>
      </c>
      <c r="E12" s="43">
        <f>(8*E$21)+(E$7-(8*E$8))</f>
        <v>22974.260000000009</v>
      </c>
      <c r="F12" s="44"/>
      <c r="G12" s="49" t="s">
        <v>39</v>
      </c>
      <c r="H12" s="50" t="s">
        <v>12</v>
      </c>
      <c r="I12" s="51" t="s">
        <v>13</v>
      </c>
      <c r="K12" s="23" t="s">
        <v>40</v>
      </c>
      <c r="P12" s="12"/>
      <c r="Q12" s="40">
        <v>45786</v>
      </c>
      <c r="R12" s="41">
        <v>5726.5</v>
      </c>
    </row>
    <row r="13" spans="1:21" ht="18" customHeight="1" x14ac:dyDescent="0.35">
      <c r="A13" s="78" t="s">
        <v>41</v>
      </c>
      <c r="B13" s="43">
        <f>(7*B$21)+(B$7-(7*B$8))</f>
        <v>6227.5</v>
      </c>
      <c r="C13" s="43">
        <f>(7*C$21)+(C$7-(7*C$8))</f>
        <v>22888.5</v>
      </c>
      <c r="D13" s="43">
        <f>(7*D$21)+(D$7-(7*D$8))</f>
        <v>6220.7500000000073</v>
      </c>
      <c r="E13" s="43">
        <f>(7*E$21)+(E$7-(7*E$8))</f>
        <v>22787.849999999991</v>
      </c>
      <c r="F13" s="44"/>
      <c r="G13" s="52" t="s">
        <v>42</v>
      </c>
      <c r="H13" s="53">
        <v>5955</v>
      </c>
      <c r="I13" s="54">
        <v>21250</v>
      </c>
      <c r="P13" s="17"/>
      <c r="Q13" s="40">
        <v>45719</v>
      </c>
      <c r="R13" s="41">
        <v>5956</v>
      </c>
      <c r="U13" s="55"/>
    </row>
    <row r="14" spans="1:21" ht="18" customHeight="1" x14ac:dyDescent="0.35">
      <c r="A14" s="78" t="s">
        <v>43</v>
      </c>
      <c r="B14" s="43">
        <f>(6*B$21)+(B$7-(6*B$8))</f>
        <v>6188.75</v>
      </c>
      <c r="C14" s="43">
        <f>(6*C$21)+(C$7-(6*C$8))</f>
        <v>22698.5</v>
      </c>
      <c r="D14" s="43">
        <f>(6*D$21)+(D$7-(6*D$8))</f>
        <v>6180.41</v>
      </c>
      <c r="E14" s="43">
        <f>(6*E$21)+(E$7-(6*E$8))</f>
        <v>22601.439999999988</v>
      </c>
      <c r="F14" s="44"/>
      <c r="G14" s="56" t="s">
        <v>44</v>
      </c>
      <c r="H14" s="57">
        <v>5700</v>
      </c>
      <c r="I14" s="54">
        <v>20400</v>
      </c>
      <c r="K14" s="3" t="s">
        <v>45</v>
      </c>
      <c r="L14" s="58" t="s">
        <v>46</v>
      </c>
      <c r="M14" s="59"/>
      <c r="N14" s="60"/>
      <c r="P14" s="12"/>
      <c r="Q14" s="47">
        <v>45721</v>
      </c>
      <c r="R14" s="41">
        <v>6006</v>
      </c>
      <c r="U14" s="55"/>
    </row>
    <row r="15" spans="1:21" ht="18" customHeight="1" x14ac:dyDescent="0.35">
      <c r="A15" s="78" t="s">
        <v>47</v>
      </c>
      <c r="B15" s="61">
        <f>(5*B$21)+(B$7-(5*B$8))</f>
        <v>6150</v>
      </c>
      <c r="C15" s="61">
        <f>(5*C$21)+(C$7-(5*C$8))</f>
        <v>22508.5</v>
      </c>
      <c r="D15" s="61">
        <f>(5*D$21)+(D$7-(5*D$8))</f>
        <v>6140.07</v>
      </c>
      <c r="E15" s="61">
        <f>(5*E$21)+(E$7-(5*E$8))</f>
        <v>22415.03</v>
      </c>
      <c r="F15" s="44"/>
      <c r="K15" s="4" t="s">
        <v>48</v>
      </c>
      <c r="L15" s="62" t="s">
        <v>49</v>
      </c>
      <c r="N15" s="63"/>
      <c r="P15" s="12"/>
      <c r="Q15" s="108">
        <v>45798</v>
      </c>
      <c r="R15" s="39">
        <v>5960</v>
      </c>
    </row>
    <row r="16" spans="1:21" ht="18" customHeight="1" x14ac:dyDescent="0.35">
      <c r="A16" s="78" t="s">
        <v>48</v>
      </c>
      <c r="B16" s="61">
        <f>(4*B$21)+(B$7-(4*B$8))</f>
        <v>6111.25</v>
      </c>
      <c r="C16" s="61">
        <f>(4*C$21)+(C$7-(4*C$8))</f>
        <v>22318.5</v>
      </c>
      <c r="D16" s="61">
        <f>(4*D$21)+(D$7-(4*D$8))</f>
        <v>6099.73</v>
      </c>
      <c r="E16" s="61">
        <f>(4*E$21)+(E$7-(4*E$8))</f>
        <v>22228.619999999995</v>
      </c>
      <c r="F16" s="44"/>
      <c r="K16" s="4" t="s">
        <v>47</v>
      </c>
      <c r="L16" s="62" t="s">
        <v>50</v>
      </c>
      <c r="N16" s="63"/>
      <c r="P16" s="17"/>
      <c r="Q16" s="12"/>
      <c r="R16" s="48"/>
      <c r="T16" s="55"/>
    </row>
    <row r="17" spans="1:20" ht="18" customHeight="1" x14ac:dyDescent="0.35">
      <c r="A17" s="78" t="s">
        <v>45</v>
      </c>
      <c r="B17" s="61">
        <f>(3*B$21)+(B$7-(3*B$8))</f>
        <v>6072.5</v>
      </c>
      <c r="C17" s="61">
        <f>(3*C$21)+(C$7-(3*C$8))</f>
        <v>22128.5</v>
      </c>
      <c r="D17" s="61">
        <f>(3*D$21)+(D$7-(3*D$8))</f>
        <v>6059.3899999999994</v>
      </c>
      <c r="E17" s="61">
        <f>(3*E$21)+(E$7-(3*E$8))</f>
        <v>22042.209999999992</v>
      </c>
      <c r="F17" s="44"/>
      <c r="G17" s="1"/>
      <c r="I17" s="48"/>
      <c r="K17" s="64" t="s">
        <v>51</v>
      </c>
      <c r="L17" s="62" t="s">
        <v>52</v>
      </c>
      <c r="N17" s="63"/>
      <c r="P17" s="12"/>
      <c r="Q17" s="17"/>
      <c r="R17" s="48"/>
      <c r="T17" s="55"/>
    </row>
    <row r="18" spans="1:20" ht="18" customHeight="1" x14ac:dyDescent="0.35">
      <c r="A18" s="78" t="s">
        <v>53</v>
      </c>
      <c r="B18" s="61">
        <f>B$7+2*(B$21-B$8)</f>
        <v>6033.75</v>
      </c>
      <c r="C18" s="61">
        <f>C$7+2*(C$21-C$8)</f>
        <v>21938.5</v>
      </c>
      <c r="D18" s="61">
        <f>D$7+2*(D$21-D$8)</f>
        <v>6019.05</v>
      </c>
      <c r="E18" s="61">
        <f>E$7+2*(E$21-E$8)</f>
        <v>21855.8</v>
      </c>
      <c r="F18" s="44"/>
      <c r="G18" s="65" t="s">
        <v>54</v>
      </c>
      <c r="H18" s="59" t="s">
        <v>55</v>
      </c>
      <c r="I18" s="60"/>
      <c r="K18" s="64" t="s">
        <v>56</v>
      </c>
      <c r="L18" s="62" t="s">
        <v>57</v>
      </c>
      <c r="N18" s="63"/>
      <c r="P18" s="12"/>
      <c r="Q18" s="12"/>
      <c r="R18" s="48"/>
    </row>
    <row r="19" spans="1:20" ht="18" customHeight="1" x14ac:dyDescent="0.35">
      <c r="A19" s="78" t="s">
        <v>58</v>
      </c>
      <c r="B19" s="61">
        <f>B$21+(B$20-B$22)</f>
        <v>5995</v>
      </c>
      <c r="C19" s="61">
        <f>C$21+(C$20-C$22)</f>
        <v>21748.5</v>
      </c>
      <c r="D19" s="61">
        <f>D$21+(D$20-D$22)</f>
        <v>5978.71</v>
      </c>
      <c r="E19" s="61">
        <f>E$21+(E$20-E$22)</f>
        <v>21669.39</v>
      </c>
      <c r="F19" s="9"/>
      <c r="G19" s="66">
        <f>+B9-D9</f>
        <v>10.890000000000327</v>
      </c>
      <c r="H19" s="67">
        <f>+C9-E9</f>
        <v>76.389999999999418</v>
      </c>
      <c r="I19" s="68" t="s">
        <v>59</v>
      </c>
      <c r="J19" s="36"/>
      <c r="K19" s="69" t="s">
        <v>60</v>
      </c>
      <c r="L19" s="70" t="s">
        <v>61</v>
      </c>
      <c r="M19" s="71"/>
      <c r="N19" s="72"/>
      <c r="O19" s="73"/>
      <c r="P19" s="12"/>
      <c r="Q19" s="12"/>
      <c r="R19" s="48"/>
      <c r="S19" s="55"/>
    </row>
    <row r="20" spans="1:20" ht="18" customHeight="1" x14ac:dyDescent="0.35">
      <c r="A20" s="78" t="s">
        <v>62</v>
      </c>
      <c r="B20" s="61">
        <f>(2*B$21)-B$8</f>
        <v>5925.25</v>
      </c>
      <c r="C20" s="61">
        <f>(2*C$21)-C$8</f>
        <v>21452.75</v>
      </c>
      <c r="D20" s="61">
        <f>(2*D$21)-D$8</f>
        <v>5911.59</v>
      </c>
      <c r="E20" s="61">
        <f>(2*E$21)-E$8</f>
        <v>21374.91</v>
      </c>
      <c r="F20" s="74"/>
      <c r="G20" s="75" t="s">
        <v>63</v>
      </c>
      <c r="H20" s="76" t="s">
        <v>64</v>
      </c>
      <c r="I20" s="60"/>
      <c r="J20" s="77"/>
      <c r="L20" s="78" t="s">
        <v>65</v>
      </c>
      <c r="M20" s="78" t="s">
        <v>66</v>
      </c>
      <c r="N20" s="18" t="s">
        <v>12</v>
      </c>
      <c r="P20" s="12"/>
      <c r="Q20" s="17"/>
      <c r="R20" s="48"/>
      <c r="S20" s="55"/>
    </row>
    <row r="21" spans="1:20" ht="18" customHeight="1" x14ac:dyDescent="0.35">
      <c r="A21" s="114" t="s">
        <v>32</v>
      </c>
      <c r="B21" s="5">
        <f>ROUND((((B$7+B$8+B$9)/3)/0.25),0)*0.25</f>
        <v>5886.5</v>
      </c>
      <c r="C21" s="5">
        <f>ROUND((((C$7+C$8+C$9)/3)/0.25),0)*0.25</f>
        <v>21262.75</v>
      </c>
      <c r="D21" s="5">
        <f>ROUND((((D$7+D$8+D$9)/3)/0.25),0)*0.25</f>
        <v>5871.25</v>
      </c>
      <c r="E21" s="5">
        <f>ROUND((((E$7+E$8+E$9)/3)/0.25),0)*0.25</f>
        <v>21188.5</v>
      </c>
      <c r="F21" s="74"/>
      <c r="G21" s="79">
        <v>18.25</v>
      </c>
      <c r="H21" s="80" t="s">
        <v>67</v>
      </c>
      <c r="I21" s="81">
        <f>(+G21/15.93738)/100</f>
        <v>1.145106661195253E-2</v>
      </c>
      <c r="J21" s="77"/>
      <c r="K21" s="82" t="s">
        <v>68</v>
      </c>
      <c r="L21" s="18">
        <f>(13*$B$21)+(($B$7-(13*$B$8)))</f>
        <v>6460</v>
      </c>
      <c r="M21" s="18">
        <f>(13*$C$21)+(($C$7-(13*$C$8)))</f>
        <v>24028.5</v>
      </c>
      <c r="N21" s="18">
        <f>(13*$B$21)+(($B$7-(13*$B$8)))</f>
        <v>6460</v>
      </c>
      <c r="P21" s="12"/>
      <c r="Q21" s="12"/>
      <c r="R21" s="48"/>
    </row>
    <row r="22" spans="1:20" ht="18" customHeight="1" x14ac:dyDescent="0.35">
      <c r="A22" s="78" t="s">
        <v>69</v>
      </c>
      <c r="B22" s="83">
        <f>(2*B$21)-B$7</f>
        <v>5816.75</v>
      </c>
      <c r="C22" s="84">
        <f>(2*C$21)-C$7</f>
        <v>20967</v>
      </c>
      <c r="D22" s="84">
        <f>(2*D$21)-D$7</f>
        <v>5804.13</v>
      </c>
      <c r="E22" s="84">
        <f>(2*E$21)-E$7</f>
        <v>20894.02</v>
      </c>
      <c r="F22" s="74"/>
      <c r="G22" s="85"/>
      <c r="H22" s="86" t="s">
        <v>70</v>
      </c>
      <c r="I22" s="87" t="s">
        <v>71</v>
      </c>
      <c r="K22" s="82" t="s">
        <v>72</v>
      </c>
      <c r="L22" s="18">
        <f>(12*B$21)+((B$7-(12*B$8)))</f>
        <v>6421.25</v>
      </c>
      <c r="M22" s="18">
        <f>(12*C$21)+((C$7-(12*C$8)))</f>
        <v>23838.5</v>
      </c>
      <c r="N22" s="18">
        <f>(12*D$21)+((D$7-(12*D$8)))</f>
        <v>6422.4500000000044</v>
      </c>
      <c r="P22" s="12"/>
      <c r="Q22" s="12"/>
      <c r="R22" s="48"/>
      <c r="S22" s="55"/>
    </row>
    <row r="23" spans="1:20" ht="18" customHeight="1" x14ac:dyDescent="0.35">
      <c r="A23" s="78" t="s">
        <v>73</v>
      </c>
      <c r="B23" s="83">
        <f>B$21-(B$20-B$22)</f>
        <v>5778</v>
      </c>
      <c r="C23" s="84">
        <f>C$21-(C$20-C$22)</f>
        <v>20777</v>
      </c>
      <c r="D23" s="84">
        <f>D$21-(D$20-D$22)</f>
        <v>5763.79</v>
      </c>
      <c r="E23" s="84">
        <f>E$21-(E$20-E$22)</f>
        <v>20707.61</v>
      </c>
      <c r="F23" s="74"/>
      <c r="G23" s="88" t="s">
        <v>65</v>
      </c>
      <c r="H23" s="89">
        <f>+B7-B8</f>
        <v>108.5</v>
      </c>
      <c r="I23" s="10">
        <f>+(H23*I21*100)/2</f>
        <v>62.122036369842469</v>
      </c>
      <c r="K23" s="82" t="s">
        <v>74</v>
      </c>
      <c r="L23" s="18">
        <f>(11*B$21)+((B$7-(11*B$8)))</f>
        <v>6382.5</v>
      </c>
      <c r="M23" s="18">
        <f>(11*C$21)+((C$7-(11*C$8)))</f>
        <v>23648.5</v>
      </c>
      <c r="N23" s="18">
        <f>(11*D$21)+((D$7-(11*D$8)))</f>
        <v>6382.1100000000079</v>
      </c>
      <c r="P23" s="12"/>
      <c r="Q23" s="12"/>
      <c r="T23" s="55"/>
    </row>
    <row r="24" spans="1:20" ht="18" customHeight="1" x14ac:dyDescent="0.35">
      <c r="A24" s="78" t="s">
        <v>75</v>
      </c>
      <c r="B24" s="83">
        <f>B$8-2*(B$7-B$21)</f>
        <v>5708.25</v>
      </c>
      <c r="C24" s="84">
        <f>C$8-2*(C$7-C$21)</f>
        <v>20481.25</v>
      </c>
      <c r="D24" s="84">
        <f>D$8-2*(D$7-D$21)</f>
        <v>5696.67</v>
      </c>
      <c r="E24" s="84">
        <f>E$8-2*(E$7-E$21)</f>
        <v>20413.13</v>
      </c>
      <c r="F24" s="74"/>
      <c r="G24" s="90" t="s">
        <v>66</v>
      </c>
      <c r="H24" s="91">
        <f>+C7-C8</f>
        <v>485.75</v>
      </c>
      <c r="I24" s="11">
        <f>(+H24*I21*100)/2</f>
        <v>278.11778033779706</v>
      </c>
      <c r="J24" s="2"/>
      <c r="K24" s="82" t="s">
        <v>76</v>
      </c>
      <c r="L24" s="18">
        <f>(10*B$21)+((B$7-(10*B$8)))</f>
        <v>6343.75</v>
      </c>
      <c r="M24" s="18">
        <f>(10*C$21)+((C$7-(10*C$8)))</f>
        <v>23458.5</v>
      </c>
      <c r="N24" s="18">
        <f>(10*D$21)+((D$7-(10*D$8)))</f>
        <v>6341.7700000000041</v>
      </c>
      <c r="P24" s="12"/>
      <c r="Q24" s="12"/>
      <c r="T24" s="55"/>
    </row>
    <row r="25" spans="1:20" ht="18" customHeight="1" x14ac:dyDescent="0.35">
      <c r="A25" s="78" t="s">
        <v>60</v>
      </c>
      <c r="B25" s="83">
        <f>(3*B$21)-((3*B$7)-B$8)</f>
        <v>5638.5</v>
      </c>
      <c r="C25" s="84">
        <f>(3*C$21)-((3*C$7)-C$8)</f>
        <v>20185.5</v>
      </c>
      <c r="D25" s="84">
        <f>(3*D$21)-((3*D$7)-D$8)</f>
        <v>5629.5499999999993</v>
      </c>
      <c r="E25" s="84">
        <f>(3*E$21)-((3*E$7)-E$8)</f>
        <v>20118.649999999994</v>
      </c>
      <c r="F25" s="74"/>
      <c r="G25" s="92"/>
      <c r="K25" s="82" t="s">
        <v>34</v>
      </c>
      <c r="L25" s="18">
        <f>(9*B$21)+((B$7-(9*B$8)))</f>
        <v>6305</v>
      </c>
      <c r="M25" s="18">
        <f>(9*C$21)+((C$7-(9*C$8)))</f>
        <v>23268.5</v>
      </c>
      <c r="N25" s="18">
        <f>(9*D$21)+((D$7-(9*D$8)))</f>
        <v>6301.43</v>
      </c>
      <c r="P25" s="12"/>
      <c r="Q25" s="12"/>
    </row>
    <row r="26" spans="1:20" ht="18" customHeight="1" x14ac:dyDescent="0.35">
      <c r="A26" s="78" t="s">
        <v>56</v>
      </c>
      <c r="B26" s="83">
        <f>(4*B$21)-((4*B$7)-B$8)</f>
        <v>5568.75</v>
      </c>
      <c r="C26" s="84">
        <f>(4*C$21)-((4*C$7)-C$8)</f>
        <v>19889.75</v>
      </c>
      <c r="D26" s="84">
        <f>(4*D$21)-((4*D$7)-D$8)</f>
        <v>5562.43</v>
      </c>
      <c r="E26" s="84">
        <f>(4*E$21)-((4*E$7)-E$8)</f>
        <v>19824.169999999998</v>
      </c>
      <c r="F26" s="93"/>
      <c r="G26" s="16">
        <f>+B3</f>
        <v>45798</v>
      </c>
      <c r="H26" s="94" t="s">
        <v>65</v>
      </c>
      <c r="I26" s="95" t="s">
        <v>66</v>
      </c>
      <c r="J26" s="23"/>
      <c r="K26" s="82" t="s">
        <v>38</v>
      </c>
      <c r="L26" s="18">
        <f>(8*B$21)+((B$7-(8*B$8)))</f>
        <v>6266.25</v>
      </c>
      <c r="M26" s="18">
        <f>(8*C$21)+((C$7-(8*C$8)))</f>
        <v>23078.5</v>
      </c>
      <c r="N26" s="18">
        <f>(8*D$21)+((D$7-(8*D$8)))</f>
        <v>6261.0900000000038</v>
      </c>
      <c r="P26" s="12"/>
      <c r="Q26" s="12"/>
      <c r="T26" s="55"/>
    </row>
    <row r="27" spans="1:20" ht="18" customHeight="1" x14ac:dyDescent="0.35">
      <c r="A27" s="78" t="s">
        <v>51</v>
      </c>
      <c r="B27" s="83">
        <f>(5*B$21)-((5*B$7)-B$8)</f>
        <v>5499</v>
      </c>
      <c r="C27" s="84">
        <f>(5*C$21)-((5*C$7)-C$8)</f>
        <v>19594</v>
      </c>
      <c r="D27" s="84">
        <f>(5*D$21)-((5*D$7)-D$8)</f>
        <v>5495.3100000000013</v>
      </c>
      <c r="E27" s="84">
        <f>(5*E$21)-((5*E$7)-E$8)</f>
        <v>19529.690000000002</v>
      </c>
      <c r="F27" s="93"/>
      <c r="G27" s="15" t="s">
        <v>77</v>
      </c>
      <c r="H27" s="96">
        <f>(+H23/B6)/2</f>
        <v>9.1723729816552534E-3</v>
      </c>
      <c r="I27" s="96">
        <f>(+H24/C6)/2</f>
        <v>1.1413567048097935E-2</v>
      </c>
      <c r="L27" s="78" t="s">
        <v>65</v>
      </c>
      <c r="M27" s="78" t="s">
        <v>66</v>
      </c>
      <c r="N27" s="18" t="s">
        <v>12</v>
      </c>
      <c r="P27" s="12"/>
      <c r="Q27" s="12"/>
      <c r="T27" s="55"/>
    </row>
    <row r="28" spans="1:20" ht="18" customHeight="1" x14ac:dyDescent="0.35">
      <c r="A28" s="78" t="s">
        <v>78</v>
      </c>
      <c r="B28" s="97">
        <f>ROUND((6*B$21)-((6*B$7)-B$8),2)</f>
        <v>5429.25</v>
      </c>
      <c r="C28" s="98">
        <f>ROUND((6*C$21)-((6*C$7)-C$8),2)</f>
        <v>19298.25</v>
      </c>
      <c r="D28" s="98">
        <f>ROUND((6*D$21)-((6*D$7)-D$8),2)</f>
        <v>5428.19</v>
      </c>
      <c r="E28" s="98">
        <f>ROUND((6*E$21)-((6*E$7)-E$8),2)</f>
        <v>19235.21</v>
      </c>
      <c r="F28" s="99"/>
      <c r="G28" s="100" t="s">
        <v>79</v>
      </c>
      <c r="H28" s="101">
        <f>+H27*1600</f>
        <v>14.675796770648406</v>
      </c>
      <c r="I28" s="101">
        <f>+I27*1600</f>
        <v>18.261707276956695</v>
      </c>
      <c r="K28" s="82" t="s">
        <v>80</v>
      </c>
      <c r="L28" s="18">
        <f>(10*$B$21)-((10*$B$7)-$B$8)</f>
        <v>5150.25</v>
      </c>
      <c r="M28" s="18">
        <f>(10*$C$21)-((10*$C$7)-$C$8)</f>
        <v>18115.25</v>
      </c>
      <c r="N28" s="18">
        <f>(10*$D$21)-((10*$D$7)-$D$8)</f>
        <v>5159.7100000000064</v>
      </c>
      <c r="P28" s="12"/>
      <c r="Q28" s="12"/>
    </row>
    <row r="29" spans="1:20" ht="18" customHeight="1" x14ac:dyDescent="0.35">
      <c r="A29" s="78" t="s">
        <v>81</v>
      </c>
      <c r="B29" s="97">
        <f>ROUND((7*B$21)-((7*B$7)-B$8),2)</f>
        <v>5359.5</v>
      </c>
      <c r="C29" s="98">
        <f>ROUND((7*C$21)-((7*C$7)-C$8),2)</f>
        <v>19002.5</v>
      </c>
      <c r="D29" s="98">
        <f>ROUND((7*D$21)-((7*D$7)-D$8),2)</f>
        <v>5361.07</v>
      </c>
      <c r="E29" s="98">
        <f>ROUND((7*E$21)-((7*E$7)-E$8),2)</f>
        <v>18940.73</v>
      </c>
      <c r="F29" s="99"/>
      <c r="G29" s="12"/>
      <c r="H29" s="17"/>
      <c r="K29" s="82" t="s">
        <v>82</v>
      </c>
      <c r="L29" s="18">
        <f>(11*$B$21)-((11*$B$7)-$B$8)</f>
        <v>5080.5</v>
      </c>
      <c r="M29" s="18">
        <f>(11*$C$21)-((11*$C$7)-$C$8)</f>
        <v>17819.5</v>
      </c>
      <c r="N29" s="18">
        <f>(11*$D$21)-((11*$D$7)-$D$8)</f>
        <v>5092.5899999999965</v>
      </c>
      <c r="P29" s="12"/>
      <c r="Q29" s="12"/>
      <c r="T29" s="55"/>
    </row>
    <row r="30" spans="1:20" ht="18" customHeight="1" x14ac:dyDescent="0.35">
      <c r="A30" s="111" t="s">
        <v>83</v>
      </c>
      <c r="B30" s="102">
        <f>ROUND((8*B$21)-((8*B$7)-B$8),2)</f>
        <v>5289.75</v>
      </c>
      <c r="C30" s="103">
        <f>ROUND((8*C$21)-((8*C$7)-C$8),2)</f>
        <v>18706.75</v>
      </c>
      <c r="D30" s="103">
        <f>ROUND((8*D$21)-((8*D$7)-D$8),2)</f>
        <v>5293.95</v>
      </c>
      <c r="E30" s="103">
        <f>ROUND((8*E$21)-((8*E$7)-E$8),2)</f>
        <v>18646.25</v>
      </c>
      <c r="G30" s="17"/>
      <c r="H30" s="12"/>
      <c r="I30" s="1"/>
      <c r="K30" s="82" t="s">
        <v>84</v>
      </c>
      <c r="L30" s="18">
        <f>(12*$B$21)-((12*$B$7)-$B$8)</f>
        <v>5010.75</v>
      </c>
      <c r="M30" s="18">
        <f>(12*$C$21)-((12*$C$7)-$C$8)</f>
        <v>17523.75</v>
      </c>
      <c r="N30" s="18">
        <f>(12*$D$21)-((12*$D$7)-$D$8)</f>
        <v>5025.4700000000012</v>
      </c>
      <c r="P30" s="12"/>
      <c r="Q30" s="12"/>
      <c r="T30" s="55"/>
    </row>
    <row r="31" spans="1:20" ht="18" customHeight="1" x14ac:dyDescent="0.35">
      <c r="A31" s="111" t="s">
        <v>85</v>
      </c>
      <c r="B31" s="102">
        <f>ROUND((9*B$21)-((9*B$7)-B$8),2)</f>
        <v>5220</v>
      </c>
      <c r="C31" s="103">
        <f>ROUND((9*C$21)-((9*C$7)-C$8),2)</f>
        <v>18411</v>
      </c>
      <c r="D31" s="103">
        <f>ROUND((9*D$21)-((9*D$7)-D$8),2)</f>
        <v>5226.83</v>
      </c>
      <c r="E31" s="103">
        <f>ROUND((9*E$21)-((9*E$7)-E$8),2)</f>
        <v>18351.77</v>
      </c>
      <c r="G31" s="12"/>
      <c r="H31" s="12"/>
      <c r="I31" s="48"/>
      <c r="K31" s="82" t="s">
        <v>86</v>
      </c>
      <c r="L31" s="18">
        <f>(13*$B$21)-((13*$B$7)-$B$8)</f>
        <v>4941</v>
      </c>
      <c r="M31" s="18">
        <f>(13*$C$21)-((13*$C$7)-$C$8)</f>
        <v>17228</v>
      </c>
      <c r="N31" s="18">
        <f>(13*$D$21)-((13*$D$7)-$D$8)</f>
        <v>4958.3500000000058</v>
      </c>
      <c r="P31" s="12"/>
      <c r="Q31" s="12"/>
      <c r="T31" s="55"/>
    </row>
    <row r="32" spans="1:20" ht="18" customHeight="1" x14ac:dyDescent="0.35">
      <c r="A32" s="111"/>
      <c r="G32" s="12"/>
      <c r="H32" s="17"/>
      <c r="K32" s="82" t="s">
        <v>87</v>
      </c>
      <c r="L32" s="18">
        <f>(14*$B$21)-((14*$B$7)-$B$8)</f>
        <v>4871.25</v>
      </c>
      <c r="M32" s="18">
        <f>(14*$C$21)-((14*$C$7)-$C$8)</f>
        <v>16932.25</v>
      </c>
      <c r="N32" s="18">
        <f>(14*$D$21)-((14*$D$7)-$D$8)</f>
        <v>4891.2300000000105</v>
      </c>
      <c r="Q32" s="12"/>
      <c r="T32" s="55"/>
    </row>
    <row r="33" spans="3:17" ht="18" customHeight="1" x14ac:dyDescent="0.35">
      <c r="G33" s="17"/>
      <c r="H33" s="12"/>
      <c r="I33" s="48"/>
      <c r="K33" s="104" t="s">
        <v>88</v>
      </c>
      <c r="L33" s="1">
        <f>(19*$B$21)-((19*$B$7)-$B$8)</f>
        <v>4522.5</v>
      </c>
      <c r="M33" s="1">
        <f>(19*$C$21)-((19*$C$7)-$C$8)</f>
        <v>15453.5</v>
      </c>
      <c r="N33" s="18">
        <f>(19*$D$21)-((19*$D$7)-$D$8)</f>
        <v>4555.6300000000047</v>
      </c>
      <c r="Q33" s="12"/>
    </row>
    <row r="34" spans="3:17" ht="17.5" customHeight="1" x14ac:dyDescent="0.35">
      <c r="G34" s="12"/>
      <c r="Q34" s="12"/>
    </row>
    <row r="35" spans="3:17" ht="15.65" customHeight="1" x14ac:dyDescent="0.35">
      <c r="G35" s="12"/>
      <c r="Q35" s="12"/>
    </row>
    <row r="36" spans="3:17" ht="15.65" customHeight="1" x14ac:dyDescent="0.35">
      <c r="G36" s="105"/>
      <c r="L36" s="78" t="s">
        <v>65</v>
      </c>
      <c r="M36" s="78" t="s">
        <v>66</v>
      </c>
      <c r="N36" s="18" t="s">
        <v>12</v>
      </c>
      <c r="Q36" s="12"/>
    </row>
    <row r="37" spans="3:17" x14ac:dyDescent="0.35">
      <c r="C37" s="18">
        <v>0</v>
      </c>
      <c r="G37" s="105"/>
      <c r="K37" s="18" t="s">
        <v>89</v>
      </c>
      <c r="L37" s="1">
        <f>(99*$B$21)+(($B$7-(99*$B$8)))</f>
        <v>9792.5</v>
      </c>
      <c r="M37" s="1">
        <f>(99*C$21)+((C$7-(99*C$8)))</f>
        <v>40368.5</v>
      </c>
      <c r="N37" s="1">
        <f>(99*$B$21)+(($B$7-(99*$B$8)))</f>
        <v>9792.5</v>
      </c>
    </row>
    <row r="39" spans="3:17" x14ac:dyDescent="0.35">
      <c r="G39" s="105"/>
      <c r="L39" s="78" t="s">
        <v>65</v>
      </c>
      <c r="M39" s="78" t="s">
        <v>66</v>
      </c>
      <c r="N39" s="18" t="s">
        <v>12</v>
      </c>
    </row>
    <row r="40" spans="3:17" x14ac:dyDescent="0.35">
      <c r="K40" s="104" t="s">
        <v>90</v>
      </c>
      <c r="L40" s="1">
        <f>(22*$B$21)-((22*$B$7)-$B$8)</f>
        <v>4313.25</v>
      </c>
      <c r="M40" s="1">
        <f>(22*$C$21)-((22*$C$7)-$C$8)</f>
        <v>14566.25</v>
      </c>
      <c r="N40" s="18">
        <f>(22*$D$21)-((22*$D$7)-$D$8)</f>
        <v>4354.2700000000041</v>
      </c>
    </row>
  </sheetData>
  <conditionalFormatting sqref="D6:D9">
    <cfRule type="cellIs" dxfId="9" priority="3" operator="lessThan">
      <formula>$H$14</formula>
    </cfRule>
    <cfRule type="cellIs" dxfId="8" priority="4" operator="greaterThan">
      <formula>$H$13</formula>
    </cfRule>
    <cfRule type="cellIs" dxfId="7" priority="5" operator="lessThan">
      <formula>$H$14</formula>
    </cfRule>
    <cfRule type="cellIs" dxfId="6" priority="6" operator="greaterThan">
      <formula>$H$13</formula>
    </cfRule>
  </conditionalFormatting>
  <conditionalFormatting sqref="E6:E9">
    <cfRule type="cellIs" dxfId="5" priority="1" operator="lessThan">
      <formula>$I$14</formula>
    </cfRule>
    <cfRule type="cellIs" dxfId="4" priority="2" operator="greaterThan">
      <formula>$I$13</formula>
    </cfRule>
    <cfRule type="cellIs" dxfId="3" priority="11" operator="lessThan">
      <formula>$I$14</formula>
    </cfRule>
    <cfRule type="cellIs" dxfId="2" priority="12" operator="greaterThan">
      <formula>$I$13</formula>
    </cfRule>
  </conditionalFormatting>
  <conditionalFormatting sqref="I23:I24">
    <cfRule type="cellIs" dxfId="1" priority="9" operator="lessThan">
      <formula>$H$23</formula>
    </cfRule>
    <cfRule type="cellIs" dxfId="0" priority="10" operator="greaterThan">
      <formula>$H$23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2025-05-22T10:38:28Z</dcterms:modified>
  <cp:category/>
  <cp:contentStatus/>
</cp:coreProperties>
</file>