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<sst xmlns="http://schemas.openxmlformats.org/spreadsheetml/2006/main" count="116" uniqueCount="91">
  <si>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</si>
  <si>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</si>
  <si>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</si>
  <si>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</si>
  <si>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</si>
  <si>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</si>
  <si>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</si>
  <si>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</si>
  <si>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</si>
  <si>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</si>
  <si>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</si>
  <si>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</si>
  <si>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</si>
  <si>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</si>
  <si>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</si>
  <si>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</si>
  <si>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</si>
  <si>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</si>
  <si>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</si>
  <si>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</si>
  <si>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</si>
  <si>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</si>
  <si>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</si>
  <si>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VPOC's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</si>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</sst>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  <xf numFmtId="2" fontId="6" fillId="9" borderId="2" xfId="0" applyNumberFormat="1" applyFont="1" applyFill="1" applyBorder="1" applyAlignment="1" applyProtection="1">
      <alignment horizontal="center"/>
      <protection locked="0"/>
    </xf>
    <xf numFmtId="2" fontId="6" fillId="0" borderId="0" xfId="0" applyNumberFormat="1" applyFont="1" applyAlignment="1">
      <alignment horizontal="center"/>
    </xf>
    <xf numFmtId="2" fontId="6" fillId="10" borderId="2" xfId="1" applyNumberFormat="1" applyFont="1" applyFill="1" applyBorder="1" applyAlignment="1">
      <alignment horizontal="center"/>
    </xf>
    <xf numFmtId="2" fontId="28" fillId="2" borderId="2" xfId="1" applyNumberFormat="1" applyFont="1" applyBorder="1" applyAlignment="1">
      <alignment horizontal="center"/>
    </xf>
    <xf numFmtId="2" fontId="8" fillId="5" borderId="2" xfId="4" applyNumberFormat="1" applyFont="1" applyBorder="1" applyAlignment="1">
      <alignment horizontal="center"/>
    </xf>
    <xf numFmtId="2" fontId="29" fillId="3" borderId="11" xfId="2" applyNumberFormat="1" applyFont="1" applyBorder="1" applyAlignment="1">
      <alignment horizontal="center"/>
    </xf>
    <xf numFmtId="2" fontId="6" fillId="7" borderId="11" xfId="0" applyNumberFormat="1" applyFont="1" applyFill="1" applyBorder="1" applyAlignment="1">
      <alignment horizontal="center"/>
    </xf>
    <xf numFmtId="2" fontId="16" fillId="7" borderId="11" xfId="3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29" fillId="3" borderId="2" xfId="2" applyNumberFormat="1" applyFont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16" fillId="7" borderId="2" xfId="3" applyNumberFormat="1" applyFont="1" applyFill="1" applyBorder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4.26953125" customWidth="1"/>
    <col min="3" max="3" width="12" customWidth="1"/>
    <col min="4" max="4" width="10.81640625" customWidth="1"/>
    <col min="5" max="5" width="12.1796875" customWidth="1"/>
    <col min="6" max="6" width="3.453125" style="40" customWidth="1"/>
    <col min="7" max="7" width="12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4" customWidth="1"/>
    <col min="19" max="19" width="8.7265625" customWidth="1"/>
  </cols>
  <sheetData>
    <row r="1" spans="1:21" ht="26.15" customHeight="1" x14ac:dyDescent="0.6">
      <c r="A1" s="66" t="s">
        <v>0</v>
      </c>
      <c r="E1" s="85">
        <f ca="1">TODAY()</f>
        <v>45952</v>
      </c>
      <c r="G1" s="8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69">
        <v>45951</v>
      </c>
      <c r="C2" s="31" t="s">
        <v>4</v>
      </c>
      <c r="D2" s="23" t="s">
        <v>5</v>
      </c>
      <c r="E2" s="23"/>
      <c r="F2" s="41"/>
      <c r="H2" s="30" t="s">
        <v>6</v>
      </c>
      <c r="K2" s="3" t="s">
        <v>7</v>
      </c>
      <c r="P2" s="38"/>
      <c r="Q2" s="108" t="s">
        <v>8</v>
      </c>
      <c r="R2" s="27">
        <v>33</v>
      </c>
    </row>
    <row r="3" spans="1:21" ht="18" customHeight="1" x14ac:dyDescent="0.35">
      <c r="A3" s="30" t="s">
        <v>9</v>
      </c>
      <c r="B3" s="36" t="s">
        <v>10</v>
      </c>
      <c r="C3" s="37" t="s">
        <v>11</v>
      </c>
      <c r="D3" s="25" t="s">
        <v>12</v>
      </c>
      <c r="E3" s="25" t="s">
        <v>13</v>
      </c>
      <c r="F3" s="42"/>
      <c r="G3" s="72"/>
      <c r="H3" s="68">
        <f>+B2</f>
        <v>45951</v>
      </c>
      <c r="J3" s="34"/>
      <c r="K3" s="6" t="s">
        <v>14</v>
      </c>
      <c r="L3" s="7"/>
      <c r="M3" s="7"/>
      <c r="N3" s="22" t="s">
        <v>15</v>
      </c>
      <c r="P3" s="38"/>
    </row>
    <row r="4" spans="1:21" ht="18" customHeight="1" x14ac:dyDescent="0.35">
      <c r="A4" s="30" t="s">
        <v>16</v>
      </c>
      <c r="B4" s="112">
        <v>6774.25</v>
      </c>
      <c r="C4" s="120">
        <v>25301</v>
      </c>
      <c r="D4" s="121">
        <v>6736.75</v>
      </c>
      <c r="E4" s="121">
        <v>25139.8</v>
      </c>
      <c r="F4" s="43"/>
      <c r="H4" s="34" t="s">
        <v>17</v>
      </c>
      <c r="I4" s="34" t="s">
        <v>18</v>
      </c>
      <c r="K4" s="3" t="s">
        <v>19</v>
      </c>
    </row>
    <row r="5" spans="1:21" ht="18" customHeight="1" x14ac:dyDescent="0.55000000000000004">
      <c r="A5" s="30" t="s">
        <v>20</v>
      </c>
      <c r="B5" s="112">
        <v>6789.75</v>
      </c>
      <c r="C5" s="120">
        <v>25348.5</v>
      </c>
      <c r="D5" s="121">
        <v>6752.16</v>
      </c>
      <c r="E5" s="121">
        <v>25178.23</v>
      </c>
      <c r="F5" s="43"/>
      <c r="G5" s="30" t="s">
        <v>21</v>
      </c>
      <c r="H5" s="102">
        <v>6785</v>
      </c>
      <c r="I5" s="102">
        <v>25326</v>
      </c>
      <c r="J5" s="29"/>
      <c r="K5" s="3" t="s">
        <v>22</v>
      </c>
      <c r="O5" s="71"/>
      <c r="P5" s="70"/>
      <c r="Q5" s="109" t="s">
        <v>23</v>
      </c>
    </row>
    <row r="6" spans="1:21" ht="18" customHeight="1" x14ac:dyDescent="0.45">
      <c r="A6" s="30" t="s">
        <v>24</v>
      </c>
      <c r="B6" s="112">
        <v>6759.25</v>
      </c>
      <c r="C6" s="120">
        <v>25203.25</v>
      </c>
      <c r="D6" s="121">
        <v>6722.03</v>
      </c>
      <c r="E6" s="121">
        <v>25043.06</v>
      </c>
      <c r="F6" s="43"/>
      <c r="G6" s="30" t="s">
        <v>25</v>
      </c>
      <c r="H6" s="103">
        <v>6780</v>
      </c>
      <c r="I6" s="103">
        <v>25290</v>
      </c>
      <c r="J6" s="29"/>
      <c r="K6" s="3" t="s">
        <v>26</v>
      </c>
      <c r="P6" s="70"/>
      <c r="Q6" s="100">
        <v>6707</v>
      </c>
      <c r="S6" s="86"/>
    </row>
    <row r="7" spans="1:21" ht="18" customHeight="1" x14ac:dyDescent="0.45">
      <c r="A7" s="31" t="s">
        <v>27</v>
      </c>
      <c r="B7" s="112">
        <v>6773.25</v>
      </c>
      <c r="C7" s="120">
        <v>25294.75</v>
      </c>
      <c r="D7" s="121">
        <v>6735.35</v>
      </c>
      <c r="E7" s="121">
        <v>25127.13</v>
      </c>
      <c r="F7" s="43"/>
      <c r="G7" s="30" t="s">
        <v>28</v>
      </c>
      <c r="H7" s="103">
        <v>6771.5</v>
      </c>
      <c r="I7" s="104">
        <v>25252</v>
      </c>
      <c r="J7" s="29"/>
      <c r="K7" s="3" t="s">
        <v>29</v>
      </c>
      <c r="P7" s="70"/>
      <c r="Q7" s="100">
        <v>6562.25</v>
      </c>
    </row>
    <row r="8" spans="1:21" ht="18" customHeight="1" x14ac:dyDescent="0.35">
      <c r="A8" s="32"/>
      <c r="B8" s="113"/>
      <c r="C8" s="27" t="s">
        <v>30</v>
      </c>
      <c r="D8" s="113" t="s">
        <v>31</v>
      </c>
      <c r="E8" s="113"/>
      <c r="G8" s="30" t="s">
        <v>32</v>
      </c>
      <c r="H8" s="105">
        <f>+B19</f>
        <v>6774</v>
      </c>
      <c r="I8" s="105">
        <f>+C19</f>
        <v>25282.25</v>
      </c>
      <c r="J8" s="29"/>
      <c r="K8" s="3" t="s">
        <v>33</v>
      </c>
      <c r="P8" s="97"/>
      <c r="Q8" s="100">
        <v>6529</v>
      </c>
    </row>
    <row r="9" spans="1:21" ht="18" customHeight="1" x14ac:dyDescent="0.35">
      <c r="A9" s="30" t="s">
        <v>34</v>
      </c>
      <c r="B9" s="114">
        <f>(9*B$19)+(B$5-(9*B$6))</f>
        <v>6922.5</v>
      </c>
      <c r="C9" s="114">
        <f>(9*C$19)+(C$5-(9*C$6))</f>
        <v>26059.5</v>
      </c>
      <c r="D9" s="114">
        <f>(9*D$19)+(D$5-(9*D$6))</f>
        <v>6882.3899999999994</v>
      </c>
      <c r="E9" s="114">
        <f>(9*E$19)+(E$5-(9*E$6))</f>
        <v>25836.940000000002</v>
      </c>
      <c r="F9" s="45"/>
      <c r="G9" s="63" t="s">
        <v>35</v>
      </c>
      <c r="H9" s="59" t="s">
        <v>36</v>
      </c>
      <c r="K9" s="3" t="s">
        <v>37</v>
      </c>
      <c r="P9" s="97"/>
      <c r="Q9" s="100">
        <v>6502.5</v>
      </c>
    </row>
    <row r="10" spans="1:21" ht="18" customHeight="1" x14ac:dyDescent="0.35">
      <c r="A10" s="30" t="s">
        <v>38</v>
      </c>
      <c r="B10" s="114">
        <f>(8*B$19)+(B$5-(8*B$6))</f>
        <v>6907.75</v>
      </c>
      <c r="C10" s="114">
        <f>(8*C$19)+(C$5-(8*C$6))</f>
        <v>25980.5</v>
      </c>
      <c r="D10" s="114">
        <f>(8*D$19)+(D$5-(8*D$6))</f>
        <v>6867.9199999999983</v>
      </c>
      <c r="E10" s="114">
        <f>(8*E$19)+(E$5-(8*E$6))</f>
        <v>25763.75</v>
      </c>
      <c r="F10" s="45"/>
      <c r="G10" s="55" t="s">
        <v>39</v>
      </c>
      <c r="H10" s="49" t="s">
        <v>12</v>
      </c>
      <c r="I10" s="50" t="s">
        <v>13</v>
      </c>
      <c r="K10" s="3" t="s">
        <v>40</v>
      </c>
      <c r="P10" s="67"/>
      <c r="Q10" s="100">
        <v>6450</v>
      </c>
    </row>
    <row r="11" spans="1:21" ht="18" customHeight="1" x14ac:dyDescent="0.35">
      <c r="A11" s="30" t="s">
        <v>41</v>
      </c>
      <c r="B11" s="114">
        <f>(7*B$19)+(B$5-(7*B$6))</f>
        <v>6893</v>
      </c>
      <c r="C11" s="114">
        <f>(7*C$19)+(C$5-(7*C$6))</f>
        <v>25901.5</v>
      </c>
      <c r="D11" s="114">
        <f>(7*D$19)+(D$5-(7*D$6))</f>
        <v>6853.4499999999971</v>
      </c>
      <c r="E11" s="114">
        <f>(7*E$19)+(E$5-(7*E$6))</f>
        <v>25690.559999999998</v>
      </c>
      <c r="F11" s="45"/>
      <c r="G11" s="61" t="s">
        <v>42</v>
      </c>
      <c r="H11" s="57">
        <v>5955</v>
      </c>
      <c r="I11" s="58">
        <v>21250</v>
      </c>
      <c r="P11" s="97"/>
      <c r="Q11" s="101">
        <v>6396.5</v>
      </c>
      <c r="U11" s="64"/>
    </row>
    <row r="12" spans="1:21" ht="18" customHeight="1" x14ac:dyDescent="0.35">
      <c r="A12" s="30" t="s">
        <v>43</v>
      </c>
      <c r="B12" s="114">
        <f>(6*B$19)+(B$5-(6*B$6))</f>
        <v>6878.25</v>
      </c>
      <c r="C12" s="114">
        <f>(6*C$19)+(C$5-(6*C$6))</f>
        <v>25822.5</v>
      </c>
      <c r="D12" s="114">
        <f>(6*D$19)+(D$5-(6*D$6))</f>
        <v>6838.9799999999959</v>
      </c>
      <c r="E12" s="114">
        <f>(6*E$19)+(E$5-(6*E$6))</f>
        <v>25617.369999999981</v>
      </c>
      <c r="F12" s="45"/>
      <c r="G12" s="62" t="s">
        <v>44</v>
      </c>
      <c r="H12" s="65">
        <v>5700</v>
      </c>
      <c r="I12" s="58">
        <v>20400</v>
      </c>
      <c r="K12" s="8" t="s">
        <v>45</v>
      </c>
      <c r="L12" s="9" t="s">
        <v>46</v>
      </c>
      <c r="M12" s="10"/>
      <c r="N12" s="11"/>
      <c r="P12" s="67"/>
      <c r="Q12" s="101">
        <v>6373.25</v>
      </c>
      <c r="R12" s="99"/>
      <c r="U12" s="64"/>
    </row>
    <row r="13" spans="1:21" ht="18" customHeight="1" x14ac:dyDescent="0.35">
      <c r="A13" s="30" t="s">
        <v>47</v>
      </c>
      <c r="B13" s="115">
        <f>(5*B$19)+(B$5-(5*B$6))</f>
        <v>6863.5</v>
      </c>
      <c r="C13" s="115">
        <f>(5*C$19)+(C$5-(5*C$6))</f>
        <v>25743.5</v>
      </c>
      <c r="D13" s="115">
        <f>(5*D$19)+(D$5-(5*D$6))</f>
        <v>6824.5099999999984</v>
      </c>
      <c r="E13" s="115">
        <f>(5*E$19)+(E$5-(5*E$6))</f>
        <v>25544.179999999993</v>
      </c>
      <c r="F13" s="45"/>
      <c r="K13" s="12" t="s">
        <v>48</v>
      </c>
      <c r="L13" s="13" t="s">
        <v>49</v>
      </c>
      <c r="N13" s="14"/>
      <c r="P13" s="67"/>
      <c r="Q13" s="100">
        <v>6310</v>
      </c>
      <c r="R13" s="98"/>
    </row>
    <row r="14" spans="1:21" ht="18" customHeight="1" x14ac:dyDescent="0.35">
      <c r="A14" s="30" t="s">
        <v>48</v>
      </c>
      <c r="B14" s="115">
        <f>(4*B$19)+(B$5-(4*B$6))</f>
        <v>6848.75</v>
      </c>
      <c r="C14" s="115">
        <f>(4*C$19)+(C$5-(4*C$6))</f>
        <v>25664.5</v>
      </c>
      <c r="D14" s="115">
        <f>(4*D$19)+(D$5-(4*D$6))</f>
        <v>6810.0400000000009</v>
      </c>
      <c r="E14" s="115">
        <f>(4*E$19)+(E$5-(4*E$6))</f>
        <v>25470.989999999991</v>
      </c>
      <c r="F14" s="45"/>
      <c r="K14" s="12" t="s">
        <v>47</v>
      </c>
      <c r="L14" s="13" t="s">
        <v>50</v>
      </c>
      <c r="N14" s="14"/>
      <c r="P14" s="97"/>
      <c r="R14" s="24"/>
      <c r="T14" s="64"/>
    </row>
    <row r="15" spans="1:21" ht="18" customHeight="1" x14ac:dyDescent="0.35">
      <c r="A15" s="30" t="s">
        <v>45</v>
      </c>
      <c r="B15" s="115">
        <f>(3*B$19)+(B$5-(3*B$6))</f>
        <v>6834</v>
      </c>
      <c r="C15" s="115">
        <f>(3*C$19)+(C$5-(3*C$6))</f>
        <v>25585.5</v>
      </c>
      <c r="D15" s="115">
        <f>(3*D$19)+(D$5-(3*D$6))</f>
        <v>6795.57</v>
      </c>
      <c r="E15" s="115">
        <f>(3*E$19)+(E$5-(3*E$6))</f>
        <v>25397.799999999988</v>
      </c>
      <c r="F15" s="45"/>
      <c r="G15" s="2"/>
      <c r="I15" s="24"/>
      <c r="K15" s="15" t="s">
        <v>51</v>
      </c>
      <c r="L15" s="13" t="s">
        <v>52</v>
      </c>
      <c r="N15" s="14"/>
      <c r="P15" s="67"/>
      <c r="R15" s="24"/>
      <c r="T15" s="64"/>
    </row>
    <row r="16" spans="1:21" ht="18" customHeight="1" x14ac:dyDescent="0.35">
      <c r="A16" s="30" t="s">
        <v>53</v>
      </c>
      <c r="B16" s="115">
        <f>B$5+2*(B$19-B$6)</f>
        <v>6819.25</v>
      </c>
      <c r="C16" s="115">
        <f>C$5+2*(C$19-C$6)</f>
        <v>25506.5</v>
      </c>
      <c r="D16" s="115">
        <f>D$5+2*(D$19-D$6)</f>
        <v>6781.1</v>
      </c>
      <c r="E16" s="115">
        <f>E$5+2*(E$19-E$6)</f>
        <v>25324.609999999997</v>
      </c>
      <c r="F16" s="45"/>
      <c r="G16" s="7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67"/>
      <c r="Q16" s="107"/>
      <c r="R16" s="24"/>
    </row>
    <row r="17" spans="1:20" ht="18" customHeight="1" x14ac:dyDescent="0.35">
      <c r="A17" s="30" t="s">
        <v>58</v>
      </c>
      <c r="B17" s="115">
        <f>B$19+(B$18-B$20)</f>
        <v>6804.5</v>
      </c>
      <c r="C17" s="115">
        <f>C$19+(C$18-C$20)</f>
        <v>25427.5</v>
      </c>
      <c r="D17" s="115">
        <f>D$19+(D$18-D$20)</f>
        <v>6766.63</v>
      </c>
      <c r="E17" s="115">
        <f>E$19+(E$18-E$20)</f>
        <v>25251.42</v>
      </c>
      <c r="F17" s="46"/>
      <c r="G17" s="80">
        <f>+B7-D7</f>
        <v>37.899999999999636</v>
      </c>
      <c r="H17" s="81">
        <f>+C7-E7</f>
        <v>167.61999999999898</v>
      </c>
      <c r="I17" s="88" t="s">
        <v>59</v>
      </c>
      <c r="J17" s="29"/>
      <c r="K17" s="16" t="s">
        <v>60</v>
      </c>
      <c r="L17" s="17" t="s">
        <v>61</v>
      </c>
      <c r="M17" s="18"/>
      <c r="N17" s="19"/>
      <c r="O17" s="5"/>
      <c r="P17" s="67"/>
      <c r="Q17" s="107"/>
      <c r="R17" s="24"/>
      <c r="S17" s="64"/>
    </row>
    <row r="18" spans="1:20" ht="18" customHeight="1" x14ac:dyDescent="0.45">
      <c r="A18" s="30" t="s">
        <v>62</v>
      </c>
      <c r="B18" s="115">
        <f>(2*B$19)-B$6</f>
        <v>6788.75</v>
      </c>
      <c r="C18" s="115">
        <f>(2*C$19)-C$6</f>
        <v>25361.25</v>
      </c>
      <c r="D18" s="115">
        <f>(2*D$19)-D$6</f>
        <v>6750.97</v>
      </c>
      <c r="E18" s="115">
        <f>(2*E$19)-E$6</f>
        <v>25189.439999999999</v>
      </c>
      <c r="F18" s="47"/>
      <c r="G18" s="75" t="s">
        <v>63</v>
      </c>
      <c r="H18" s="56" t="s">
        <v>64</v>
      </c>
      <c r="I18" s="11"/>
      <c r="J18" s="35"/>
      <c r="L18" s="27" t="s">
        <v>65</v>
      </c>
      <c r="M18" s="27" t="s">
        <v>66</v>
      </c>
      <c r="N18" t="s">
        <v>12</v>
      </c>
      <c r="P18" s="67"/>
      <c r="Q18" s="106"/>
      <c r="R18" s="24"/>
      <c r="S18" s="64"/>
    </row>
    <row r="19" spans="1:20" ht="18" customHeight="1" x14ac:dyDescent="0.35">
      <c r="A19" s="30" t="s">
        <v>32</v>
      </c>
      <c r="B19" s="116">
        <f>ROUND((((B$5+B$6+B$7)/3)/0.25),0)*0.25</f>
        <v>6774</v>
      </c>
      <c r="C19" s="116">
        <f>ROUND((((C$5+C$6+C$7)/3)/0.25),0)*0.25</f>
        <v>25282.25</v>
      </c>
      <c r="D19" s="116">
        <f>ROUND((((D$5+D$6+D$7)/3)/0.25),0)*0.25</f>
        <v>6736.5</v>
      </c>
      <c r="E19" s="116">
        <f>ROUND((((E$5+E$6+E$7)/3)/0.25),0)*0.25</f>
        <v>25116.25</v>
      </c>
      <c r="F19" s="47"/>
      <c r="G19" s="87">
        <v>18.25</v>
      </c>
      <c r="H19" s="77" t="s">
        <v>67</v>
      </c>
      <c r="I19" s="96">
        <f>(+G19/15.93738)/100</f>
        <v>1.145106661195253E-2</v>
      </c>
      <c r="J19" s="35"/>
      <c r="K19" s="21" t="s">
        <v>68</v>
      </c>
      <c r="L19">
        <f>(13*$B$19)+(($B$5-(13*$B$6)))</f>
        <v>6981.5</v>
      </c>
      <c r="M19">
        <f>(13*$C$19)+(($C$5-(13*$C$6)))</f>
        <v>26375.5</v>
      </c>
      <c r="N19">
        <f>(13*$B$19)+(($B$5-(13*$B$6)))</f>
        <v>6981.5</v>
      </c>
      <c r="P19" s="67"/>
      <c r="Q19" s="107"/>
      <c r="R19" s="24"/>
    </row>
    <row r="20" spans="1:20" ht="18" customHeight="1" x14ac:dyDescent="0.35">
      <c r="A20" s="30" t="s">
        <v>69</v>
      </c>
      <c r="B20" s="117">
        <f>(2*B$19)-B$5</f>
        <v>6758.25</v>
      </c>
      <c r="C20" s="122">
        <f>(2*C$19)-C$5</f>
        <v>25216</v>
      </c>
      <c r="D20" s="122">
        <f>(2*D$19)-D$5</f>
        <v>6720.84</v>
      </c>
      <c r="E20" s="122">
        <f>(2*E$19)-E$5</f>
        <v>25054.27</v>
      </c>
      <c r="F20" s="47"/>
      <c r="G20" s="76"/>
      <c r="H20" s="78" t="s">
        <v>70</v>
      </c>
      <c r="I20" s="79" t="s">
        <v>71</v>
      </c>
      <c r="K20" s="21" t="s">
        <v>72</v>
      </c>
      <c r="L20">
        <f>(12*B$19)+((B$5-(12*B$6)))</f>
        <v>6966.75</v>
      </c>
      <c r="M20">
        <f>(12*C$19)+((C$5-(12*C$6)))</f>
        <v>26296.5</v>
      </c>
      <c r="N20">
        <f>(12*D$19)+((D$5-(12*D$6)))</f>
        <v>6925.8000000000029</v>
      </c>
      <c r="P20" s="67"/>
      <c r="Q20" s="110"/>
      <c r="R20" s="24"/>
      <c r="S20" s="64"/>
    </row>
    <row r="21" spans="1:20" ht="18" customHeight="1" x14ac:dyDescent="0.35">
      <c r="A21" s="30" t="s">
        <v>73</v>
      </c>
      <c r="B21" s="117">
        <f>B$19-(B$18-B$20)</f>
        <v>6743.5</v>
      </c>
      <c r="C21" s="122">
        <f>C$19-(C$18-C$20)</f>
        <v>25137</v>
      </c>
      <c r="D21" s="122">
        <f>D$19-(D$18-D$20)</f>
        <v>6706.37</v>
      </c>
      <c r="E21" s="122">
        <f>E$19-(E$18-E$20)</f>
        <v>24981.08</v>
      </c>
      <c r="F21" s="47"/>
      <c r="G21" s="51" t="s">
        <v>65</v>
      </c>
      <c r="H21" s="82">
        <f>+B5-B6</f>
        <v>30.5</v>
      </c>
      <c r="I21" s="52">
        <f>+(H21*I19*100)/2</f>
        <v>17.462876583227608</v>
      </c>
      <c r="K21" s="21" t="s">
        <v>74</v>
      </c>
      <c r="L21">
        <f>(11*B$19)+((B$5-(11*B$6)))</f>
        <v>6952</v>
      </c>
      <c r="M21">
        <f>(11*C$19)+((C$5-(11*C$6)))</f>
        <v>26217.5</v>
      </c>
      <c r="N21">
        <f>(11*D$19)+((D$5-(11*D$6)))</f>
        <v>6911.3300000000017</v>
      </c>
      <c r="P21" s="67"/>
      <c r="Q21" s="110"/>
      <c r="T21" s="64"/>
    </row>
    <row r="22" spans="1:20" ht="18" customHeight="1" x14ac:dyDescent="0.35">
      <c r="A22" s="30" t="s">
        <v>75</v>
      </c>
      <c r="B22" s="117">
        <f>B$6-2*(B$5-B$19)</f>
        <v>6727.75</v>
      </c>
      <c r="C22" s="122">
        <f>C$6-2*(C$5-C$19)</f>
        <v>25070.75</v>
      </c>
      <c r="D22" s="122">
        <f>D$6-2*(D$5-D$19)</f>
        <v>6690.71</v>
      </c>
      <c r="E22" s="122">
        <f>E$6-2*(E$5-E$19)</f>
        <v>24919.100000000002</v>
      </c>
      <c r="F22" s="47"/>
      <c r="G22" s="53" t="s">
        <v>66</v>
      </c>
      <c r="H22" s="83">
        <f>+C5-C6</f>
        <v>145.25</v>
      </c>
      <c r="I22" s="54">
        <f>(+H22*I19*100)/2</f>
        <v>83.163371269305244</v>
      </c>
      <c r="J22" s="4"/>
      <c r="K22" s="21" t="s">
        <v>76</v>
      </c>
      <c r="L22">
        <f>(10*B$19)+((B$5-(10*B$6)))</f>
        <v>6937.25</v>
      </c>
      <c r="M22">
        <f>(10*C$19)+((C$5-(10*C$6)))</f>
        <v>26138.5</v>
      </c>
      <c r="N22">
        <f>(10*D$19)+((D$5-(10*D$6)))</f>
        <v>6896.8600000000006</v>
      </c>
      <c r="P22" s="67"/>
      <c r="Q22" s="110"/>
      <c r="T22" s="64"/>
    </row>
    <row r="23" spans="1:20" ht="18" customHeight="1" x14ac:dyDescent="0.35">
      <c r="A23" s="30" t="s">
        <v>60</v>
      </c>
      <c r="B23" s="117">
        <f>(3*B$19)-((3*B$5)-B$6)</f>
        <v>6712</v>
      </c>
      <c r="C23" s="122">
        <f>(3*C$19)-((3*C$5)-C$6)</f>
        <v>25004.5</v>
      </c>
      <c r="D23" s="122">
        <f>(3*D$19)-((3*D$5)-D$6)</f>
        <v>6675.0499999999993</v>
      </c>
      <c r="E23" s="122">
        <f>(3*E$19)-((3*E$5)-E$6)</f>
        <v>24857.119999999995</v>
      </c>
      <c r="F23" s="47"/>
      <c r="G23" s="60"/>
      <c r="K23" s="21" t="s">
        <v>34</v>
      </c>
      <c r="L23">
        <f>(9*B$19)+((B$5-(9*B$6)))</f>
        <v>6922.5</v>
      </c>
      <c r="M23">
        <f>(9*C$19)+((C$5-(9*C$6)))</f>
        <v>26059.5</v>
      </c>
      <c r="N23">
        <f>(9*D$19)+((D$5-(9*D$6)))</f>
        <v>6882.3899999999994</v>
      </c>
      <c r="P23" s="67"/>
      <c r="Q23" s="110"/>
    </row>
    <row r="24" spans="1:20" ht="18" customHeight="1" x14ac:dyDescent="0.35">
      <c r="A24" s="30" t="s">
        <v>56</v>
      </c>
      <c r="B24" s="117">
        <f>(4*B$19)-((4*B$5)-B$6)</f>
        <v>6696.25</v>
      </c>
      <c r="C24" s="122">
        <f>(4*C$19)-((4*C$5)-C$6)</f>
        <v>24938.25</v>
      </c>
      <c r="D24" s="122">
        <f>(4*D$19)-((4*D$5)-D$6)</f>
        <v>6659.3899999999994</v>
      </c>
      <c r="E24" s="122">
        <f>(4*E$19)-((4*E$5)-E$6)</f>
        <v>24795.14</v>
      </c>
      <c r="F24" s="44"/>
      <c r="G24" s="92">
        <f>+B2</f>
        <v>45951</v>
      </c>
      <c r="H24" s="90" t="s">
        <v>65</v>
      </c>
      <c r="I24" s="91" t="s">
        <v>66</v>
      </c>
      <c r="J24" s="3"/>
      <c r="K24" s="21" t="s">
        <v>38</v>
      </c>
      <c r="L24">
        <f>(8*B$19)+((B$5-(8*B$6)))</f>
        <v>6907.75</v>
      </c>
      <c r="M24">
        <f>(8*C$19)+((C$5-(8*C$6)))</f>
        <v>25980.5</v>
      </c>
      <c r="N24">
        <f>(8*D$19)+((D$5-(8*D$6)))</f>
        <v>6867.9199999999983</v>
      </c>
      <c r="P24" s="67"/>
      <c r="Q24" s="110"/>
      <c r="T24" s="64"/>
    </row>
    <row r="25" spans="1:20" ht="18" customHeight="1" x14ac:dyDescent="0.35">
      <c r="A25" s="30" t="s">
        <v>51</v>
      </c>
      <c r="B25" s="117">
        <f>(5*B$19)-((5*B$5)-B$6)</f>
        <v>6680.5</v>
      </c>
      <c r="C25" s="122">
        <f>(5*C$19)-((5*C$5)-C$6)</f>
        <v>24872</v>
      </c>
      <c r="D25" s="122">
        <f>(5*D$19)-((5*D$5)-D$6)</f>
        <v>6643.7299999999959</v>
      </c>
      <c r="E25" s="122">
        <f>(5*E$19)-((5*E$5)-E$6)</f>
        <v>24733.160000000003</v>
      </c>
      <c r="F25" s="44"/>
      <c r="G25" s="89" t="s">
        <v>77</v>
      </c>
      <c r="H25" s="94">
        <f>(+H21/B4)/2</f>
        <v>2.2511717164261725E-3</v>
      </c>
      <c r="I25" s="94">
        <f>(+H22/C4)/2</f>
        <v>2.8704399035611242E-3</v>
      </c>
      <c r="L25" s="27" t="s">
        <v>65</v>
      </c>
      <c r="M25" s="27" t="s">
        <v>66</v>
      </c>
      <c r="N25" t="s">
        <v>12</v>
      </c>
      <c r="P25" s="67"/>
      <c r="Q25" s="110"/>
      <c r="T25" s="64"/>
    </row>
    <row r="26" spans="1:20" ht="18" customHeight="1" x14ac:dyDescent="0.45">
      <c r="A26" s="30" t="s">
        <v>78</v>
      </c>
      <c r="B26" s="118">
        <f>ROUND((6*B$19)-((6*B$5)-B$6),2)</f>
        <v>6664.75</v>
      </c>
      <c r="C26" s="123">
        <f>ROUND((6*C$19)-((6*C$5)-C$6),2)</f>
        <v>24805.75</v>
      </c>
      <c r="D26" s="123">
        <f>ROUND((6*D$19)-((6*D$5)-D$6),2)</f>
        <v>6628.07</v>
      </c>
      <c r="E26" s="123">
        <f>ROUND((6*E$19)-((6*E$5)-E$6),2)</f>
        <v>24671.18</v>
      </c>
      <c r="F26" s="48"/>
      <c r="G26" s="95" t="s">
        <v>79</v>
      </c>
      <c r="H26" s="93">
        <f>+H25*1600</f>
        <v>3.6018747462818759</v>
      </c>
      <c r="I26" s="93">
        <f>+I25*1600</f>
        <v>4.5927038456977982</v>
      </c>
      <c r="K26" s="21" t="s">
        <v>80</v>
      </c>
      <c r="L26">
        <f>(10*$B$19)-((10*$B$5)-$B$6)</f>
        <v>6601.75</v>
      </c>
      <c r="M26">
        <f>(10*$C$19)-((10*$C$5)-$C$6)</f>
        <v>24540.75</v>
      </c>
      <c r="N26">
        <f>(10*$D$19)-((10*$D$5)-$D$6)</f>
        <v>6565.429999999993</v>
      </c>
      <c r="P26" s="67"/>
      <c r="Q26" s="110"/>
    </row>
    <row r="27" spans="1:20" ht="18" customHeight="1" x14ac:dyDescent="0.35">
      <c r="A27" s="30" t="s">
        <v>81</v>
      </c>
      <c r="B27" s="118">
        <f>ROUND((7*B$19)-((7*B$5)-B$6),2)</f>
        <v>6649</v>
      </c>
      <c r="C27" s="123">
        <f>ROUND((7*C$19)-((7*C$5)-C$6),2)</f>
        <v>24739.5</v>
      </c>
      <c r="D27" s="123">
        <f>ROUND((7*D$19)-((7*D$5)-D$6),2)</f>
        <v>6612.41</v>
      </c>
      <c r="E27" s="123">
        <f>ROUND((7*E$19)-((7*E$5)-E$6),2)</f>
        <v>24609.200000000001</v>
      </c>
      <c r="F27" s="48"/>
      <c r="G27" s="39"/>
      <c r="H27" s="73"/>
      <c r="K27" s="21" t="s">
        <v>82</v>
      </c>
      <c r="L27">
        <f>(11*$B$19)-((11*$B$5)-$B$6)</f>
        <v>6586</v>
      </c>
      <c r="M27">
        <f>(11*$C$19)-((11*$C$5)-$C$6)</f>
        <v>24474.5</v>
      </c>
      <c r="N27">
        <f>(11*$D$19)-((11*$D$5)-$D$6)</f>
        <v>6549.7700000000041</v>
      </c>
      <c r="P27" s="67"/>
      <c r="Q27" s="110"/>
      <c r="T27" s="64"/>
    </row>
    <row r="28" spans="1:20" ht="18" customHeight="1" x14ac:dyDescent="0.45">
      <c r="A28" s="33" t="s">
        <v>83</v>
      </c>
      <c r="B28" s="119">
        <f>ROUND((8*B$19)-((8*B$5)-B$6),2)</f>
        <v>6633.25</v>
      </c>
      <c r="C28" s="124">
        <f>ROUND((8*C$19)-((8*C$5)-C$6),2)</f>
        <v>24673.25</v>
      </c>
      <c r="D28" s="124">
        <f>ROUND((8*D$19)-((8*D$5)-D$6),2)</f>
        <v>6596.75</v>
      </c>
      <c r="E28" s="124">
        <f>ROUND((8*E$19)-((8*E$5)-E$6),2)</f>
        <v>24547.22</v>
      </c>
      <c r="G28" s="70"/>
      <c r="H28" s="38"/>
      <c r="I28" s="2"/>
      <c r="K28" s="21" t="s">
        <v>84</v>
      </c>
      <c r="L28">
        <f>(12*$B$19)-((12*$B$5)-$B$6)</f>
        <v>6570.25</v>
      </c>
      <c r="M28">
        <f>(12*$C$19)-((12*$C$5)-$C$6)</f>
        <v>24408.25</v>
      </c>
      <c r="N28">
        <f>(12*$D$19)-((12*$D$5)-$D$6)</f>
        <v>6534.1100000000006</v>
      </c>
      <c r="P28" s="39"/>
      <c r="Q28" s="110"/>
      <c r="T28" s="64"/>
    </row>
    <row r="29" spans="1:20" ht="18" customHeight="1" x14ac:dyDescent="0.35">
      <c r="A29" s="33" t="s">
        <v>85</v>
      </c>
      <c r="B29" s="119">
        <f>ROUND((9*B$19)-((9*B$5)-B$6),2)</f>
        <v>6617.5</v>
      </c>
      <c r="C29" s="124">
        <f>ROUND((9*C$19)-((9*C$5)-C$6),2)</f>
        <v>24607</v>
      </c>
      <c r="D29" s="124">
        <f>ROUND((9*D$19)-((9*D$5)-D$6),2)</f>
        <v>6581.09</v>
      </c>
      <c r="E29" s="124">
        <f>ROUND((9*E$19)-((9*E$5)-E$6),2)</f>
        <v>24485.24</v>
      </c>
      <c r="G29" s="39"/>
      <c r="H29" s="38"/>
      <c r="I29" s="24"/>
      <c r="K29" s="21" t="s">
        <v>86</v>
      </c>
      <c r="L29">
        <f>(13*$B$19)-((13*$B$5)-$B$6)</f>
        <v>6554.5</v>
      </c>
      <c r="M29">
        <f>(13*$C$19)-((13*$C$5)-$C$6)</f>
        <v>24342</v>
      </c>
      <c r="N29">
        <f>(13*$D$19)-((13*$D$5)-$D$6)</f>
        <v>6518.4499999999971</v>
      </c>
      <c r="P29" s="39"/>
      <c r="Q29" s="110"/>
      <c r="T29" s="64"/>
    </row>
    <row r="30" spans="1:20" ht="18" customHeight="1" x14ac:dyDescent="0.35">
      <c r="A30" s="20"/>
      <c r="G30" s="39"/>
      <c r="H30" s="73"/>
      <c r="K30" s="21" t="s">
        <v>87</v>
      </c>
      <c r="L30">
        <f>(14*$B$19)-((14*$B$5)-$B$6)</f>
        <v>6538.75</v>
      </c>
      <c r="M30">
        <f>(14*$C$19)-((14*$C$5)-$C$6)</f>
        <v>24275.75</v>
      </c>
      <c r="N30">
        <f>(14*$D$19)-((14*$D$5)-$D$6)</f>
        <v>6502.7900000000081</v>
      </c>
      <c r="Q30" s="110"/>
      <c r="T30" s="64"/>
    </row>
    <row r="31" spans="1:20" ht="18" customHeight="1" x14ac:dyDescent="0.45">
      <c r="G31" s="70"/>
      <c r="H31" s="38"/>
      <c r="I31" s="24"/>
      <c r="K31" s="28" t="s">
        <v>88</v>
      </c>
      <c r="L31" s="2">
        <f>(19*$B$19)-((19*$B$5)-$B$6)</f>
        <v>6460</v>
      </c>
      <c r="M31" s="2">
        <f>(19*$C$19)-((19*$C$5)-$C$6)</f>
        <v>23944.5</v>
      </c>
      <c r="N31">
        <f>(19*$D$19)-((19*$D$5)-$D$6)</f>
        <v>6424.4900000000052</v>
      </c>
      <c r="Q31" s="110"/>
    </row>
    <row r="32" spans="1:20" ht="17.5" customHeight="1" x14ac:dyDescent="0.35">
      <c r="G32" s="39"/>
      <c r="Q32" s="111"/>
    </row>
    <row r="33" spans="3:17" ht="15.65" customHeight="1" x14ac:dyDescent="0.35">
      <c r="G33" s="38"/>
      <c r="Q33" s="111"/>
    </row>
    <row r="34" spans="3:17" ht="15.65" customHeight="1" x14ac:dyDescent="0.35">
      <c r="G34" s="26"/>
      <c r="L34" s="27" t="s">
        <v>65</v>
      </c>
      <c r="M34" s="27" t="s">
        <v>66</v>
      </c>
      <c r="N34" t="s">
        <v>12</v>
      </c>
      <c r="Q34" s="111"/>
    </row>
    <row r="35" spans="3:17" x14ac:dyDescent="0.35">
      <c r="C35">
        <v>0</v>
      </c>
      <c r="G35" s="26"/>
      <c r="K35" t="s">
        <v>89</v>
      </c>
      <c r="L35" s="2">
        <f>(99*$B$19)+(($B$5-(99*$B$6)))</f>
        <v>8250</v>
      </c>
      <c r="M35" s="2">
        <f>(99*C$19)+((C$5-(99*C$6)))</f>
        <v>33169.5</v>
      </c>
      <c r="N35" s="2">
        <f>(99*$B$19)+(($B$5-(99*$B$6)))</f>
        <v>8250</v>
      </c>
    </row>
    <row r="37" spans="3:17" x14ac:dyDescent="0.35">
      <c r="G37" s="26"/>
      <c r="L37" s="27" t="s">
        <v>65</v>
      </c>
      <c r="M37" s="27" t="s">
        <v>66</v>
      </c>
      <c r="N37" t="s">
        <v>12</v>
      </c>
    </row>
    <row r="38" spans="3:17" x14ac:dyDescent="0.35">
      <c r="K38" s="28" t="s">
        <v>90</v>
      </c>
      <c r="L38" s="2">
        <f>(22*$B$19)-((22*$B$5)-$B$6)</f>
        <v>6412.75</v>
      </c>
      <c r="M38" s="2">
        <f>(22*$C$19)-((22*$C$5)-$C$6)</f>
        <v>23745.75</v>
      </c>
      <c r="N38">
        <f>(22*$D$19)-((22*$D$5)-$D$6)</f>
        <v>6377.5100000000093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2025-10-22T12:36:25Z</dcterms:modified>
  <cp:category/>
  <cp:contentStatus/>
</cp:coreProperties>
</file>