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brada\OneDrive\Desktop\"/>
    </mc:Choice>
  </mc:AlternateContent>
  <bookViews>
    <workbookView xWindow="0" yWindow="0" windowWidth="25600" windowHeight="12130"/>
  </bookViews>
  <sheets>
    <sheet name="Pivots" sheetId="1" r:id="rId1"/>
  </sheets>
  <calcPr calcId="162913"/>
</workbook>
</file>

<file path=xl/calcChain.xml><?xml version="1.0" encoding="utf-8"?>
<calcChain xmlns="http://schemas.openxmlformats.org/spreadsheetml/2006/main">
  <c r="G24" i="1" l="1"/>
  <c r="H22" i="1"/>
  <c r="I25" i="1" s="1"/>
  <c r="I26" i="1" s="1"/>
  <c r="H21" i="1"/>
  <c r="I21" i="1" s="1"/>
  <c r="I19" i="1"/>
  <c r="E19" i="1"/>
  <c r="E18" i="1" s="1"/>
  <c r="D19" i="1"/>
  <c r="N38" i="1" s="1"/>
  <c r="C19" i="1"/>
  <c r="C28" i="1" s="1"/>
  <c r="B19" i="1"/>
  <c r="L31" i="1" s="1"/>
  <c r="H17" i="1"/>
  <c r="G17" i="1"/>
  <c r="H3" i="1"/>
  <c r="E1" i="1"/>
  <c r="B20" i="1" l="1"/>
  <c r="B22" i="1"/>
  <c r="N22" i="1"/>
  <c r="B24" i="1"/>
  <c r="B25" i="1"/>
  <c r="D26" i="1"/>
  <c r="C27" i="1"/>
  <c r="D28" i="1"/>
  <c r="E29" i="1"/>
  <c r="M31" i="1"/>
  <c r="C20" i="1"/>
  <c r="C22" i="1"/>
  <c r="B23" i="1"/>
  <c r="C24" i="1"/>
  <c r="C25" i="1"/>
  <c r="E26" i="1"/>
  <c r="D27" i="1"/>
  <c r="E28" i="1"/>
  <c r="L29" i="1"/>
  <c r="N31" i="1"/>
  <c r="D20" i="1"/>
  <c r="D17" i="1" s="1"/>
  <c r="E21" i="1"/>
  <c r="D22" i="1"/>
  <c r="C23" i="1"/>
  <c r="D24" i="1"/>
  <c r="D25" i="1"/>
  <c r="E27" i="1"/>
  <c r="L28" i="1"/>
  <c r="M29" i="1"/>
  <c r="L35" i="1"/>
  <c r="D11" i="1"/>
  <c r="D15" i="1"/>
  <c r="E11" i="1"/>
  <c r="E22" i="1"/>
  <c r="D23" i="1"/>
  <c r="E24" i="1"/>
  <c r="E25" i="1"/>
  <c r="L27" i="1"/>
  <c r="M28" i="1"/>
  <c r="N29" i="1"/>
  <c r="M35" i="1"/>
  <c r="B10" i="1"/>
  <c r="B12" i="1"/>
  <c r="B14" i="1"/>
  <c r="B16" i="1"/>
  <c r="C10" i="1"/>
  <c r="C12" i="1"/>
  <c r="C14" i="1"/>
  <c r="C16" i="1"/>
  <c r="H25" i="1"/>
  <c r="H26" i="1" s="1"/>
  <c r="L26" i="1"/>
  <c r="M27" i="1"/>
  <c r="N28" i="1"/>
  <c r="L30" i="1"/>
  <c r="N35" i="1"/>
  <c r="I8" i="1"/>
  <c r="E10" i="1"/>
  <c r="E12" i="1"/>
  <c r="E14" i="1"/>
  <c r="E16" i="1"/>
  <c r="C18" i="1"/>
  <c r="C17" i="1" s="1"/>
  <c r="L19" i="1"/>
  <c r="M20" i="1"/>
  <c r="L21" i="1"/>
  <c r="I22" i="1"/>
  <c r="L23" i="1"/>
  <c r="L24" i="1"/>
  <c r="M26" i="1"/>
  <c r="N27" i="1"/>
  <c r="B29" i="1"/>
  <c r="M30" i="1"/>
  <c r="L38" i="1"/>
  <c r="D9" i="1"/>
  <c r="D13" i="1"/>
  <c r="E9" i="1"/>
  <c r="E13" i="1"/>
  <c r="E15" i="1"/>
  <c r="L20" i="1"/>
  <c r="E23" i="1"/>
  <c r="B9" i="1"/>
  <c r="B11" i="1"/>
  <c r="B13" i="1"/>
  <c r="B15" i="1"/>
  <c r="D18" i="1"/>
  <c r="M19" i="1"/>
  <c r="N20" i="1"/>
  <c r="M21" i="1"/>
  <c r="L22" i="1"/>
  <c r="M23" i="1"/>
  <c r="M24" i="1"/>
  <c r="B26" i="1"/>
  <c r="N26" i="1"/>
  <c r="B28" i="1"/>
  <c r="C29" i="1"/>
  <c r="N30" i="1"/>
  <c r="M38" i="1"/>
  <c r="E20" i="1"/>
  <c r="E17" i="1" s="1"/>
  <c r="H8" i="1"/>
  <c r="D10" i="1"/>
  <c r="D12" i="1"/>
  <c r="D14" i="1"/>
  <c r="D16" i="1"/>
  <c r="B18" i="1"/>
  <c r="B21" i="1" s="1"/>
  <c r="C9" i="1"/>
  <c r="C11" i="1"/>
  <c r="C13" i="1"/>
  <c r="C15" i="1"/>
  <c r="N19" i="1"/>
  <c r="N21" i="1"/>
  <c r="M22" i="1"/>
  <c r="N23" i="1"/>
  <c r="N24" i="1"/>
  <c r="C26" i="1"/>
  <c r="B27" i="1"/>
  <c r="D29" i="1"/>
  <c r="B17" i="1" l="1"/>
  <c r="D21" i="1"/>
  <c r="C21" i="1"/>
</calcChain>
</file>

<file path=xl/sharedStrings.xml><?xml version="1.0" encoding="utf-8"?>
<sst xmlns="http://schemas.openxmlformats.org/spreadsheetml/2006/main" count="116" uniqueCount="91">
  <si>
    <t>PIVOT POINT CALCULATOR for</t>
  </si>
  <si>
    <t>Enter Symbol in the Equity line with colored boxes as price</t>
  </si>
  <si>
    <t>count</t>
  </si>
  <si>
    <t>Data from -&gt;</t>
  </si>
  <si>
    <t>RTH Only</t>
  </si>
  <si>
    <t>TOS settlement pricing</t>
  </si>
  <si>
    <t xml:space="preserve">Value Area </t>
  </si>
  <si>
    <t>Pivot Point Calculation Formula:</t>
  </si>
  <si>
    <t>2025 Hi's</t>
  </si>
  <si>
    <t>Equity</t>
  </si>
  <si>
    <t>ESZ25</t>
  </si>
  <si>
    <t>NQZ25</t>
  </si>
  <si>
    <t>SPX</t>
  </si>
  <si>
    <t>NDX</t>
  </si>
  <si>
    <t>*  TOS RT ranges</t>
  </si>
  <si>
    <t>1600 close</t>
  </si>
  <si>
    <t>OPEN</t>
  </si>
  <si>
    <t>/ES</t>
  </si>
  <si>
    <t>/NQ</t>
  </si>
  <si>
    <t>PIVOT = (High + Low + Close)/3</t>
  </si>
  <si>
    <t>HIGH</t>
  </si>
  <si>
    <t>VAH</t>
  </si>
  <si>
    <t>R3 = High + 2(Pivot - Low)</t>
  </si>
  <si>
    <t>VPOC</t>
  </si>
  <si>
    <t>LOW</t>
  </si>
  <si>
    <t>POC</t>
  </si>
  <si>
    <t>R2 = Pivot + (R1 - S1)</t>
  </si>
  <si>
    <t>Settle</t>
  </si>
  <si>
    <t>VAL</t>
  </si>
  <si>
    <t>R1 = (2*Pivot) - Low</t>
  </si>
  <si>
    <t>cash MMM =</t>
  </si>
  <si>
    <t>green above ; red below</t>
  </si>
  <si>
    <t>PP</t>
  </si>
  <si>
    <t>S1 = (2*Pivot) - High</t>
  </si>
  <si>
    <t>R10</t>
  </si>
  <si>
    <t>RANGES</t>
  </si>
  <si>
    <t>as of Sat. prior</t>
  </si>
  <si>
    <t>S2 = Pivot - (R1 - S1)</t>
  </si>
  <si>
    <t>R9</t>
  </si>
  <si>
    <t>MMM Wkly Range</t>
  </si>
  <si>
    <t>S3 = Low - 2(Hi - Pivot)</t>
  </si>
  <si>
    <t>R8</t>
  </si>
  <si>
    <t>hi</t>
  </si>
  <si>
    <t>R7</t>
  </si>
  <si>
    <t>lo</t>
  </si>
  <si>
    <t>R4</t>
  </si>
  <si>
    <t>=(3 * PP) + (Hi -(3 * Lo))</t>
  </si>
  <si>
    <t>R6</t>
  </si>
  <si>
    <t>R5</t>
  </si>
  <si>
    <t>=(4 * PP) + (Hi -(4 * Lo))</t>
  </si>
  <si>
    <t>=(5 * PP) + (Hi -(5 * Lo))</t>
  </si>
  <si>
    <t>S6</t>
  </si>
  <si>
    <t>= (5 * PP) - ((5* Hi) -Lo))</t>
  </si>
  <si>
    <t>R3</t>
  </si>
  <si>
    <t>ES/SPX diff</t>
  </si>
  <si>
    <t>NQ/NDX diff</t>
  </si>
  <si>
    <t>S5</t>
  </si>
  <si>
    <t>= (4 * PP) - ((4* Hi) -Lo))</t>
  </si>
  <si>
    <t>R2</t>
  </si>
  <si>
    <t>"M" contract</t>
  </si>
  <si>
    <t>S4</t>
  </si>
  <si>
    <t>= (3 * PP) - ((3* Hi) -Lo))</t>
  </si>
  <si>
    <t>R1</t>
  </si>
  <si>
    <t>VIX</t>
  </si>
  <si>
    <t>% move poss. 16 = 1%</t>
  </si>
  <si>
    <t>ES</t>
  </si>
  <si>
    <t>NQ</t>
  </si>
  <si>
    <t>$ range</t>
  </si>
  <si>
    <t>R14</t>
  </si>
  <si>
    <t>S1</t>
  </si>
  <si>
    <t>Prior Day</t>
  </si>
  <si>
    <t>IV RANGE</t>
  </si>
  <si>
    <t>R13</t>
  </si>
  <si>
    <t>S2</t>
  </si>
  <si>
    <t>R12</t>
  </si>
  <si>
    <t>S3</t>
  </si>
  <si>
    <t>R11</t>
  </si>
  <si>
    <t>% chng +/-</t>
  </si>
  <si>
    <t>S7</t>
  </si>
  <si>
    <t>equiv IV</t>
  </si>
  <si>
    <t>S11</t>
  </si>
  <si>
    <t>S8</t>
  </si>
  <si>
    <t>S12</t>
  </si>
  <si>
    <t>S9</t>
  </si>
  <si>
    <t>S13</t>
  </si>
  <si>
    <t>S10</t>
  </si>
  <si>
    <t>S14</t>
  </si>
  <si>
    <t>S15</t>
  </si>
  <si>
    <t>S20</t>
  </si>
  <si>
    <t>R100</t>
  </si>
  <si>
    <t>S23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</si>
</sst>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4" formatCode="_(&quot;$&quot;* #,##0.00_);_(&quot;$&quot;* \(#,##0.00\);_(&quot;$&quot;* &quot;-&quot;??_);_(@_)"/>
    <numFmt numFmtId="164" formatCode="[$-409]mmm\-yy;@"/>
  </numFmts>
  <fonts count="50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rgb="FF23292B"/>
      <name val="Georgia"/>
      <family val="1"/>
    </font>
    <font>
      <b/>
      <sz val="12"/>
      <color rgb="FF23292B"/>
      <name val="Calibri"/>
      <family val="2"/>
    </font>
    <font>
      <b/>
      <sz val="11"/>
      <color rgb="FFFF0000"/>
      <name val="Georgia"/>
      <family val="1"/>
    </font>
    <font>
      <b/>
      <sz val="11"/>
      <color rgb="FFFF0000"/>
      <name val="Calibri"/>
      <family val="2"/>
      <scheme val="minor"/>
    </font>
    <font>
      <sz val="11"/>
      <color theme="1"/>
      <name val="Calibri"/>
      <family val="2"/>
      <scheme val="minor"/>
    </font>
    <font>
      <b/>
      <u/>
      <sz val="12"/>
      <color theme="3"/>
      <name val="Calibri"/>
      <family val="2"/>
      <scheme val="minor"/>
    </font>
    <font>
      <b/>
      <u/>
      <sz val="11"/>
      <color theme="3"/>
      <name val="Calibri"/>
      <family val="2"/>
      <scheme val="minor"/>
    </font>
    <font>
      <b/>
      <sz val="11"/>
      <color rgb="FF9C5700"/>
      <name val="Calibri"/>
      <family val="2"/>
      <scheme val="minor"/>
    </font>
    <font>
      <sz val="11"/>
      <color theme="2"/>
      <name val="Calibri"/>
      <family val="2"/>
      <scheme val="minor"/>
    </font>
    <font>
      <sz val="10"/>
      <name val="Arial"/>
      <family val="2"/>
    </font>
    <font>
      <sz val="11"/>
      <color rgb="FFFF0000"/>
      <name val="Calibri"/>
      <family val="2"/>
      <scheme val="minor"/>
    </font>
    <font>
      <b/>
      <sz val="11"/>
      <color rgb="FF23292B"/>
      <name val="Georgia"/>
      <family val="1"/>
    </font>
    <font>
      <u/>
      <sz val="11"/>
      <color theme="10"/>
      <name val="Calibri"/>
      <family val="2"/>
      <scheme val="minor"/>
    </font>
    <font>
      <sz val="10"/>
      <name val="Arial"/>
      <family val="2"/>
    </font>
    <font>
      <b/>
      <u/>
      <sz val="12"/>
      <color theme="4" tint="-0.499984740745262"/>
      <name val="Calibri"/>
      <family val="2"/>
      <scheme val="minor"/>
    </font>
    <font>
      <b/>
      <u/>
      <sz val="12"/>
      <color rgb="FFFF0000"/>
      <name val="Calibri"/>
      <family val="2"/>
      <scheme val="minor"/>
    </font>
    <font>
      <sz val="14"/>
      <name val="Arial"/>
      <family val="2"/>
    </font>
    <font>
      <b/>
      <sz val="12"/>
      <name val="Calibri"/>
      <family val="2"/>
      <scheme val="minor"/>
    </font>
    <font>
      <sz val="11"/>
      <color rgb="FF000000"/>
      <name val="Calibri"/>
      <family val="2"/>
    </font>
    <font>
      <b/>
      <sz val="11"/>
      <color rgb="FF006100"/>
      <name val="Calibri"/>
      <family val="2"/>
      <scheme val="minor"/>
    </font>
    <font>
      <b/>
      <sz val="11"/>
      <color rgb="FF9C0006"/>
      <name val="Calibri"/>
      <family val="2"/>
      <scheme val="minor"/>
    </font>
    <font>
      <sz val="11"/>
      <name val="Calibri"/>
      <family val="2"/>
      <scheme val="minor"/>
    </font>
    <font>
      <b/>
      <u/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rgb="FF000000"/>
      <name val="Calibri"/>
      <family val="2"/>
    </font>
    <font>
      <b/>
      <sz val="11"/>
      <color theme="4" tint="-0.249977111117893"/>
      <name val="Calibri"/>
      <family val="2"/>
      <scheme val="minor"/>
    </font>
    <font>
      <b/>
      <u/>
      <sz val="11"/>
      <name val="Arial"/>
      <family val="2"/>
    </font>
    <font>
      <sz val="12"/>
      <name val="Arial"/>
      <family val="2"/>
    </font>
    <font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0"/>
      <color rgb="FF000000"/>
      <name val="Calibri"/>
      <family val="2"/>
    </font>
    <font>
      <b/>
      <sz val="10"/>
      <name val="Arial"/>
      <family val="2"/>
    </font>
    <font>
      <b/>
      <sz val="20"/>
      <color theme="1"/>
      <name val="Calibri"/>
      <family val="2"/>
      <scheme val="minor"/>
    </font>
    <font>
      <b/>
      <u/>
      <sz val="12"/>
      <name val="Calibri"/>
      <family val="2"/>
      <scheme val="minor"/>
    </font>
    <font>
      <sz val="12"/>
      <color theme="1"/>
      <name val="Helvetica"/>
      <family val="2"/>
    </font>
    <font>
      <b/>
      <sz val="12"/>
      <color rgb="FFFF0000"/>
      <name val="Calibri"/>
      <family val="2"/>
    </font>
    <font>
      <b/>
      <sz val="12"/>
      <color rgb="FFFF0000"/>
      <name val="Calibri"/>
      <family val="2"/>
      <scheme val="minor"/>
    </font>
    <font>
      <b/>
      <sz val="14"/>
      <color theme="4" tint="-0.249977111117893"/>
      <name val="Calibri"/>
      <family val="2"/>
    </font>
    <font>
      <b/>
      <u/>
      <sz val="11"/>
      <color theme="1"/>
      <name val="Calibri"/>
      <family val="2"/>
      <scheme val="minor"/>
    </font>
    <font>
      <sz val="12"/>
      <color rgb="FF000000"/>
      <name val="Calibri"/>
      <family val="2"/>
    </font>
    <font>
      <b/>
      <sz val="13"/>
      <name val="Segoe UI"/>
      <family val="2"/>
    </font>
  </fonts>
  <fills count="1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A5A5A5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FFFF00"/>
        <bgColor rgb="FF000000"/>
      </patternFill>
    </fill>
  </fills>
  <borders count="16">
    <border>
      <left/>
      <right/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4">
    <xf numFmtId="0" fontId="0" fillId="0" borderId="0"/>
    <xf numFmtId="0" fontId="2" fillId="2" borderId="0"/>
    <xf numFmtId="0" fontId="3" fillId="3" borderId="0"/>
    <xf numFmtId="0" fontId="4" fillId="4" borderId="0"/>
    <xf numFmtId="0" fontId="5" fillId="5" borderId="1"/>
    <xf numFmtId="9" fontId="13" fillId="0" borderId="0"/>
    <xf numFmtId="164" fontId="22" fillId="0" borderId="0"/>
    <xf numFmtId="0" fontId="21" fillId="0" borderId="0"/>
    <xf numFmtId="44" fontId="22" fillId="0" borderId="0"/>
    <xf numFmtId="164" fontId="22" fillId="0" borderId="0"/>
    <xf numFmtId="9" fontId="22" fillId="0" borderId="0"/>
    <xf numFmtId="0" fontId="1" fillId="0" borderId="0"/>
    <xf numFmtId="0" fontId="22" fillId="0" borderId="0"/>
    <xf numFmtId="164" fontId="22" fillId="0" borderId="0"/>
  </cellStyleXfs>
  <cellXfs count="125">
    <xf numFmtId="0" fontId="0" fillId="0" borderId="0" xfId="0"/>
    <xf numFmtId="0" fontId="8" fillId="0" borderId="0" xfId="0" applyFont="1"/>
    <xf numFmtId="0" fontId="6" fillId="0" borderId="0" xfId="0" applyFont="1"/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0" fillId="0" borderId="0" xfId="0" applyProtection="1">
      <protection hidden="1"/>
    </xf>
    <xf numFmtId="0" fontId="11" fillId="0" borderId="0" xfId="0" quotePrefix="1" applyFont="1" applyAlignment="1">
      <alignment vertical="center"/>
    </xf>
    <xf numFmtId="0" fontId="12" fillId="0" borderId="0" xfId="0" applyFont="1"/>
    <xf numFmtId="0" fontId="8" fillId="0" borderId="3" xfId="0" applyFont="1" applyBorder="1" applyAlignment="1">
      <alignment horizontal="right"/>
    </xf>
    <xf numFmtId="0" fontId="0" fillId="0" borderId="4" xfId="0" quotePrefix="1" applyBorder="1"/>
    <xf numFmtId="0" fontId="0" fillId="0" borderId="4" xfId="0" applyBorder="1"/>
    <xf numFmtId="0" fontId="0" fillId="0" borderId="5" xfId="0" applyBorder="1"/>
    <xf numFmtId="0" fontId="10" fillId="0" borderId="6" xfId="0" applyFont="1" applyBorder="1" applyAlignment="1">
      <alignment horizontal="right" vertical="center"/>
    </xf>
    <xf numFmtId="0" fontId="0" fillId="0" borderId="0" xfId="0" quotePrefix="1"/>
    <xf numFmtId="0" fontId="0" fillId="0" borderId="7" xfId="0" applyBorder="1"/>
    <xf numFmtId="0" fontId="9" fillId="0" borderId="6" xfId="0" applyFont="1" applyBorder="1" applyAlignment="1">
      <alignment horizontal="right" vertical="center"/>
    </xf>
    <xf numFmtId="0" fontId="9" fillId="0" borderId="8" xfId="0" applyFont="1" applyBorder="1" applyAlignment="1">
      <alignment horizontal="right" vertical="center"/>
    </xf>
    <xf numFmtId="0" fontId="0" fillId="0" borderId="9" xfId="0" quotePrefix="1" applyBorder="1"/>
    <xf numFmtId="0" fontId="0" fillId="0" borderId="9" xfId="0" applyBorder="1"/>
    <xf numFmtId="0" fontId="0" fillId="0" borderId="10" xfId="0" applyBorder="1"/>
    <xf numFmtId="0" fontId="4" fillId="0" borderId="0" xfId="3" applyFill="1" applyProtection="1">
      <protection locked="0"/>
    </xf>
    <xf numFmtId="0" fontId="9" fillId="0" borderId="0" xfId="0" applyFont="1" applyAlignment="1">
      <alignment horizontal="right" vertical="center"/>
    </xf>
    <xf numFmtId="2" fontId="8" fillId="5" borderId="2" xfId="4" applyNumberFormat="1" applyFont="1" applyBorder="1"/>
    <xf numFmtId="0" fontId="14" fillId="0" borderId="0" xfId="0" applyFont="1"/>
    <xf numFmtId="0" fontId="15" fillId="0" borderId="0" xfId="0" applyFont="1"/>
    <xf numFmtId="2" fontId="0" fillId="0" borderId="0" xfId="0" applyNumberFormat="1"/>
    <xf numFmtId="0" fontId="13" fillId="6" borderId="12" xfId="3" applyFont="1" applyFill="1" applyBorder="1" applyAlignment="1" applyProtection="1">
      <alignment horizontal="center"/>
      <protection locked="0"/>
    </xf>
    <xf numFmtId="0" fontId="19" fillId="0" borderId="0" xfId="0" applyFont="1"/>
    <xf numFmtId="0" fontId="0" fillId="0" borderId="0" xfId="0" applyAlignment="1">
      <alignment horizontal="center"/>
    </xf>
    <xf numFmtId="0" fontId="20" fillId="0" borderId="0" xfId="0" applyFont="1" applyAlignment="1">
      <alignment horizontal="right" vertical="center"/>
    </xf>
    <xf numFmtId="2" fontId="6" fillId="0" borderId="0" xfId="0" applyNumberFormat="1" applyFont="1"/>
    <xf numFmtId="0" fontId="0" fillId="0" borderId="0" xfId="0" applyAlignment="1">
      <alignment horizontal="right"/>
    </xf>
    <xf numFmtId="0" fontId="6" fillId="0" borderId="0" xfId="0" applyFont="1" applyAlignment="1">
      <alignment horizontal="right"/>
    </xf>
    <xf numFmtId="0" fontId="17" fillId="0" borderId="0" xfId="0" applyFont="1" applyAlignment="1">
      <alignment horizontal="right"/>
    </xf>
    <xf numFmtId="0" fontId="4" fillId="0" borderId="0" xfId="3" applyFill="1" applyAlignment="1" applyProtection="1">
      <alignment horizontal="right"/>
      <protection locked="0"/>
    </xf>
    <xf numFmtId="0" fontId="0" fillId="0" borderId="0" xfId="0" quotePrefix="1" applyAlignment="1">
      <alignment horizontal="center"/>
    </xf>
    <xf numFmtId="2" fontId="3" fillId="0" borderId="0" xfId="2" applyNumberFormat="1" applyFill="1"/>
    <xf numFmtId="2" fontId="6" fillId="0" borderId="2" xfId="0" applyNumberFormat="1" applyFont="1" applyBorder="1" applyProtection="1">
      <protection locked="0"/>
    </xf>
    <xf numFmtId="0" fontId="23" fillId="6" borderId="2" xfId="7" applyFont="1" applyFill="1" applyBorder="1" applyAlignment="1" applyProtection="1">
      <alignment horizontal="center"/>
      <protection locked="0"/>
    </xf>
    <xf numFmtId="0" fontId="24" fillId="6" borderId="2" xfId="3" applyFont="1" applyFill="1" applyBorder="1" applyAlignment="1" applyProtection="1">
      <alignment horizontal="center"/>
      <protection locked="0"/>
    </xf>
    <xf numFmtId="0" fontId="18" fillId="0" borderId="0" xfId="0" applyFont="1"/>
    <xf numFmtId="0" fontId="25" fillId="0" borderId="0" xfId="0" applyFont="1"/>
    <xf numFmtId="2" fontId="6" fillId="9" borderId="2" xfId="0" applyNumberFormat="1" applyFont="1" applyFill="1" applyBorder="1" applyProtection="1">
      <protection locked="0"/>
    </xf>
    <xf numFmtId="2" fontId="6" fillId="8" borderId="2" xfId="0" applyNumberFormat="1" applyFont="1" applyFill="1" applyBorder="1" applyProtection="1">
      <protection locked="0"/>
    </xf>
    <xf numFmtId="2" fontId="28" fillId="2" borderId="2" xfId="1" applyNumberFormat="1" applyFont="1" applyBorder="1"/>
    <xf numFmtId="2" fontId="29" fillId="3" borderId="11" xfId="2" applyNumberFormat="1" applyFont="1" applyBorder="1"/>
    <xf numFmtId="2" fontId="29" fillId="3" borderId="2" xfId="2" applyNumberFormat="1" applyFont="1" applyBorder="1"/>
    <xf numFmtId="0" fontId="30" fillId="0" borderId="0" xfId="0" applyFont="1"/>
    <xf numFmtId="0" fontId="31" fillId="0" borderId="0" xfId="0" applyFont="1"/>
    <xf numFmtId="0" fontId="30" fillId="0" borderId="0" xfId="3" applyFont="1" applyFill="1" applyAlignment="1" applyProtection="1">
      <alignment horizontal="center"/>
      <protection locked="0"/>
    </xf>
    <xf numFmtId="2" fontId="32" fillId="0" borderId="0" xfId="0" applyNumberFormat="1" applyFont="1" applyProtection="1">
      <protection locked="0"/>
    </xf>
    <xf numFmtId="2" fontId="30" fillId="0" borderId="0" xfId="0" applyNumberFormat="1" applyFont="1"/>
    <xf numFmtId="2" fontId="30" fillId="0" borderId="0" xfId="1" applyNumberFormat="1" applyFont="1" applyFill="1"/>
    <xf numFmtId="2" fontId="26" fillId="0" borderId="0" xfId="4" applyNumberFormat="1" applyFont="1" applyFill="1" applyBorder="1"/>
    <xf numFmtId="2" fontId="30" fillId="0" borderId="0" xfId="2" applyNumberFormat="1" applyFont="1" applyFill="1"/>
    <xf numFmtId="2" fontId="30" fillId="0" borderId="0" xfId="3" applyNumberFormat="1" applyFont="1" applyFill="1"/>
    <xf numFmtId="2" fontId="6" fillId="0" borderId="4" xfId="0" applyNumberFormat="1" applyFont="1" applyBorder="1" applyAlignment="1">
      <alignment horizontal="center"/>
    </xf>
    <xf numFmtId="2" fontId="6" fillId="0" borderId="5" xfId="0" applyNumberFormat="1" applyFont="1" applyBorder="1" applyAlignment="1">
      <alignment horizontal="center"/>
    </xf>
    <xf numFmtId="2" fontId="0" fillId="0" borderId="6" xfId="0" applyNumberFormat="1" applyBorder="1" applyAlignment="1">
      <alignment horizontal="right"/>
    </xf>
    <xf numFmtId="1" fontId="10" fillId="0" borderId="7" xfId="0" applyNumberFormat="1" applyFont="1" applyBorder="1" applyAlignment="1">
      <alignment vertical="center"/>
    </xf>
    <xf numFmtId="2" fontId="0" fillId="0" borderId="8" xfId="0" applyNumberFormat="1" applyBorder="1" applyAlignment="1">
      <alignment horizontal="right"/>
    </xf>
    <xf numFmtId="1" fontId="10" fillId="0" borderId="10" xfId="0" applyNumberFormat="1" applyFont="1" applyBorder="1" applyAlignment="1">
      <alignment vertical="center"/>
    </xf>
    <xf numFmtId="0" fontId="6" fillId="0" borderId="3" xfId="0" applyFont="1" applyBorder="1" applyAlignment="1">
      <alignment horizontal="left"/>
    </xf>
    <xf numFmtId="0" fontId="34" fillId="0" borderId="5" xfId="0" applyFont="1" applyBorder="1"/>
    <xf numFmtId="2" fontId="0" fillId="9" borderId="9" xfId="0" applyNumberFormat="1" applyFill="1" applyBorder="1"/>
    <xf numFmtId="2" fontId="0" fillId="9" borderId="10" xfId="0" applyNumberFormat="1" applyFill="1" applyBorder="1"/>
    <xf numFmtId="0" fontId="12" fillId="0" borderId="0" xfId="0" quotePrefix="1" applyFont="1"/>
    <xf numFmtId="2" fontId="12" fillId="0" borderId="0" xfId="0" applyNumberFormat="1" applyFont="1"/>
    <xf numFmtId="2" fontId="6" fillId="7" borderId="11" xfId="0" applyNumberFormat="1" applyFont="1" applyFill="1" applyBorder="1"/>
    <xf numFmtId="2" fontId="6" fillId="7" borderId="2" xfId="0" applyNumberFormat="1" applyFont="1" applyFill="1" applyBorder="1"/>
    <xf numFmtId="2" fontId="16" fillId="7" borderId="11" xfId="3" applyNumberFormat="1" applyFont="1" applyFill="1" applyBorder="1"/>
    <xf numFmtId="2" fontId="16" fillId="7" borderId="2" xfId="3" applyNumberFormat="1" applyFont="1" applyFill="1" applyBorder="1"/>
    <xf numFmtId="2" fontId="6" fillId="10" borderId="2" xfId="1" applyNumberFormat="1" applyFont="1" applyFill="1" applyBorder="1"/>
    <xf numFmtId="0" fontId="6" fillId="12" borderId="6" xfId="0" applyFont="1" applyFill="1" applyBorder="1" applyAlignment="1">
      <alignment horizontal="center"/>
    </xf>
    <xf numFmtId="0" fontId="6" fillId="13" borderId="8" xfId="0" applyFont="1" applyFill="1" applyBorder="1" applyAlignment="1">
      <alignment horizontal="center"/>
    </xf>
    <xf numFmtId="0" fontId="32" fillId="10" borderId="2" xfId="0" applyFont="1" applyFill="1" applyBorder="1"/>
    <xf numFmtId="10" fontId="0" fillId="0" borderId="0" xfId="0" applyNumberFormat="1"/>
    <xf numFmtId="2" fontId="0" fillId="9" borderId="15" xfId="0" applyNumberFormat="1" applyFill="1" applyBorder="1"/>
    <xf numFmtId="0" fontId="7" fillId="0" borderId="0" xfId="0" applyFont="1" applyAlignment="1">
      <alignment horizontal="left" indent="1"/>
    </xf>
    <xf numFmtId="0" fontId="36" fillId="0" borderId="0" xfId="0" applyFont="1"/>
    <xf numFmtId="14" fontId="6" fillId="0" borderId="0" xfId="0" applyNumberFormat="1" applyFont="1"/>
    <xf numFmtId="14" fontId="31" fillId="0" borderId="0" xfId="0" applyNumberFormat="1" applyFont="1"/>
    <xf numFmtId="0" fontId="37" fillId="0" borderId="0" xfId="0" applyFont="1"/>
    <xf numFmtId="0" fontId="38" fillId="0" borderId="0" xfId="0" applyFont="1"/>
    <xf numFmtId="0" fontId="0" fillId="0" borderId="0" xfId="0" applyAlignment="1">
      <alignment horizontal="left" indent="1"/>
    </xf>
    <xf numFmtId="0" fontId="39" fillId="0" borderId="0" xfId="0" applyFont="1"/>
    <xf numFmtId="0" fontId="0" fillId="0" borderId="3" xfId="0" applyBorder="1"/>
    <xf numFmtId="0" fontId="33" fillId="0" borderId="3" xfId="0" applyFont="1" applyBorder="1" applyAlignment="1">
      <alignment horizontal="center"/>
    </xf>
    <xf numFmtId="0" fontId="35" fillId="9" borderId="6" xfId="0" applyFont="1" applyFill="1" applyBorder="1"/>
    <xf numFmtId="0" fontId="6" fillId="0" borderId="0" xfId="0" quotePrefix="1" applyFont="1" applyAlignment="1">
      <alignment horizontal="right"/>
    </xf>
    <xf numFmtId="0" fontId="27" fillId="0" borderId="0" xfId="0" applyFont="1" applyAlignment="1">
      <alignment horizontal="center"/>
    </xf>
    <xf numFmtId="0" fontId="6" fillId="0" borderId="7" xfId="0" applyFont="1" applyBorder="1" applyAlignment="1">
      <alignment horizontal="right"/>
    </xf>
    <xf numFmtId="2" fontId="6" fillId="0" borderId="8" xfId="0" applyNumberFormat="1" applyFont="1" applyBorder="1" applyAlignment="1">
      <alignment horizontal="center"/>
    </xf>
    <xf numFmtId="2" fontId="6" fillId="0" borderId="9" xfId="0" applyNumberFormat="1" applyFont="1" applyBorder="1" applyAlignment="1">
      <alignment horizontal="center"/>
    </xf>
    <xf numFmtId="2" fontId="33" fillId="0" borderId="0" xfId="0" applyNumberFormat="1" applyFont="1"/>
    <xf numFmtId="2" fontId="40" fillId="0" borderId="9" xfId="0" applyNumberFormat="1" applyFont="1" applyBorder="1"/>
    <xf numFmtId="0" fontId="41" fillId="0" borderId="0" xfId="0" applyFont="1"/>
    <xf numFmtId="14" fontId="42" fillId="0" borderId="0" xfId="0" applyNumberFormat="1" applyFont="1"/>
    <xf numFmtId="0" fontId="43" fillId="0" borderId="0" xfId="0" applyFont="1"/>
    <xf numFmtId="2" fontId="35" fillId="9" borderId="6" xfId="0" applyNumberFormat="1" applyFont="1" applyFill="1" applyBorder="1"/>
    <xf numFmtId="0" fontId="0" fillId="15" borderId="10" xfId="0" applyFill="1" applyBorder="1" applyAlignment="1">
      <alignment horizontal="right"/>
    </xf>
    <xf numFmtId="0" fontId="44" fillId="0" borderId="2" xfId="0" applyFont="1" applyBorder="1" applyAlignment="1">
      <alignment horizontal="center"/>
    </xf>
    <xf numFmtId="0" fontId="33" fillId="11" borderId="2" xfId="0" applyFont="1" applyFill="1" applyBorder="1" applyAlignment="1">
      <alignment horizontal="center"/>
    </xf>
    <xf numFmtId="0" fontId="6" fillId="11" borderId="2" xfId="0" applyFont="1" applyFill="1" applyBorder="1" applyAlignment="1">
      <alignment horizontal="center"/>
    </xf>
    <xf numFmtId="14" fontId="45" fillId="0" borderId="2" xfId="0" quotePrefix="1" applyNumberFormat="1" applyFont="1" applyBorder="1"/>
    <xf numFmtId="2" fontId="33" fillId="16" borderId="2" xfId="5" applyNumberFormat="1" applyFont="1" applyFill="1" applyBorder="1" applyAlignment="1">
      <alignment horizontal="center"/>
    </xf>
    <xf numFmtId="10" fontId="33" fillId="14" borderId="2" xfId="5" applyNumberFormat="1" applyFont="1" applyFill="1" applyBorder="1" applyAlignment="1">
      <alignment horizontal="center"/>
    </xf>
    <xf numFmtId="0" fontId="46" fillId="0" borderId="2" xfId="0" applyFont="1" applyBorder="1" applyAlignment="1">
      <alignment horizontal="center"/>
    </xf>
    <xf numFmtId="10" fontId="47" fillId="0" borderId="7" xfId="5" applyNumberFormat="1" applyFont="1" applyBorder="1"/>
    <xf numFmtId="0" fontId="48" fillId="0" borderId="0" xfId="0" applyFont="1"/>
    <xf numFmtId="2" fontId="0" fillId="0" borderId="0" xfId="0" applyNumberFormat="1" applyAlignment="1">
      <alignment horizontal="right"/>
    </xf>
    <xf numFmtId="2" fontId="0" fillId="0" borderId="0" xfId="0" applyNumberFormat="1" applyAlignment="1">
      <alignment horizontal="right" vertical="center"/>
    </xf>
    <xf numFmtId="2" fontId="0" fillId="0" borderId="0" xfId="0" applyNumberFormat="1" applyAlignment="1">
      <alignment horizontal="center"/>
    </xf>
    <xf numFmtId="2" fontId="0" fillId="0" borderId="0" xfId="0" applyNumberFormat="1" applyAlignment="1">
      <alignment horizontal="center" vertical="center"/>
    </xf>
    <xf numFmtId="2" fontId="40" fillId="17" borderId="2" xfId="0" applyNumberFormat="1" applyFont="1" applyFill="1" applyBorder="1" applyAlignment="1">
      <alignment horizontal="center" vertical="center"/>
    </xf>
    <xf numFmtId="2" fontId="40" fillId="17" borderId="14" xfId="0" applyNumberFormat="1" applyFont="1" applyFill="1" applyBorder="1" applyAlignment="1">
      <alignment horizontal="center" vertical="center"/>
    </xf>
    <xf numFmtId="2" fontId="40" fillId="17" borderId="13" xfId="0" applyNumberFormat="1" applyFont="1" applyFill="1" applyBorder="1" applyAlignment="1">
      <alignment horizontal="center" vertical="center"/>
    </xf>
    <xf numFmtId="2" fontId="6" fillId="11" borderId="2" xfId="0" applyNumberFormat="1" applyFont="1" applyFill="1" applyBorder="1" applyAlignment="1">
      <alignment horizontal="center" vertical="center"/>
    </xf>
    <xf numFmtId="2" fontId="37" fillId="0" borderId="0" xfId="0" applyNumberFormat="1" applyFont="1" applyAlignment="1">
      <alignment horizontal="center"/>
    </xf>
    <xf numFmtId="2" fontId="25" fillId="0" borderId="0" xfId="0" applyNumberFormat="1" applyFont="1" applyAlignment="1">
      <alignment horizontal="center"/>
    </xf>
    <xf numFmtId="2" fontId="49" fillId="0" borderId="0" xfId="0" applyNumberFormat="1" applyFont="1" applyAlignment="1">
      <alignment horizontal="center"/>
    </xf>
    <xf numFmtId="2" fontId="25" fillId="0" borderId="0" xfId="0" applyNumberFormat="1" applyFont="1"/>
    <xf numFmtId="2" fontId="36" fillId="0" borderId="0" xfId="0" applyNumberFormat="1" applyFont="1"/>
    <xf numFmtId="2" fontId="40" fillId="0" borderId="0" xfId="0" applyNumberFormat="1" applyFont="1" applyAlignment="1">
      <alignment horizontal="right"/>
    </xf>
    <xf numFmtId="0" fontId="6" fillId="0" borderId="0" xfId="0" applyFont="1" applyAlignment="1">
      <alignment horizontal="center"/>
    </xf>
  </cellXfs>
  <cellStyles count="14">
    <cellStyle name="_x000a_bidires=100_x000d_" xfId="6"/>
    <cellStyle name="Bad" xfId="2" builtinId="27"/>
    <cellStyle name="Check Cell" xfId="4" builtinId="23"/>
    <cellStyle name="Currency 7" xfId="8"/>
    <cellStyle name="Good" xfId="1" builtinId="26"/>
    <cellStyle name="Hyperlink" xfId="7" builtinId="8"/>
    <cellStyle name="Neutral" xfId="3" builtinId="28"/>
    <cellStyle name="Normal" xfId="0" builtinId="0"/>
    <cellStyle name="Normal 18" xfId="9"/>
    <cellStyle name="Normal 18 2" xfId="13"/>
    <cellStyle name="Normal 2" xfId="11"/>
    <cellStyle name="Normal 3" xfId="12"/>
    <cellStyle name="Percent" xfId="5" builtinId="5"/>
    <cellStyle name="Percent 2 2" xfId="10"/>
  </cellStyles>
  <dxfs count="10"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U38"/>
  <sheetViews>
    <sheetView tabSelected="1" zoomScale="110" zoomScaleNormal="110" workbookViewId="0">
      <selection activeCell="Q2" sqref="Q2:R2"/>
    </sheetView>
  </sheetViews>
  <sheetFormatPr defaultColWidth="8.81640625" defaultRowHeight="14.5" x14ac:dyDescent="0.35"/>
  <cols>
    <col min="1" max="1" width="11.26953125" customWidth="1"/>
    <col min="2" max="2" width="10.81640625" customWidth="1"/>
    <col min="3" max="3" width="12" customWidth="1"/>
    <col min="4" max="4" width="10.81640625" customWidth="1"/>
    <col min="5" max="5" width="11.26953125" customWidth="1"/>
    <col min="6" max="6" width="3.453125" style="47" customWidth="1"/>
    <col min="7" max="7" width="11.81640625" customWidth="1"/>
    <col min="8" max="8" width="11.453125" customWidth="1"/>
    <col min="9" max="9" width="12.26953125" customWidth="1"/>
    <col min="10" max="10" width="4.7265625" customWidth="1"/>
    <col min="11" max="11" width="9.7265625" customWidth="1"/>
    <col min="12" max="15" width="8.81640625" customWidth="1"/>
    <col min="16" max="16" width="10.26953125" customWidth="1"/>
    <col min="17" max="17" width="10.26953125" style="25" customWidth="1"/>
    <col min="19" max="19" width="8.7265625" customWidth="1"/>
  </cols>
  <sheetData>
    <row r="1" spans="1:21" ht="26.15" customHeight="1" x14ac:dyDescent="0.6">
      <c r="A1" s="78" t="s">
        <v>0</v>
      </c>
      <c r="E1" s="97">
        <f ca="1">TODAY()</f>
        <v>45924</v>
      </c>
      <c r="G1" s="96"/>
      <c r="K1" s="1" t="s">
        <v>1</v>
      </c>
      <c r="R1" t="s">
        <v>2</v>
      </c>
    </row>
    <row r="2" spans="1:21" ht="15" customHeight="1" thickBot="1" x14ac:dyDescent="0.4">
      <c r="A2" s="2" t="s">
        <v>3</v>
      </c>
      <c r="B2" s="81">
        <v>45923</v>
      </c>
      <c r="C2" s="32" t="s">
        <v>4</v>
      </c>
      <c r="D2" s="24" t="s">
        <v>5</v>
      </c>
      <c r="E2" s="24"/>
      <c r="F2" s="48"/>
      <c r="H2" s="31" t="s">
        <v>6</v>
      </c>
      <c r="K2" s="3" t="s">
        <v>7</v>
      </c>
      <c r="P2" s="40"/>
      <c r="Q2" s="123" t="s">
        <v>8</v>
      </c>
      <c r="R2" s="124">
        <v>28</v>
      </c>
    </row>
    <row r="3" spans="1:21" ht="18" customHeight="1" x14ac:dyDescent="0.35">
      <c r="A3" s="31" t="s">
        <v>9</v>
      </c>
      <c r="B3" s="38" t="s">
        <v>10</v>
      </c>
      <c r="C3" s="39" t="s">
        <v>11</v>
      </c>
      <c r="D3" s="26" t="s">
        <v>12</v>
      </c>
      <c r="E3" s="26" t="s">
        <v>13</v>
      </c>
      <c r="F3" s="49"/>
      <c r="G3" s="84"/>
      <c r="H3" s="80">
        <f>+B2</f>
        <v>45923</v>
      </c>
      <c r="J3" s="35"/>
      <c r="K3" s="6" t="s">
        <v>14</v>
      </c>
      <c r="L3" s="7"/>
      <c r="M3" s="7"/>
      <c r="N3" s="23" t="s">
        <v>15</v>
      </c>
      <c r="P3" s="40"/>
    </row>
    <row r="4" spans="1:21" ht="18" customHeight="1" x14ac:dyDescent="0.35">
      <c r="A4" s="31" t="s">
        <v>16</v>
      </c>
      <c r="B4" s="42">
        <v>6750.25</v>
      </c>
      <c r="C4" s="43">
        <v>25000.5</v>
      </c>
      <c r="D4" s="37">
        <v>6692.44</v>
      </c>
      <c r="E4" s="37">
        <v>24752.74</v>
      </c>
      <c r="F4" s="50"/>
      <c r="H4" s="35" t="s">
        <v>17</v>
      </c>
      <c r="I4" s="35" t="s">
        <v>18</v>
      </c>
      <c r="K4" s="3" t="s">
        <v>19</v>
      </c>
    </row>
    <row r="5" spans="1:21" ht="18" customHeight="1" x14ac:dyDescent="0.55000000000000004">
      <c r="A5" s="31" t="s">
        <v>20</v>
      </c>
      <c r="B5" s="42">
        <v>6756.5</v>
      </c>
      <c r="C5" s="43">
        <v>25009.75</v>
      </c>
      <c r="D5" s="37">
        <v>6699.52</v>
      </c>
      <c r="E5" s="37">
        <v>24764.3</v>
      </c>
      <c r="F5" s="50"/>
      <c r="G5" s="31" t="s">
        <v>21</v>
      </c>
      <c r="H5" s="114">
        <v>6741.5</v>
      </c>
      <c r="I5" s="114">
        <v>25008</v>
      </c>
      <c r="J5" s="30"/>
      <c r="K5" s="3" t="s">
        <v>22</v>
      </c>
      <c r="O5" s="83"/>
      <c r="P5" s="82"/>
      <c r="Q5" s="120" t="s">
        <v>23</v>
      </c>
    </row>
    <row r="6" spans="1:21" ht="18" customHeight="1" x14ac:dyDescent="0.45">
      <c r="A6" s="31" t="s">
        <v>24</v>
      </c>
      <c r="B6" s="42">
        <v>6701.75</v>
      </c>
      <c r="C6" s="43">
        <v>24780.5</v>
      </c>
      <c r="D6" s="37">
        <v>6645.58</v>
      </c>
      <c r="E6" s="37">
        <v>24536.5</v>
      </c>
      <c r="F6" s="50"/>
      <c r="G6" s="31" t="s">
        <v>25</v>
      </c>
      <c r="H6" s="115">
        <v>6716</v>
      </c>
      <c r="I6" s="115">
        <v>24956</v>
      </c>
      <c r="J6" s="30"/>
      <c r="K6" s="3" t="s">
        <v>26</v>
      </c>
      <c r="P6" s="82"/>
      <c r="Q6" s="112">
        <v>6661.25</v>
      </c>
      <c r="S6" s="98"/>
    </row>
    <row r="7" spans="1:21" ht="18" customHeight="1" x14ac:dyDescent="0.45">
      <c r="A7" s="32" t="s">
        <v>27</v>
      </c>
      <c r="B7" s="42">
        <v>6715</v>
      </c>
      <c r="C7" s="43">
        <v>24827.25</v>
      </c>
      <c r="D7" s="37">
        <v>6656.92</v>
      </c>
      <c r="E7" s="37">
        <v>24580.17</v>
      </c>
      <c r="F7" s="50"/>
      <c r="G7" s="31" t="s">
        <v>28</v>
      </c>
      <c r="H7" s="115">
        <v>6702</v>
      </c>
      <c r="I7" s="116">
        <v>24829</v>
      </c>
      <c r="J7" s="30"/>
      <c r="K7" s="3" t="s">
        <v>29</v>
      </c>
      <c r="P7" s="82"/>
      <c r="Q7" s="112">
        <v>6595.75</v>
      </c>
    </row>
    <row r="8" spans="1:21" ht="18" customHeight="1" x14ac:dyDescent="0.35">
      <c r="A8" s="33"/>
      <c r="B8" s="30"/>
      <c r="C8" s="31" t="s">
        <v>30</v>
      </c>
      <c r="D8" s="30" t="s">
        <v>31</v>
      </c>
      <c r="E8" s="30"/>
      <c r="G8" s="31" t="s">
        <v>32</v>
      </c>
      <c r="H8" s="117">
        <f>+B19</f>
        <v>6724.5</v>
      </c>
      <c r="I8" s="117">
        <f>+C19</f>
        <v>24872.5</v>
      </c>
      <c r="J8" s="30"/>
      <c r="K8" s="3" t="s">
        <v>33</v>
      </c>
      <c r="P8" s="109"/>
      <c r="Q8" s="112">
        <v>6571.75</v>
      </c>
    </row>
    <row r="9" spans="1:21" ht="18" customHeight="1" x14ac:dyDescent="0.35">
      <c r="A9" s="31" t="s">
        <v>34</v>
      </c>
      <c r="B9" s="72">
        <f>(9*B$19)+(B$5-(9*B$6))</f>
        <v>6961.25</v>
      </c>
      <c r="C9" s="72">
        <f>(9*C$19)+(C$5-(9*C$6))</f>
        <v>25837.75</v>
      </c>
      <c r="D9" s="72">
        <f>(9*D$19)+(D$5-(9*D$6))</f>
        <v>6894.5500000000029</v>
      </c>
      <c r="E9" s="72">
        <f>(9*E$19)+(E$5-(9*E$6))</f>
        <v>25578.799999999988</v>
      </c>
      <c r="F9" s="52"/>
      <c r="G9" s="75" t="s">
        <v>35</v>
      </c>
      <c r="H9" s="66" t="s">
        <v>36</v>
      </c>
      <c r="K9" s="3" t="s">
        <v>37</v>
      </c>
      <c r="P9" s="109"/>
      <c r="Q9" s="112">
        <v>6509.25</v>
      </c>
    </row>
    <row r="10" spans="1:21" ht="18" customHeight="1" x14ac:dyDescent="0.35">
      <c r="A10" s="31" t="s">
        <v>38</v>
      </c>
      <c r="B10" s="72">
        <f>(8*B$19)+(B$5-(8*B$6))</f>
        <v>6938.5</v>
      </c>
      <c r="C10" s="72">
        <f>(8*C$19)+(C$5-(8*C$6))</f>
        <v>25745.75</v>
      </c>
      <c r="D10" s="72">
        <f>(8*D$19)+(D$5-(8*D$6))</f>
        <v>6872.8800000000047</v>
      </c>
      <c r="E10" s="72">
        <f>(8*E$19)+(E$5-(8*E$6))</f>
        <v>25488.299999999988</v>
      </c>
      <c r="F10" s="52"/>
      <c r="G10" s="62" t="s">
        <v>39</v>
      </c>
      <c r="H10" s="56" t="s">
        <v>12</v>
      </c>
      <c r="I10" s="57" t="s">
        <v>13</v>
      </c>
      <c r="K10" s="3" t="s">
        <v>40</v>
      </c>
      <c r="P10" s="79"/>
      <c r="Q10" s="112">
        <v>6506.25</v>
      </c>
    </row>
    <row r="11" spans="1:21" ht="18" customHeight="1" x14ac:dyDescent="0.35">
      <c r="A11" s="31" t="s">
        <v>41</v>
      </c>
      <c r="B11" s="72">
        <f>(7*B$19)+(B$5-(7*B$6))</f>
        <v>6915.75</v>
      </c>
      <c r="C11" s="72">
        <f>(7*C$19)+(C$5-(7*C$6))</f>
        <v>25653.75</v>
      </c>
      <c r="D11" s="72">
        <f>(7*D$19)+(D$5-(7*D$6))</f>
        <v>6851.2100000000064</v>
      </c>
      <c r="E11" s="72">
        <f>(7*E$19)+(E$5-(7*E$6))</f>
        <v>25397.799999999988</v>
      </c>
      <c r="F11" s="52"/>
      <c r="G11" s="73" t="s">
        <v>42</v>
      </c>
      <c r="H11" s="64">
        <v>5955</v>
      </c>
      <c r="I11" s="65">
        <v>21250</v>
      </c>
      <c r="P11" s="109"/>
      <c r="Q11" s="112">
        <v>6450</v>
      </c>
      <c r="U11" s="76"/>
    </row>
    <row r="12" spans="1:21" ht="18" customHeight="1" x14ac:dyDescent="0.35">
      <c r="A12" s="31" t="s">
        <v>43</v>
      </c>
      <c r="B12" s="72">
        <f>(6*B$19)+(B$5-(6*B$6))</f>
        <v>6893</v>
      </c>
      <c r="C12" s="72">
        <f>(6*C$19)+(C$5-(6*C$6))</f>
        <v>25561.75</v>
      </c>
      <c r="D12" s="72">
        <f>(6*D$19)+(D$5-(6*D$6))</f>
        <v>6829.5400000000081</v>
      </c>
      <c r="E12" s="72">
        <f>(6*E$19)+(E$5-(6*E$6))</f>
        <v>25307.300000000003</v>
      </c>
      <c r="F12" s="52"/>
      <c r="G12" s="74" t="s">
        <v>44</v>
      </c>
      <c r="H12" s="77">
        <v>5700</v>
      </c>
      <c r="I12" s="65">
        <v>20400</v>
      </c>
      <c r="K12" s="8" t="s">
        <v>45</v>
      </c>
      <c r="L12" s="9" t="s">
        <v>46</v>
      </c>
      <c r="M12" s="10"/>
      <c r="N12" s="11"/>
      <c r="P12" s="79"/>
      <c r="Q12" s="112">
        <v>6396.5</v>
      </c>
      <c r="R12" s="111"/>
      <c r="U12" s="76"/>
    </row>
    <row r="13" spans="1:21" ht="18" customHeight="1" x14ac:dyDescent="0.35">
      <c r="A13" s="31" t="s">
        <v>47</v>
      </c>
      <c r="B13" s="44">
        <f>(5*B$19)+(B$5-(5*B$6))</f>
        <v>6870.25</v>
      </c>
      <c r="C13" s="44">
        <f>(5*C$19)+(C$5-(5*C$6))</f>
        <v>25469.75</v>
      </c>
      <c r="D13" s="44">
        <f>(5*D$19)+(D$5-(5*D$6))</f>
        <v>6807.869999999999</v>
      </c>
      <c r="E13" s="44">
        <f>(5*E$19)+(E$5-(5*E$6))</f>
        <v>25216.800000000003</v>
      </c>
      <c r="F13" s="52"/>
      <c r="K13" s="12" t="s">
        <v>48</v>
      </c>
      <c r="L13" s="13" t="s">
        <v>49</v>
      </c>
      <c r="N13" s="14"/>
      <c r="P13" s="79"/>
      <c r="Q13" s="113">
        <v>6373.25</v>
      </c>
      <c r="R13" s="110"/>
    </row>
    <row r="14" spans="1:21" ht="18" customHeight="1" x14ac:dyDescent="0.35">
      <c r="A14" s="31" t="s">
        <v>48</v>
      </c>
      <c r="B14" s="44">
        <f>(4*B$19)+(B$5-(4*B$6))</f>
        <v>6847.5</v>
      </c>
      <c r="C14" s="44">
        <f>(4*C$19)+(C$5-(4*C$6))</f>
        <v>25377.75</v>
      </c>
      <c r="D14" s="44">
        <f>(4*D$19)+(D$5-(4*D$6))</f>
        <v>6786.2000000000007</v>
      </c>
      <c r="E14" s="44">
        <f>(4*E$19)+(E$5-(4*E$6))</f>
        <v>25126.300000000003</v>
      </c>
      <c r="F14" s="52"/>
      <c r="K14" s="12" t="s">
        <v>47</v>
      </c>
      <c r="L14" s="13" t="s">
        <v>50</v>
      </c>
      <c r="N14" s="14"/>
      <c r="P14" s="109"/>
      <c r="Q14" s="113">
        <v>6310</v>
      </c>
      <c r="R14" s="25"/>
      <c r="T14" s="76"/>
    </row>
    <row r="15" spans="1:21" ht="18" customHeight="1" x14ac:dyDescent="0.45">
      <c r="A15" s="31" t="s">
        <v>45</v>
      </c>
      <c r="B15" s="44">
        <f>(3*B$19)+(B$5-(3*B$6))</f>
        <v>6824.75</v>
      </c>
      <c r="C15" s="44">
        <f>(3*C$19)+(C$5-(3*C$6))</f>
        <v>25285.75</v>
      </c>
      <c r="D15" s="44">
        <f>(3*D$19)+(D$5-(3*D$6))</f>
        <v>6764.5300000000025</v>
      </c>
      <c r="E15" s="44">
        <f>(3*E$19)+(E$5-(3*E$6))</f>
        <v>25035.800000000003</v>
      </c>
      <c r="F15" s="52"/>
      <c r="G15" s="2"/>
      <c r="I15" s="25"/>
      <c r="K15" s="15" t="s">
        <v>51</v>
      </c>
      <c r="L15" s="13" t="s">
        <v>52</v>
      </c>
      <c r="N15" s="14"/>
      <c r="P15" s="79"/>
      <c r="Q15" s="118"/>
      <c r="R15" s="25"/>
      <c r="T15" s="76"/>
    </row>
    <row r="16" spans="1:21" ht="18" customHeight="1" x14ac:dyDescent="0.35">
      <c r="A16" s="31" t="s">
        <v>53</v>
      </c>
      <c r="B16" s="44">
        <f>B$5+2*(B$19-B$6)</f>
        <v>6802</v>
      </c>
      <c r="C16" s="44">
        <f>C$5+2*(C$19-C$6)</f>
        <v>25193.75</v>
      </c>
      <c r="D16" s="44">
        <f>D$5+2*(D$19-D$6)</f>
        <v>6742.8600000000006</v>
      </c>
      <c r="E16" s="44">
        <f>E$5+2*(E$19-E$6)</f>
        <v>24945.3</v>
      </c>
      <c r="F16" s="52"/>
      <c r="G16" s="86" t="s">
        <v>54</v>
      </c>
      <c r="H16" s="10" t="s">
        <v>55</v>
      </c>
      <c r="I16" s="11"/>
      <c r="K16" s="15" t="s">
        <v>56</v>
      </c>
      <c r="L16" s="13" t="s">
        <v>57</v>
      </c>
      <c r="N16" s="14"/>
      <c r="P16" s="79"/>
      <c r="Q16" s="119"/>
      <c r="R16" s="25"/>
    </row>
    <row r="17" spans="1:20" ht="18" customHeight="1" x14ac:dyDescent="0.35">
      <c r="A17" s="31" t="s">
        <v>58</v>
      </c>
      <c r="B17" s="44">
        <f>B$19+(B$18-B$20)</f>
        <v>6779.25</v>
      </c>
      <c r="C17" s="44">
        <f>C$19+(C$18-C$20)</f>
        <v>25101.75</v>
      </c>
      <c r="D17" s="44">
        <f>D$19+(D$18-D$20)</f>
        <v>6721.1900000000005</v>
      </c>
      <c r="E17" s="44">
        <f>E$19+(E$18-E$20)</f>
        <v>24854.799999999999</v>
      </c>
      <c r="F17" s="53"/>
      <c r="G17" s="92">
        <f>+B7-D7</f>
        <v>58.079999999999927</v>
      </c>
      <c r="H17" s="93">
        <f>+C7-E7</f>
        <v>247.08000000000175</v>
      </c>
      <c r="I17" s="100" t="s">
        <v>59</v>
      </c>
      <c r="J17" s="30"/>
      <c r="K17" s="16" t="s">
        <v>60</v>
      </c>
      <c r="L17" s="17" t="s">
        <v>61</v>
      </c>
      <c r="M17" s="18"/>
      <c r="N17" s="19"/>
      <c r="O17" s="5"/>
      <c r="P17" s="79"/>
      <c r="Q17" s="119"/>
      <c r="R17" s="25"/>
      <c r="S17" s="76"/>
    </row>
    <row r="18" spans="1:20" ht="18" customHeight="1" x14ac:dyDescent="0.45">
      <c r="A18" s="31" t="s">
        <v>62</v>
      </c>
      <c r="B18" s="44">
        <f>(2*B$19)-B$6</f>
        <v>6747.25</v>
      </c>
      <c r="C18" s="44">
        <f>(2*C$19)-C$6</f>
        <v>24964.5</v>
      </c>
      <c r="D18" s="44">
        <f>(2*D$19)-D$6</f>
        <v>6688.92</v>
      </c>
      <c r="E18" s="44">
        <f>(2*E$19)-E$6</f>
        <v>24717.5</v>
      </c>
      <c r="F18" s="54"/>
      <c r="G18" s="87" t="s">
        <v>63</v>
      </c>
      <c r="H18" s="63" t="s">
        <v>64</v>
      </c>
      <c r="I18" s="11"/>
      <c r="J18" s="36"/>
      <c r="L18" s="28" t="s">
        <v>65</v>
      </c>
      <c r="M18" s="28" t="s">
        <v>66</v>
      </c>
      <c r="N18" t="s">
        <v>12</v>
      </c>
      <c r="P18" s="79"/>
      <c r="Q18" s="118"/>
      <c r="R18" s="25"/>
      <c r="S18" s="76"/>
    </row>
    <row r="19" spans="1:20" ht="18" customHeight="1" x14ac:dyDescent="0.35">
      <c r="A19" s="31" t="s">
        <v>32</v>
      </c>
      <c r="B19" s="22">
        <f>ROUND((((B$5+B$6+B$7)/3)/0.25),0)*0.25</f>
        <v>6724.5</v>
      </c>
      <c r="C19" s="22">
        <f>ROUND((((C$5+C$6+C$7)/3)/0.25),0)*0.25</f>
        <v>24872.5</v>
      </c>
      <c r="D19" s="22">
        <f>ROUND((((D$5+D$6+D$7)/3)/0.25),0)*0.25</f>
        <v>6667.25</v>
      </c>
      <c r="E19" s="22">
        <f>ROUND((((E$5+E$6+E$7)/3)/0.25),0)*0.25</f>
        <v>24627</v>
      </c>
      <c r="F19" s="54"/>
      <c r="G19" s="99">
        <v>18.25</v>
      </c>
      <c r="H19" s="89" t="s">
        <v>67</v>
      </c>
      <c r="I19" s="108">
        <f>(+G19/15.93738)/100</f>
        <v>1.145106661195253E-2</v>
      </c>
      <c r="J19" s="36"/>
      <c r="K19" s="21" t="s">
        <v>68</v>
      </c>
      <c r="L19">
        <f>(13*$B$19)+(($B$5-(13*$B$6)))</f>
        <v>7052.25</v>
      </c>
      <c r="M19">
        <f>(13*$C$19)+(($C$5-(13*$C$6)))</f>
        <v>26205.75</v>
      </c>
      <c r="N19">
        <f>(13*$B$19)+(($B$5-(13*$B$6)))</f>
        <v>7052.25</v>
      </c>
      <c r="P19" s="79"/>
      <c r="Q19" s="119"/>
      <c r="R19" s="25"/>
    </row>
    <row r="20" spans="1:20" ht="18" customHeight="1" x14ac:dyDescent="0.35">
      <c r="A20" s="31" t="s">
        <v>69</v>
      </c>
      <c r="B20" s="45">
        <f>(2*B$19)-B$5</f>
        <v>6692.5</v>
      </c>
      <c r="C20" s="46">
        <f>(2*C$19)-C$5</f>
        <v>24735.25</v>
      </c>
      <c r="D20" s="46">
        <f>(2*D$19)-D$5</f>
        <v>6634.98</v>
      </c>
      <c r="E20" s="46">
        <f>(2*E$19)-E$5</f>
        <v>24489.7</v>
      </c>
      <c r="F20" s="54"/>
      <c r="G20" s="88"/>
      <c r="H20" s="90" t="s">
        <v>70</v>
      </c>
      <c r="I20" s="91" t="s">
        <v>71</v>
      </c>
      <c r="K20" s="21" t="s">
        <v>72</v>
      </c>
      <c r="L20">
        <f>(12*B$19)+((B$5-(12*B$6)))</f>
        <v>7029.5</v>
      </c>
      <c r="M20">
        <f>(12*C$19)+((C$5-(12*C$6)))</f>
        <v>26113.75</v>
      </c>
      <c r="N20">
        <f>(12*D$19)+((D$5-(12*D$6)))</f>
        <v>6959.5600000000122</v>
      </c>
      <c r="P20" s="79"/>
      <c r="Q20" s="121"/>
      <c r="R20" s="25"/>
      <c r="S20" s="76"/>
    </row>
    <row r="21" spans="1:20" ht="18" customHeight="1" x14ac:dyDescent="0.35">
      <c r="A21" s="31" t="s">
        <v>73</v>
      </c>
      <c r="B21" s="45">
        <f>B$19-(B$18-B$20)</f>
        <v>6669.75</v>
      </c>
      <c r="C21" s="46">
        <f>C$19-(C$18-C$20)</f>
        <v>24643.25</v>
      </c>
      <c r="D21" s="46">
        <f>D$19-(D$18-D$20)</f>
        <v>6613.3099999999995</v>
      </c>
      <c r="E21" s="46">
        <f>E$19-(E$18-E$20)</f>
        <v>24399.200000000001</v>
      </c>
      <c r="F21" s="54"/>
      <c r="G21" s="58" t="s">
        <v>65</v>
      </c>
      <c r="H21" s="94">
        <f>+B5-B6</f>
        <v>54.75</v>
      </c>
      <c r="I21" s="59">
        <f>+(H21*I19*100)/2</f>
        <v>31.347294850220049</v>
      </c>
      <c r="K21" s="21" t="s">
        <v>74</v>
      </c>
      <c r="L21">
        <f>(11*B$19)+((B$5-(11*B$6)))</f>
        <v>7006.75</v>
      </c>
      <c r="M21">
        <f>(11*C$19)+((C$5-(11*C$6)))</f>
        <v>26021.75</v>
      </c>
      <c r="N21">
        <f>(11*D$19)+((D$5-(11*D$6)))</f>
        <v>6937.8899999999994</v>
      </c>
      <c r="P21" s="79"/>
      <c r="Q21" s="121"/>
      <c r="T21" s="76"/>
    </row>
    <row r="22" spans="1:20" ht="18" customHeight="1" x14ac:dyDescent="0.35">
      <c r="A22" s="31" t="s">
        <v>75</v>
      </c>
      <c r="B22" s="45">
        <f>B$6-2*(B$5-B$19)</f>
        <v>6637.75</v>
      </c>
      <c r="C22" s="46">
        <f>C$6-2*(C$5-C$19)</f>
        <v>24506</v>
      </c>
      <c r="D22" s="46">
        <f>D$6-2*(D$5-D$19)</f>
        <v>6581.0399999999991</v>
      </c>
      <c r="E22" s="46">
        <f>E$6-2*(E$5-E$19)</f>
        <v>24261.9</v>
      </c>
      <c r="F22" s="54"/>
      <c r="G22" s="60" t="s">
        <v>66</v>
      </c>
      <c r="H22" s="95">
        <f>+C5-C6</f>
        <v>229.25</v>
      </c>
      <c r="I22" s="61">
        <f>(+H22*I19*100)/2</f>
        <v>131.25785103950588</v>
      </c>
      <c r="J22" s="4"/>
      <c r="K22" s="21" t="s">
        <v>76</v>
      </c>
      <c r="L22">
        <f>(10*B$19)+((B$5-(10*B$6)))</f>
        <v>6984</v>
      </c>
      <c r="M22">
        <f>(10*C$19)+((C$5-(10*C$6)))</f>
        <v>25929.75</v>
      </c>
      <c r="N22">
        <f>(10*D$19)+((D$5-(10*D$6)))</f>
        <v>6916.2200000000012</v>
      </c>
      <c r="P22" s="79"/>
      <c r="Q22" s="121"/>
      <c r="T22" s="76"/>
    </row>
    <row r="23" spans="1:20" ht="18" customHeight="1" x14ac:dyDescent="0.35">
      <c r="A23" s="31" t="s">
        <v>60</v>
      </c>
      <c r="B23" s="45">
        <f>(3*B$19)-((3*B$5)-B$6)</f>
        <v>6605.75</v>
      </c>
      <c r="C23" s="46">
        <f>(3*C$19)-((3*C$5)-C$6)</f>
        <v>24368.75</v>
      </c>
      <c r="D23" s="46">
        <f>(3*D$19)-((3*D$5)-D$6)</f>
        <v>6548.7699999999986</v>
      </c>
      <c r="E23" s="46">
        <f>(3*E$19)-((3*E$5)-E$6)</f>
        <v>24124.600000000006</v>
      </c>
      <c r="F23" s="54"/>
      <c r="G23" s="67"/>
      <c r="K23" s="21" t="s">
        <v>34</v>
      </c>
      <c r="L23">
        <f>(9*B$19)+((B$5-(9*B$6)))</f>
        <v>6961.25</v>
      </c>
      <c r="M23">
        <f>(9*C$19)+((C$5-(9*C$6)))</f>
        <v>25837.75</v>
      </c>
      <c r="N23">
        <f>(9*D$19)+((D$5-(9*D$6)))</f>
        <v>6894.5500000000029</v>
      </c>
      <c r="P23" s="79"/>
      <c r="Q23" s="121"/>
    </row>
    <row r="24" spans="1:20" ht="18" customHeight="1" x14ac:dyDescent="0.35">
      <c r="A24" s="31" t="s">
        <v>56</v>
      </c>
      <c r="B24" s="45">
        <f>(4*B$19)-((4*B$5)-B$6)</f>
        <v>6573.75</v>
      </c>
      <c r="C24" s="46">
        <f>(4*C$19)-((4*C$5)-C$6)</f>
        <v>24231.5</v>
      </c>
      <c r="D24" s="46">
        <f>(4*D$19)-((4*D$5)-D$6)</f>
        <v>6516.5</v>
      </c>
      <c r="E24" s="46">
        <f>(4*E$19)-((4*E$5)-E$6)</f>
        <v>23987.300000000003</v>
      </c>
      <c r="F24" s="51"/>
      <c r="G24" s="104">
        <f>+B2</f>
        <v>45923</v>
      </c>
      <c r="H24" s="102" t="s">
        <v>65</v>
      </c>
      <c r="I24" s="103" t="s">
        <v>66</v>
      </c>
      <c r="J24" s="3"/>
      <c r="K24" s="21" t="s">
        <v>38</v>
      </c>
      <c r="L24">
        <f>(8*B$19)+((B$5-(8*B$6)))</f>
        <v>6938.5</v>
      </c>
      <c r="M24">
        <f>(8*C$19)+((C$5-(8*C$6)))</f>
        <v>25745.75</v>
      </c>
      <c r="N24">
        <f>(8*D$19)+((D$5-(8*D$6)))</f>
        <v>6872.8800000000047</v>
      </c>
      <c r="P24" s="79"/>
      <c r="Q24" s="121"/>
      <c r="T24" s="76"/>
    </row>
    <row r="25" spans="1:20" ht="18" customHeight="1" x14ac:dyDescent="0.35">
      <c r="A25" s="31" t="s">
        <v>51</v>
      </c>
      <c r="B25" s="45">
        <f>(5*B$19)-((5*B$5)-B$6)</f>
        <v>6541.75</v>
      </c>
      <c r="C25" s="46">
        <f>(5*C$19)-((5*C$5)-C$6)</f>
        <v>24094.25</v>
      </c>
      <c r="D25" s="46">
        <f>(5*D$19)-((5*D$5)-D$6)</f>
        <v>6484.2299999999959</v>
      </c>
      <c r="E25" s="46">
        <f>(5*E$19)-((5*E$5)-E$6)</f>
        <v>23850</v>
      </c>
      <c r="F25" s="51"/>
      <c r="G25" s="101" t="s">
        <v>77</v>
      </c>
      <c r="H25" s="106">
        <f>(+H21/B4)/2</f>
        <v>4.0554053553572087E-3</v>
      </c>
      <c r="I25" s="106">
        <f>(+H22/C4)/2</f>
        <v>4.5849083018339636E-3</v>
      </c>
      <c r="L25" s="28" t="s">
        <v>65</v>
      </c>
      <c r="M25" s="28" t="s">
        <v>66</v>
      </c>
      <c r="N25" t="s">
        <v>12</v>
      </c>
      <c r="P25" s="79"/>
      <c r="Q25" s="121"/>
      <c r="T25" s="76"/>
    </row>
    <row r="26" spans="1:20" ht="18" customHeight="1" x14ac:dyDescent="0.45">
      <c r="A26" s="31" t="s">
        <v>78</v>
      </c>
      <c r="B26" s="68">
        <f>ROUND((6*B$19)-((6*B$5)-B$6),2)</f>
        <v>6509.75</v>
      </c>
      <c r="C26" s="69">
        <f>ROUND((6*C$19)-((6*C$5)-C$6),2)</f>
        <v>23957</v>
      </c>
      <c r="D26" s="69">
        <f>ROUND((6*D$19)-((6*D$5)-D$6),2)</f>
        <v>6451.96</v>
      </c>
      <c r="E26" s="69">
        <f>ROUND((6*E$19)-((6*E$5)-E$6),2)</f>
        <v>23712.7</v>
      </c>
      <c r="F26" s="55"/>
      <c r="G26" s="107" t="s">
        <v>79</v>
      </c>
      <c r="H26" s="105">
        <f>+H25*1600</f>
        <v>6.4886485685715343</v>
      </c>
      <c r="I26" s="105">
        <f>+I25*1600</f>
        <v>7.3358532829343419</v>
      </c>
      <c r="K26" s="21" t="s">
        <v>80</v>
      </c>
      <c r="L26">
        <f>(10*$B$19)-((10*$B$5)-$B$6)</f>
        <v>6381.75</v>
      </c>
      <c r="M26">
        <f>(10*$C$19)-((10*$C$5)-$C$6)</f>
        <v>23408</v>
      </c>
      <c r="N26">
        <f>(10*$D$19)-((10*$D$5)-$D$6)</f>
        <v>6322.8799999999901</v>
      </c>
      <c r="P26" s="79"/>
      <c r="Q26" s="121"/>
    </row>
    <row r="27" spans="1:20" ht="18" customHeight="1" x14ac:dyDescent="0.35">
      <c r="A27" s="31" t="s">
        <v>81</v>
      </c>
      <c r="B27" s="68">
        <f>ROUND((7*B$19)-((7*B$5)-B$6),2)</f>
        <v>6477.75</v>
      </c>
      <c r="C27" s="69">
        <f>ROUND((7*C$19)-((7*C$5)-C$6),2)</f>
        <v>23819.75</v>
      </c>
      <c r="D27" s="69">
        <f>ROUND((7*D$19)-((7*D$5)-D$6),2)</f>
        <v>6419.69</v>
      </c>
      <c r="E27" s="69">
        <f>ROUND((7*E$19)-((7*E$5)-E$6),2)</f>
        <v>23575.4</v>
      </c>
      <c r="F27" s="55"/>
      <c r="G27" s="41"/>
      <c r="H27" s="85"/>
      <c r="K27" s="21" t="s">
        <v>82</v>
      </c>
      <c r="L27">
        <f>(11*$B$19)-((11*$B$5)-$B$6)</f>
        <v>6349.75</v>
      </c>
      <c r="M27">
        <f>(11*$C$19)-((11*$C$5)-$C$6)</f>
        <v>23270.75</v>
      </c>
      <c r="N27">
        <f>(11*$D$19)-((11*$D$5)-$D$6)</f>
        <v>6290.6100000000006</v>
      </c>
      <c r="P27" s="79"/>
      <c r="Q27" s="121"/>
      <c r="T27" s="76"/>
    </row>
    <row r="28" spans="1:20" ht="18" customHeight="1" x14ac:dyDescent="0.45">
      <c r="A28" s="34" t="s">
        <v>83</v>
      </c>
      <c r="B28" s="70">
        <f>ROUND((8*B$19)-((8*B$5)-B$6),2)</f>
        <v>6445.75</v>
      </c>
      <c r="C28" s="71">
        <f>ROUND((8*C$19)-((8*C$5)-C$6),2)</f>
        <v>23682.5</v>
      </c>
      <c r="D28" s="71">
        <f>ROUND((8*D$19)-((8*D$5)-D$6),2)</f>
        <v>6387.42</v>
      </c>
      <c r="E28" s="71">
        <f>ROUND((8*E$19)-((8*E$5)-E$6),2)</f>
        <v>23438.1</v>
      </c>
      <c r="G28" s="82"/>
      <c r="H28" s="40"/>
      <c r="I28" s="2"/>
      <c r="K28" s="21" t="s">
        <v>84</v>
      </c>
      <c r="L28">
        <f>(12*$B$19)-((12*$B$5)-$B$6)</f>
        <v>6317.75</v>
      </c>
      <c r="M28">
        <f>(12*$C$19)-((12*$C$5)-$C$6)</f>
        <v>23133.5</v>
      </c>
      <c r="N28">
        <f>(12*$D$19)-((12*$D$5)-$D$6)</f>
        <v>6258.3399999999965</v>
      </c>
      <c r="P28" s="41"/>
      <c r="Q28" s="121"/>
      <c r="T28" s="76"/>
    </row>
    <row r="29" spans="1:20" ht="18" customHeight="1" x14ac:dyDescent="0.35">
      <c r="A29" s="34" t="s">
        <v>85</v>
      </c>
      <c r="B29" s="70">
        <f>ROUND((9*B$19)-((9*B$5)-B$6),2)</f>
        <v>6413.75</v>
      </c>
      <c r="C29" s="71">
        <f>ROUND((9*C$19)-((9*C$5)-C$6),2)</f>
        <v>23545.25</v>
      </c>
      <c r="D29" s="71">
        <f>ROUND((9*D$19)-((9*D$5)-D$6),2)</f>
        <v>6355.15</v>
      </c>
      <c r="E29" s="71">
        <f>ROUND((9*E$19)-((9*E$5)-E$6),2)</f>
        <v>23300.799999999999</v>
      </c>
      <c r="G29" s="41"/>
      <c r="H29" s="40"/>
      <c r="I29" s="25"/>
      <c r="K29" s="21" t="s">
        <v>86</v>
      </c>
      <c r="L29">
        <f>(13*$B$19)-((13*$B$5)-$B$6)</f>
        <v>6285.75</v>
      </c>
      <c r="M29">
        <f>(13*$C$19)-((13*$C$5)-$C$6)</f>
        <v>22996.25</v>
      </c>
      <c r="N29">
        <f>(13*$D$19)-((13*$D$5)-$D$6)</f>
        <v>6226.0699999999924</v>
      </c>
      <c r="P29" s="41"/>
      <c r="Q29" s="121"/>
      <c r="T29" s="76"/>
    </row>
    <row r="30" spans="1:20" ht="18" customHeight="1" x14ac:dyDescent="0.35">
      <c r="A30" s="20"/>
      <c r="G30" s="41"/>
      <c r="H30" s="85"/>
      <c r="K30" s="21" t="s">
        <v>87</v>
      </c>
      <c r="L30">
        <f>(14*$B$19)-((14*$B$5)-$B$6)</f>
        <v>6253.75</v>
      </c>
      <c r="M30">
        <f>(14*$C$19)-((14*$C$5)-$C$6)</f>
        <v>22859</v>
      </c>
      <c r="N30">
        <f>(14*$D$19)-((14*$D$5)-$D$6)</f>
        <v>6193.8000000000029</v>
      </c>
      <c r="Q30" s="121"/>
      <c r="T30" s="76"/>
    </row>
    <row r="31" spans="1:20" ht="18" customHeight="1" x14ac:dyDescent="0.45">
      <c r="G31" s="82"/>
      <c r="H31" s="40"/>
      <c r="I31" s="25"/>
      <c r="K31" s="29" t="s">
        <v>88</v>
      </c>
      <c r="L31" s="2">
        <f>(19*$B$19)-((19*$B$5)-$B$6)</f>
        <v>6093.75</v>
      </c>
      <c r="M31" s="2">
        <f>(19*$C$19)-((19*$C$5)-$C$6)</f>
        <v>22172.75</v>
      </c>
      <c r="N31">
        <f>(19*$D$19)-((19*$D$5)-$D$6)</f>
        <v>6032.4499999999971</v>
      </c>
      <c r="Q31" s="121"/>
    </row>
    <row r="32" spans="1:20" ht="17.5" customHeight="1" x14ac:dyDescent="0.35">
      <c r="G32" s="41"/>
      <c r="Q32" s="122"/>
    </row>
    <row r="33" spans="3:17" ht="15.65" customHeight="1" x14ac:dyDescent="0.35">
      <c r="G33" s="40"/>
      <c r="Q33" s="122"/>
    </row>
    <row r="34" spans="3:17" ht="15.65" customHeight="1" x14ac:dyDescent="0.35">
      <c r="G34" s="27"/>
      <c r="L34" s="28" t="s">
        <v>65</v>
      </c>
      <c r="M34" s="28" t="s">
        <v>66</v>
      </c>
      <c r="N34" t="s">
        <v>12</v>
      </c>
      <c r="Q34" s="122"/>
    </row>
    <row r="35" spans="3:17" x14ac:dyDescent="0.35">
      <c r="C35">
        <v>0</v>
      </c>
      <c r="G35" s="27"/>
      <c r="K35" t="s">
        <v>89</v>
      </c>
      <c r="L35" s="2">
        <f>(99*$B$19)+(($B$5-(99*$B$6)))</f>
        <v>9008.75</v>
      </c>
      <c r="M35" s="2">
        <f>(99*C$19)+((C$5-(99*C$6)))</f>
        <v>34117.75</v>
      </c>
      <c r="N35" s="2">
        <f>(99*$B$19)+(($B$5-(99*$B$6)))</f>
        <v>9008.75</v>
      </c>
    </row>
    <row r="37" spans="3:17" x14ac:dyDescent="0.35">
      <c r="G37" s="27"/>
      <c r="L37" s="28" t="s">
        <v>65</v>
      </c>
      <c r="M37" s="28" t="s">
        <v>66</v>
      </c>
      <c r="N37" t="s">
        <v>12</v>
      </c>
    </row>
    <row r="38" spans="3:17" x14ac:dyDescent="0.35">
      <c r="K38" s="29" t="s">
        <v>90</v>
      </c>
      <c r="L38" s="2">
        <f>(22*$B$19)-((22*$B$5)-$B$6)</f>
        <v>5997.75</v>
      </c>
      <c r="M38" s="2">
        <f>(22*$C$19)-((22*$C$5)-$C$6)</f>
        <v>21761</v>
      </c>
      <c r="N38">
        <f>(22*$D$19)-((22*$D$5)-$D$6)</f>
        <v>5935.6399999999849</v>
      </c>
    </row>
  </sheetData>
  <conditionalFormatting sqref="D4:D7">
    <cfRule type="cellIs" dxfId="9" priority="3" operator="lessThan">
      <formula>$H$12</formula>
    </cfRule>
    <cfRule type="cellIs" dxfId="8" priority="4" operator="greaterThan">
      <formula>$H$11</formula>
    </cfRule>
    <cfRule type="cellIs" dxfId="7" priority="5" operator="lessThan">
      <formula>$H$12</formula>
    </cfRule>
    <cfRule type="cellIs" dxfId="6" priority="6" operator="greaterThan">
      <formula>$H$11</formula>
    </cfRule>
  </conditionalFormatting>
  <conditionalFormatting sqref="E4:E7">
    <cfRule type="cellIs" dxfId="5" priority="1" operator="lessThan">
      <formula>$I$12</formula>
    </cfRule>
    <cfRule type="cellIs" dxfId="4" priority="2" operator="greaterThan">
      <formula>$I$11</formula>
    </cfRule>
    <cfRule type="cellIs" dxfId="3" priority="11" operator="lessThan">
      <formula>$I$12</formula>
    </cfRule>
    <cfRule type="cellIs" dxfId="2" priority="12" operator="greaterThan">
      <formula>$I$11</formula>
    </cfRule>
  </conditionalFormatting>
  <conditionalFormatting sqref="I21:I22">
    <cfRule type="cellIs" dxfId="1" priority="9" operator="lessThan">
      <formula>$H$21</formula>
    </cfRule>
    <cfRule type="cellIs" dxfId="0" priority="10" operator="greaterThan">
      <formula>$H$21</formula>
    </cfRule>
  </conditionalFormatting>
  <pageMargins left="0.7" right="0.7" top="0.75" bottom="0.75" header="0.3" footer="0.3"/>
  <pageSetup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Pivots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Trader</dc:creator>
  <cp:lastModifiedBy>Brad Augunas</cp:lastModifiedBy>
  <dcterms:created xsi:type="dcterms:W3CDTF">2018-10-10T14:08:30Z</dcterms:created>
  <dcterms:modified xsi:type="dcterms:W3CDTF">2025-09-24T12:13:44Z</dcterms:modified>
</cp:coreProperties>
</file>