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3580" windowHeight="9940"/>
  </bookViews>
  <sheets>
    <sheet name="Pivot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I21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R2" i="1"/>
  <c r="E1" i="1"/>
  <c r="D9" i="1" l="1"/>
  <c r="D11" i="1"/>
  <c r="D13" i="1"/>
  <c r="D15" i="1"/>
  <c r="B16" i="1"/>
  <c r="D20" i="1"/>
  <c r="D21" i="1" s="1"/>
  <c r="D22" i="1"/>
  <c r="C23" i="1"/>
  <c r="D24" i="1"/>
  <c r="D25" i="1"/>
  <c r="E27" i="1"/>
  <c r="L28" i="1"/>
  <c r="M29" i="1"/>
  <c r="L35" i="1"/>
  <c r="E20" i="1"/>
  <c r="E17" i="1" s="1"/>
  <c r="E22" i="1"/>
  <c r="D23" i="1"/>
  <c r="E24" i="1"/>
  <c r="E25" i="1"/>
  <c r="L27" i="1"/>
  <c r="M28" i="1"/>
  <c r="N29" i="1"/>
  <c r="M35" i="1"/>
  <c r="E11" i="1"/>
  <c r="E15" i="1"/>
  <c r="C22" i="1"/>
  <c r="C24" i="1"/>
  <c r="D27" i="1"/>
  <c r="N31" i="1"/>
  <c r="B10" i="1"/>
  <c r="D10" i="1"/>
  <c r="B18" i="1"/>
  <c r="H25" i="1"/>
  <c r="H26" i="1" s="1"/>
  <c r="L26" i="1"/>
  <c r="M27" i="1"/>
  <c r="N28" i="1"/>
  <c r="L30" i="1"/>
  <c r="N35" i="1"/>
  <c r="C20" i="1"/>
  <c r="B23" i="1"/>
  <c r="E26" i="1"/>
  <c r="L29" i="1"/>
  <c r="B12" i="1"/>
  <c r="B14" i="1"/>
  <c r="I8" i="1"/>
  <c r="E10" i="1"/>
  <c r="E12" i="1"/>
  <c r="E14" i="1"/>
  <c r="E16" i="1"/>
  <c r="C18" i="1"/>
  <c r="C17" i="1" s="1"/>
  <c r="L19" i="1"/>
  <c r="M20" i="1"/>
  <c r="L21" i="1"/>
  <c r="I22" i="1"/>
  <c r="L23" i="1"/>
  <c r="L24" i="1"/>
  <c r="M26" i="1"/>
  <c r="N27" i="1"/>
  <c r="B29" i="1"/>
  <c r="M30" i="1"/>
  <c r="L38" i="1"/>
  <c r="C10" i="1"/>
  <c r="C16" i="1"/>
  <c r="H8" i="1"/>
  <c r="D14" i="1"/>
  <c r="E23" i="1"/>
  <c r="B9" i="1"/>
  <c r="B11" i="1"/>
  <c r="B13" i="1"/>
  <c r="B15" i="1"/>
  <c r="B17" i="1"/>
  <c r="D18" i="1"/>
  <c r="D17" i="1" s="1"/>
  <c r="M19" i="1"/>
  <c r="N20" i="1"/>
  <c r="M21" i="1"/>
  <c r="L22" i="1"/>
  <c r="M23" i="1"/>
  <c r="M24" i="1"/>
  <c r="B26" i="1"/>
  <c r="N26" i="1"/>
  <c r="B28" i="1"/>
  <c r="C29" i="1"/>
  <c r="N30" i="1"/>
  <c r="M38" i="1"/>
  <c r="B20" i="1"/>
  <c r="B21" i="1" s="1"/>
  <c r="B22" i="1"/>
  <c r="N22" i="1"/>
  <c r="B24" i="1"/>
  <c r="B25" i="1"/>
  <c r="D26" i="1"/>
  <c r="C27" i="1"/>
  <c r="D28" i="1"/>
  <c r="E29" i="1"/>
  <c r="M31" i="1"/>
  <c r="E9" i="1"/>
  <c r="E13" i="1"/>
  <c r="C25" i="1"/>
  <c r="E28" i="1"/>
  <c r="C12" i="1"/>
  <c r="C14" i="1"/>
  <c r="D12" i="1"/>
  <c r="D16" i="1"/>
  <c r="L20" i="1"/>
  <c r="C9" i="1"/>
  <c r="C11" i="1"/>
  <c r="C13" i="1"/>
  <c r="C15" i="1"/>
  <c r="N19" i="1"/>
  <c r="N21" i="1"/>
  <c r="M22" i="1"/>
  <c r="N23" i="1"/>
  <c r="N24" i="1"/>
  <c r="C26" i="1"/>
  <c r="B27" i="1"/>
  <c r="D29" i="1"/>
  <c r="C21" i="1" l="1"/>
  <c r="E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<sst xmlns="http://schemas.openxmlformats.org/spreadsheetml/2006/main" count="116" uniqueCount="91">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</sst>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3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2" fontId="6" fillId="11" borderId="2" xfId="0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40" fillId="17" borderId="2" xfId="0" applyNumberFormat="1" applyFont="1" applyFill="1" applyBorder="1"/>
    <xf numFmtId="2" fontId="40" fillId="17" borderId="14" xfId="0" applyNumberFormat="1" applyFont="1" applyFill="1" applyBorder="1"/>
    <xf numFmtId="2" fontId="40" fillId="17" borderId="13" xfId="0" applyNumberFormat="1" applyFont="1" applyFill="1" applyBorder="1"/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B6" sqref="B6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9" t="s">
        <v>0</v>
      </c>
      <c r="E1" s="98">
        <f ca="1">TODAY()</f>
        <v>45835</v>
      </c>
      <c r="G1" s="97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2">
        <v>46199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100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5"/>
      <c r="H3" s="81">
        <f>+B2</f>
        <v>46199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6165.5</v>
      </c>
      <c r="C4" s="43">
        <v>22552.25</v>
      </c>
      <c r="D4" s="37">
        <v>6112.09</v>
      </c>
      <c r="E4" s="37">
        <v>22328.2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6200</v>
      </c>
      <c r="C5" s="43">
        <v>22694</v>
      </c>
      <c r="D5" s="37">
        <v>6146.52</v>
      </c>
      <c r="E5" s="37">
        <v>22466.99</v>
      </c>
      <c r="F5" s="50"/>
      <c r="G5" s="31" t="s">
        <v>21</v>
      </c>
      <c r="H5" s="114">
        <v>6199.75</v>
      </c>
      <c r="I5" s="114">
        <v>22687</v>
      </c>
      <c r="J5" s="30"/>
      <c r="K5" s="3" t="s">
        <v>22</v>
      </c>
      <c r="O5" s="84"/>
      <c r="P5" s="83"/>
      <c r="Q5" s="122" t="s">
        <v>23</v>
      </c>
    </row>
    <row r="6" spans="1:21" ht="18" customHeight="1" x14ac:dyDescent="0.45">
      <c r="A6" s="31" t="s">
        <v>24</v>
      </c>
      <c r="B6" s="42">
        <v>6159.25</v>
      </c>
      <c r="C6" s="43">
        <v>22476</v>
      </c>
      <c r="D6" s="37">
        <v>6107.27</v>
      </c>
      <c r="E6" s="37">
        <v>22255.27</v>
      </c>
      <c r="F6" s="50"/>
      <c r="G6" s="31" t="s">
        <v>25</v>
      </c>
      <c r="H6" s="115">
        <v>6191.75</v>
      </c>
      <c r="I6" s="115">
        <v>22672</v>
      </c>
      <c r="J6" s="30"/>
      <c r="K6" s="3" t="s">
        <v>26</v>
      </c>
      <c r="P6" s="83"/>
      <c r="Q6" s="117"/>
      <c r="S6" s="99"/>
    </row>
    <row r="7" spans="1:21" ht="18" customHeight="1" x14ac:dyDescent="0.45">
      <c r="A7" s="32" t="s">
        <v>27</v>
      </c>
      <c r="B7" s="42">
        <v>6190</v>
      </c>
      <c r="C7" s="43">
        <v>22650.5</v>
      </c>
      <c r="D7" s="37">
        <v>6141.02</v>
      </c>
      <c r="E7" s="37">
        <v>22447.29</v>
      </c>
      <c r="F7" s="50"/>
      <c r="G7" s="31" t="s">
        <v>28</v>
      </c>
      <c r="H7" s="115">
        <v>6179.25</v>
      </c>
      <c r="I7" s="116">
        <v>22570</v>
      </c>
      <c r="J7" s="30"/>
      <c r="K7" s="3" t="s">
        <v>29</v>
      </c>
      <c r="P7" s="83"/>
      <c r="Q7" s="118">
        <v>6146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73">
        <f>+B19</f>
        <v>6183</v>
      </c>
      <c r="I8" s="73">
        <f>+C19</f>
        <v>22606.75</v>
      </c>
      <c r="J8" s="30"/>
      <c r="K8" s="3" t="s">
        <v>33</v>
      </c>
      <c r="P8" s="111"/>
      <c r="Q8" s="118">
        <v>6091</v>
      </c>
    </row>
    <row r="9" spans="1:21" ht="18" customHeight="1" x14ac:dyDescent="0.35">
      <c r="A9" s="31" t="s">
        <v>34</v>
      </c>
      <c r="B9" s="72">
        <f>(9*B$19)+(B$5-(9*B$6))</f>
        <v>6413.75</v>
      </c>
      <c r="C9" s="72">
        <f>(9*C$19)+(C$5-(9*C$6))</f>
        <v>23870.75</v>
      </c>
      <c r="D9" s="72">
        <f>(9*D$19)+(D$5-(9*D$6))</f>
        <v>6364.5899999999965</v>
      </c>
      <c r="E9" s="72">
        <f>(9*E$19)+(E$5-(9*E$6))</f>
        <v>23677.309999999998</v>
      </c>
      <c r="F9" s="52"/>
      <c r="G9" s="76" t="s">
        <v>35</v>
      </c>
      <c r="H9" s="66" t="s">
        <v>36</v>
      </c>
      <c r="K9" s="3" t="s">
        <v>37</v>
      </c>
      <c r="P9" s="111"/>
      <c r="Q9" s="118">
        <v>6050</v>
      </c>
    </row>
    <row r="10" spans="1:21" ht="18" customHeight="1" x14ac:dyDescent="0.35">
      <c r="A10" s="31" t="s">
        <v>38</v>
      </c>
      <c r="B10" s="72">
        <f>(8*B$19)+(B$5-(8*B$6))</f>
        <v>6390</v>
      </c>
      <c r="C10" s="72">
        <f>(8*C$19)+(C$5-(8*C$6))</f>
        <v>23740</v>
      </c>
      <c r="D10" s="72">
        <f>(8*D$19)+(D$5-(8*D$6))</f>
        <v>6340.3600000000006</v>
      </c>
      <c r="E10" s="72">
        <f>(8*E$19)+(E$5-(8*E$6))</f>
        <v>23542.829999999987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80"/>
    </row>
    <row r="11" spans="1:21" ht="18" customHeight="1" x14ac:dyDescent="0.35">
      <c r="A11" s="31" t="s">
        <v>41</v>
      </c>
      <c r="B11" s="72">
        <f>(7*B$19)+(B$5-(7*B$6))</f>
        <v>6366.25</v>
      </c>
      <c r="C11" s="72">
        <f>(7*C$19)+(C$5-(7*C$6))</f>
        <v>23609.25</v>
      </c>
      <c r="D11" s="72">
        <f>(7*D$19)+(D$5-(7*D$6))</f>
        <v>6316.1300000000047</v>
      </c>
      <c r="E11" s="72">
        <f>(7*E$19)+(E$5-(7*E$6))</f>
        <v>23408.349999999977</v>
      </c>
      <c r="F11" s="52"/>
      <c r="G11" s="74" t="s">
        <v>42</v>
      </c>
      <c r="H11" s="64">
        <v>5955</v>
      </c>
      <c r="I11" s="65">
        <v>21250</v>
      </c>
      <c r="P11" s="111"/>
      <c r="Q11" s="118"/>
      <c r="U11" s="77"/>
    </row>
    <row r="12" spans="1:21" ht="18" customHeight="1" x14ac:dyDescent="0.35">
      <c r="A12" s="31" t="s">
        <v>43</v>
      </c>
      <c r="B12" s="72">
        <f>(6*B$19)+(B$5-(6*B$6))</f>
        <v>6342.5</v>
      </c>
      <c r="C12" s="72">
        <f>(6*C$19)+(C$5-(6*C$6))</f>
        <v>23478.5</v>
      </c>
      <c r="D12" s="72">
        <f>(6*D$19)+(D$5-(6*D$6))</f>
        <v>6291.8999999999978</v>
      </c>
      <c r="E12" s="72">
        <f>(6*E$19)+(E$5-(6*E$6))</f>
        <v>23273.87000000001</v>
      </c>
      <c r="F12" s="52"/>
      <c r="G12" s="75" t="s">
        <v>44</v>
      </c>
      <c r="H12" s="78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80"/>
      <c r="Q12" s="119"/>
      <c r="R12" s="113"/>
      <c r="U12" s="77"/>
    </row>
    <row r="13" spans="1:21" ht="18" customHeight="1" x14ac:dyDescent="0.45">
      <c r="A13" s="31" t="s">
        <v>47</v>
      </c>
      <c r="B13" s="44">
        <f>(5*B$19)+(B$5-(5*B$6))</f>
        <v>6318.75</v>
      </c>
      <c r="C13" s="44">
        <f>(5*C$19)+(C$5-(5*C$6))</f>
        <v>23347.75</v>
      </c>
      <c r="D13" s="44">
        <f>(5*D$19)+(D$5-(5*D$6))</f>
        <v>6267.6699999999983</v>
      </c>
      <c r="E13" s="44">
        <f>(5*E$19)+(E$5-(5*E$6))</f>
        <v>23139.39</v>
      </c>
      <c r="F13" s="52"/>
      <c r="K13" s="12" t="s">
        <v>48</v>
      </c>
      <c r="L13" s="13" t="s">
        <v>49</v>
      </c>
      <c r="N13" s="14"/>
      <c r="P13" s="80"/>
      <c r="Q13" s="120"/>
      <c r="R13" s="112"/>
    </row>
    <row r="14" spans="1:21" ht="18" customHeight="1" x14ac:dyDescent="0.35">
      <c r="A14" s="31" t="s">
        <v>48</v>
      </c>
      <c r="B14" s="44">
        <f>(4*B$19)+(B$5-(4*B$6))</f>
        <v>6295</v>
      </c>
      <c r="C14" s="44">
        <f>(4*C$19)+(C$5-(4*C$6))</f>
        <v>23217</v>
      </c>
      <c r="D14" s="44">
        <f>(4*D$19)+(D$5-(4*D$6))</f>
        <v>6243.4399999999987</v>
      </c>
      <c r="E14" s="44">
        <f>(4*E$19)+(E$5-(4*E$6))</f>
        <v>23004.910000000003</v>
      </c>
      <c r="F14" s="52"/>
      <c r="K14" s="12" t="s">
        <v>47</v>
      </c>
      <c r="L14" s="13" t="s">
        <v>50</v>
      </c>
      <c r="N14" s="14"/>
      <c r="P14" s="111"/>
      <c r="Q14" s="121"/>
      <c r="R14" s="25"/>
      <c r="T14" s="77"/>
    </row>
    <row r="15" spans="1:21" ht="18" customHeight="1" x14ac:dyDescent="0.45">
      <c r="A15" s="31" t="s">
        <v>45</v>
      </c>
      <c r="B15" s="44">
        <f>(3*B$19)+(B$5-(3*B$6))</f>
        <v>6271.25</v>
      </c>
      <c r="C15" s="44">
        <f>(3*C$19)+(C$5-(3*C$6))</f>
        <v>23086.25</v>
      </c>
      <c r="D15" s="44">
        <f>(3*D$19)+(D$5-(3*D$6))</f>
        <v>6219.2099999999991</v>
      </c>
      <c r="E15" s="44">
        <f>(3*E$19)+(E$5-(3*E$6))</f>
        <v>22870.430000000008</v>
      </c>
      <c r="F15" s="52"/>
      <c r="G15" s="2"/>
      <c r="I15" s="25"/>
      <c r="K15" s="15" t="s">
        <v>51</v>
      </c>
      <c r="L15" s="13" t="s">
        <v>52</v>
      </c>
      <c r="N15" s="14"/>
      <c r="P15" s="80"/>
      <c r="Q15" s="120"/>
      <c r="R15" s="25"/>
      <c r="T15" s="77"/>
    </row>
    <row r="16" spans="1:21" ht="18" customHeight="1" x14ac:dyDescent="0.35">
      <c r="A16" s="31" t="s">
        <v>53</v>
      </c>
      <c r="B16" s="44">
        <f>B$5+2*(B$19-B$6)</f>
        <v>6247.5</v>
      </c>
      <c r="C16" s="44">
        <f>C$5+2*(C$19-C$6)</f>
        <v>22955.5</v>
      </c>
      <c r="D16" s="44">
        <f>D$5+2*(D$19-D$6)</f>
        <v>6194.98</v>
      </c>
      <c r="E16" s="44">
        <f>E$5+2*(E$19-E$6)</f>
        <v>22735.95</v>
      </c>
      <c r="F16" s="52"/>
      <c r="G16" s="87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80"/>
      <c r="Q16" s="121"/>
      <c r="R16" s="25"/>
    </row>
    <row r="17" spans="1:20" ht="18" customHeight="1" x14ac:dyDescent="0.35">
      <c r="A17" s="31" t="s">
        <v>58</v>
      </c>
      <c r="B17" s="44">
        <f>B$19+(B$18-B$20)</f>
        <v>6223.75</v>
      </c>
      <c r="C17" s="44">
        <f>C$19+(C$18-C$20)</f>
        <v>22824.75</v>
      </c>
      <c r="D17" s="44">
        <f>D$19+(D$18-D$20)</f>
        <v>6170.75</v>
      </c>
      <c r="E17" s="44">
        <f>E$19+(E$18-E$20)</f>
        <v>22601.47</v>
      </c>
      <c r="F17" s="53"/>
      <c r="G17" s="93">
        <f>+B7-D7</f>
        <v>48.979999999999563</v>
      </c>
      <c r="H17" s="94">
        <f>+C7-E7</f>
        <v>203.20999999999913</v>
      </c>
      <c r="I17" s="102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80"/>
      <c r="Q17" s="121"/>
      <c r="R17" s="25"/>
      <c r="S17" s="77"/>
    </row>
    <row r="18" spans="1:20" ht="18" customHeight="1" x14ac:dyDescent="0.45">
      <c r="A18" s="31" t="s">
        <v>62</v>
      </c>
      <c r="B18" s="44">
        <f>(2*B$19)-B$6</f>
        <v>6206.75</v>
      </c>
      <c r="C18" s="44">
        <f>(2*C$19)-C$6</f>
        <v>22737.5</v>
      </c>
      <c r="D18" s="44">
        <f>(2*D$19)-D$6</f>
        <v>6155.73</v>
      </c>
      <c r="E18" s="44">
        <f>(2*E$19)-E$6</f>
        <v>22524.23</v>
      </c>
      <c r="F18" s="54"/>
      <c r="G18" s="88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80"/>
      <c r="Q18" s="83"/>
      <c r="R18" s="25"/>
      <c r="S18" s="77"/>
    </row>
    <row r="19" spans="1:20" ht="18" customHeight="1" x14ac:dyDescent="0.35">
      <c r="A19" s="31" t="s">
        <v>32</v>
      </c>
      <c r="B19" s="22">
        <f>ROUND((((B$5+B$6+B$7)/3)/0.25),0)*0.25</f>
        <v>6183</v>
      </c>
      <c r="C19" s="22">
        <f>ROUND((((C$5+C$6+C$7)/3)/0.25),0)*0.25</f>
        <v>22606.75</v>
      </c>
      <c r="D19" s="22">
        <f>ROUND((((D$5+D$6+D$7)/3)/0.25),0)*0.25</f>
        <v>6131.5</v>
      </c>
      <c r="E19" s="22">
        <f>ROUND((((E$5+E$6+E$7)/3)/0.25),0)*0.25</f>
        <v>22389.75</v>
      </c>
      <c r="F19" s="54"/>
      <c r="G19" s="101">
        <v>18.25</v>
      </c>
      <c r="H19" s="90" t="s">
        <v>67</v>
      </c>
      <c r="I19" s="110">
        <f>(+G19/15.93738)/100</f>
        <v>1.145106661195253E-2</v>
      </c>
      <c r="J19" s="36"/>
      <c r="K19" s="21" t="s">
        <v>68</v>
      </c>
      <c r="L19">
        <f>(13*$B$19)+(($B$5-(13*$B$6)))</f>
        <v>6508.75</v>
      </c>
      <c r="M19">
        <f>(13*$C$19)+(($C$5-(13*$C$6)))</f>
        <v>24393.75</v>
      </c>
      <c r="N19">
        <f>(13*$B$19)+(($B$5-(13*$B$6)))</f>
        <v>6508.75</v>
      </c>
      <c r="P19" s="80"/>
      <c r="Q19" s="41"/>
      <c r="R19" s="25"/>
    </row>
    <row r="20" spans="1:20" ht="18" customHeight="1" x14ac:dyDescent="0.35">
      <c r="A20" s="31" t="s">
        <v>69</v>
      </c>
      <c r="B20" s="45">
        <f>(2*B$19)-B$5</f>
        <v>6166</v>
      </c>
      <c r="C20" s="46">
        <f>(2*C$19)-C$5</f>
        <v>22519.5</v>
      </c>
      <c r="D20" s="46">
        <f>(2*D$19)-D$5</f>
        <v>6116.48</v>
      </c>
      <c r="E20" s="46">
        <f>(2*E$19)-E$5</f>
        <v>22312.51</v>
      </c>
      <c r="F20" s="54"/>
      <c r="G20" s="89"/>
      <c r="H20" s="91" t="s">
        <v>70</v>
      </c>
      <c r="I20" s="92" t="s">
        <v>71</v>
      </c>
      <c r="K20" s="21" t="s">
        <v>72</v>
      </c>
      <c r="L20">
        <f>(12*B$19)+((B$5-(12*B$6)))</f>
        <v>6485</v>
      </c>
      <c r="M20">
        <f>(12*C$19)+((C$5-(12*C$6)))</f>
        <v>24263</v>
      </c>
      <c r="N20">
        <f>(12*D$19)+((D$5-(12*D$6)))</f>
        <v>6437.2799999999988</v>
      </c>
      <c r="P20" s="80"/>
      <c r="Q20" s="41"/>
      <c r="R20" s="25"/>
      <c r="S20" s="77"/>
    </row>
    <row r="21" spans="1:20" ht="18" customHeight="1" x14ac:dyDescent="0.35">
      <c r="A21" s="31" t="s">
        <v>73</v>
      </c>
      <c r="B21" s="45">
        <f>B$19-(B$18-B$20)</f>
        <v>6142.25</v>
      </c>
      <c r="C21" s="46">
        <f>C$19-(C$18-C$20)</f>
        <v>22388.75</v>
      </c>
      <c r="D21" s="46">
        <f>D$19-(D$18-D$20)</f>
        <v>6092.25</v>
      </c>
      <c r="E21" s="46">
        <f>E$19-(E$18-E$20)</f>
        <v>22178.03</v>
      </c>
      <c r="F21" s="54"/>
      <c r="G21" s="58" t="s">
        <v>65</v>
      </c>
      <c r="H21" s="95">
        <f>+B5-B6</f>
        <v>40.75</v>
      </c>
      <c r="I21" s="59">
        <f>+(H21*I19*100)/2</f>
        <v>23.331548221853279</v>
      </c>
      <c r="K21" s="21" t="s">
        <v>74</v>
      </c>
      <c r="L21">
        <f>(11*B$19)+((B$5-(11*B$6)))</f>
        <v>6461.25</v>
      </c>
      <c r="M21">
        <f>(11*C$19)+((C$5-(11*C$6)))</f>
        <v>24132.25</v>
      </c>
      <c r="N21">
        <f>(11*D$19)+((D$5-(11*D$6)))</f>
        <v>6413.0500000000029</v>
      </c>
      <c r="P21" s="80"/>
      <c r="Q21" s="41"/>
      <c r="T21" s="77"/>
    </row>
    <row r="22" spans="1:20" ht="18" customHeight="1" x14ac:dyDescent="0.35">
      <c r="A22" s="31" t="s">
        <v>75</v>
      </c>
      <c r="B22" s="45">
        <f>B$6-2*(B$5-B$19)</f>
        <v>6125.25</v>
      </c>
      <c r="C22" s="46">
        <f>C$6-2*(C$5-C$19)</f>
        <v>22301.5</v>
      </c>
      <c r="D22" s="46">
        <f>D$6-2*(D$5-D$19)</f>
        <v>6077.23</v>
      </c>
      <c r="E22" s="46">
        <f>E$6-2*(E$5-E$19)</f>
        <v>22100.789999999997</v>
      </c>
      <c r="F22" s="54"/>
      <c r="G22" s="60" t="s">
        <v>66</v>
      </c>
      <c r="H22" s="96">
        <f>+C5-C6</f>
        <v>218</v>
      </c>
      <c r="I22" s="61">
        <f>(+H22*I19*100)/2</f>
        <v>124.81662607028257</v>
      </c>
      <c r="J22" s="4"/>
      <c r="K22" s="21" t="s">
        <v>76</v>
      </c>
      <c r="L22">
        <f>(10*B$19)+((B$5-(10*B$6)))</f>
        <v>6437.5</v>
      </c>
      <c r="M22">
        <f>(10*C$19)+((C$5-(10*C$6)))</f>
        <v>24001.5</v>
      </c>
      <c r="N22">
        <f>(10*D$19)+((D$5-(10*D$6)))</f>
        <v>6388.8199999999924</v>
      </c>
      <c r="P22" s="80"/>
      <c r="Q22" s="41"/>
      <c r="T22" s="77"/>
    </row>
    <row r="23" spans="1:20" ht="18" customHeight="1" x14ac:dyDescent="0.35">
      <c r="A23" s="31" t="s">
        <v>60</v>
      </c>
      <c r="B23" s="45">
        <f>(3*B$19)-((3*B$5)-B$6)</f>
        <v>6108.25</v>
      </c>
      <c r="C23" s="46">
        <f>(3*C$19)-((3*C$5)-C$6)</f>
        <v>22214.25</v>
      </c>
      <c r="D23" s="46">
        <f>(3*D$19)-((3*D$5)-D$6)</f>
        <v>6062.2099999999991</v>
      </c>
      <c r="E23" s="46">
        <f>(3*E$19)-((3*E$5)-E$6)</f>
        <v>22023.550000000003</v>
      </c>
      <c r="F23" s="54"/>
      <c r="G23" s="67"/>
      <c r="K23" s="21" t="s">
        <v>34</v>
      </c>
      <c r="L23">
        <f>(9*B$19)+((B$5-(9*B$6)))</f>
        <v>6413.75</v>
      </c>
      <c r="M23">
        <f>(9*C$19)+((C$5-(9*C$6)))</f>
        <v>23870.75</v>
      </c>
      <c r="N23">
        <f>(9*D$19)+((D$5-(9*D$6)))</f>
        <v>6364.5899999999965</v>
      </c>
      <c r="P23" s="80"/>
      <c r="Q23" s="41"/>
    </row>
    <row r="24" spans="1:20" ht="18" customHeight="1" x14ac:dyDescent="0.35">
      <c r="A24" s="31" t="s">
        <v>56</v>
      </c>
      <c r="B24" s="45">
        <f>(4*B$19)-((4*B$5)-B$6)</f>
        <v>6091.25</v>
      </c>
      <c r="C24" s="46">
        <f>(4*C$19)-((4*C$5)-C$6)</f>
        <v>22127</v>
      </c>
      <c r="D24" s="46">
        <f>(4*D$19)-((4*D$5)-D$6)</f>
        <v>6047.1899999999987</v>
      </c>
      <c r="E24" s="46">
        <f>(4*E$19)-((4*E$5)-E$6)</f>
        <v>21946.309999999998</v>
      </c>
      <c r="F24" s="51"/>
      <c r="G24" s="106">
        <f>+B2</f>
        <v>46199</v>
      </c>
      <c r="H24" s="104" t="s">
        <v>65</v>
      </c>
      <c r="I24" s="105" t="s">
        <v>66</v>
      </c>
      <c r="J24" s="3"/>
      <c r="K24" s="21" t="s">
        <v>38</v>
      </c>
      <c r="L24">
        <f>(8*B$19)+((B$5-(8*B$6)))</f>
        <v>6390</v>
      </c>
      <c r="M24">
        <f>(8*C$19)+((C$5-(8*C$6)))</f>
        <v>23740</v>
      </c>
      <c r="N24">
        <f>(8*D$19)+((D$5-(8*D$6)))</f>
        <v>6340.3600000000006</v>
      </c>
      <c r="P24" s="80"/>
      <c r="Q24" s="41"/>
      <c r="T24" s="77"/>
    </row>
    <row r="25" spans="1:20" ht="18" customHeight="1" x14ac:dyDescent="0.35">
      <c r="A25" s="31" t="s">
        <v>51</v>
      </c>
      <c r="B25" s="45">
        <f>(5*B$19)-((5*B$5)-B$6)</f>
        <v>6074.25</v>
      </c>
      <c r="C25" s="46">
        <f>(5*C$19)-((5*C$5)-C$6)</f>
        <v>22039.75</v>
      </c>
      <c r="D25" s="46">
        <f>(5*D$19)-((5*D$5)-D$6)</f>
        <v>6032.1699999999983</v>
      </c>
      <c r="E25" s="46">
        <f>(5*E$19)-((5*E$5)-E$6)</f>
        <v>21869.069999999992</v>
      </c>
      <c r="F25" s="51"/>
      <c r="G25" s="103" t="s">
        <v>77</v>
      </c>
      <c r="H25" s="108">
        <f>(+H21/B4)/2</f>
        <v>3.3046792636444735E-3</v>
      </c>
      <c r="I25" s="108">
        <f>(+H22/C4)/2</f>
        <v>4.8332206320877077E-3</v>
      </c>
      <c r="L25" s="28" t="s">
        <v>65</v>
      </c>
      <c r="M25" s="28" t="s">
        <v>66</v>
      </c>
      <c r="N25" t="s">
        <v>12</v>
      </c>
      <c r="P25" s="80"/>
      <c r="Q25" s="41"/>
      <c r="T25" s="77"/>
    </row>
    <row r="26" spans="1:20" ht="18" customHeight="1" x14ac:dyDescent="0.45">
      <c r="A26" s="31" t="s">
        <v>78</v>
      </c>
      <c r="B26" s="68">
        <f>ROUND((6*B$19)-((6*B$5)-B$6),2)</f>
        <v>6057.25</v>
      </c>
      <c r="C26" s="69">
        <f>ROUND((6*C$19)-((6*C$5)-C$6),2)</f>
        <v>21952.5</v>
      </c>
      <c r="D26" s="69">
        <f>ROUND((6*D$19)-((6*D$5)-D$6),2)</f>
        <v>6017.15</v>
      </c>
      <c r="E26" s="69">
        <f>ROUND((6*E$19)-((6*E$5)-E$6),2)</f>
        <v>21791.83</v>
      </c>
      <c r="F26" s="55"/>
      <c r="G26" s="109" t="s">
        <v>79</v>
      </c>
      <c r="H26" s="107">
        <f>+H25*1600</f>
        <v>5.2874868218311573</v>
      </c>
      <c r="I26" s="107">
        <f>+I25*1600</f>
        <v>7.7331530113403328</v>
      </c>
      <c r="K26" s="21" t="s">
        <v>80</v>
      </c>
      <c r="L26">
        <f>(10*$B$19)-((10*$B$5)-$B$6)</f>
        <v>5989.25</v>
      </c>
      <c r="M26">
        <f>(10*$C$19)-((10*$C$5)-$C$6)</f>
        <v>21603.5</v>
      </c>
      <c r="N26">
        <f>(10*$D$19)-((10*$D$5)-$D$6)</f>
        <v>5957.0699999999924</v>
      </c>
      <c r="P26" s="80"/>
      <c r="Q26" s="41"/>
    </row>
    <row r="27" spans="1:20" ht="18" customHeight="1" x14ac:dyDescent="0.35">
      <c r="A27" s="31" t="s">
        <v>81</v>
      </c>
      <c r="B27" s="68">
        <f>ROUND((7*B$19)-((7*B$5)-B$6),2)</f>
        <v>6040.25</v>
      </c>
      <c r="C27" s="69">
        <f>ROUND((7*C$19)-((7*C$5)-C$6),2)</f>
        <v>21865.25</v>
      </c>
      <c r="D27" s="69">
        <f>ROUND((7*D$19)-((7*D$5)-D$6),2)</f>
        <v>6002.13</v>
      </c>
      <c r="E27" s="69">
        <f>ROUND((7*E$19)-((7*E$5)-E$6),2)</f>
        <v>21714.59</v>
      </c>
      <c r="F27" s="55"/>
      <c r="G27" s="41"/>
      <c r="H27" s="86"/>
      <c r="K27" s="21" t="s">
        <v>82</v>
      </c>
      <c r="L27">
        <f>(11*$B$19)-((11*$B$5)-$B$6)</f>
        <v>5972.25</v>
      </c>
      <c r="M27">
        <f>(11*$C$19)-((11*$C$5)-$C$6)</f>
        <v>21516.25</v>
      </c>
      <c r="N27">
        <f>(11*$D$19)-((11*$D$5)-$D$6)</f>
        <v>5942.0500000000029</v>
      </c>
      <c r="P27" s="80"/>
      <c r="Q27" s="41"/>
      <c r="T27" s="77"/>
    </row>
    <row r="28" spans="1:20" ht="18" customHeight="1" x14ac:dyDescent="0.45">
      <c r="A28" s="34" t="s">
        <v>83</v>
      </c>
      <c r="B28" s="70">
        <f>ROUND((8*B$19)-((8*B$5)-B$6),2)</f>
        <v>6023.25</v>
      </c>
      <c r="C28" s="71">
        <f>ROUND((8*C$19)-((8*C$5)-C$6),2)</f>
        <v>21778</v>
      </c>
      <c r="D28" s="71">
        <f>ROUND((8*D$19)-((8*D$5)-D$6),2)</f>
        <v>5987.11</v>
      </c>
      <c r="E28" s="71">
        <f>ROUND((8*E$19)-((8*E$5)-E$6),2)</f>
        <v>21637.35</v>
      </c>
      <c r="G28" s="83"/>
      <c r="H28" s="40"/>
      <c r="I28" s="2"/>
      <c r="K28" s="21" t="s">
        <v>84</v>
      </c>
      <c r="L28">
        <f>(12*$B$19)-((12*$B$5)-$B$6)</f>
        <v>5955.25</v>
      </c>
      <c r="M28">
        <f>(12*$C$19)-((12*$C$5)-$C$6)</f>
        <v>21429</v>
      </c>
      <c r="N28">
        <f>(12*$D$19)-((12*$D$5)-$D$6)</f>
        <v>5927.0299999999988</v>
      </c>
      <c r="P28" s="41"/>
      <c r="Q28" s="41"/>
      <c r="T28" s="77"/>
    </row>
    <row r="29" spans="1:20" ht="18" customHeight="1" x14ac:dyDescent="0.35">
      <c r="A29" s="34" t="s">
        <v>85</v>
      </c>
      <c r="B29" s="70">
        <f>ROUND((9*B$19)-((9*B$5)-B$6),2)</f>
        <v>6006.25</v>
      </c>
      <c r="C29" s="71">
        <f>ROUND((9*C$19)-((9*C$5)-C$6),2)</f>
        <v>21690.75</v>
      </c>
      <c r="D29" s="71">
        <f>ROUND((9*D$19)-((9*D$5)-D$6),2)</f>
        <v>5972.09</v>
      </c>
      <c r="E29" s="71">
        <f>ROUND((9*E$19)-((9*E$5)-E$6),2)</f>
        <v>21560.11</v>
      </c>
      <c r="G29" s="41"/>
      <c r="H29" s="40"/>
      <c r="I29" s="25"/>
      <c r="K29" s="21" t="s">
        <v>86</v>
      </c>
      <c r="L29">
        <f>(13*$B$19)-((13*$B$5)-$B$6)</f>
        <v>5938.25</v>
      </c>
      <c r="M29">
        <f>(13*$C$19)-((13*$C$5)-$C$6)</f>
        <v>21341.75</v>
      </c>
      <c r="N29">
        <f>(13*$D$19)-((13*$D$5)-$D$6)</f>
        <v>5912.0099999999948</v>
      </c>
      <c r="P29" s="41"/>
      <c r="Q29" s="41"/>
      <c r="T29" s="77"/>
    </row>
    <row r="30" spans="1:20" ht="18" customHeight="1" x14ac:dyDescent="0.35">
      <c r="A30" s="20"/>
      <c r="G30" s="41"/>
      <c r="H30" s="86"/>
      <c r="K30" s="21" t="s">
        <v>87</v>
      </c>
      <c r="L30">
        <f>(14*$B$19)-((14*$B$5)-$B$6)</f>
        <v>5921.25</v>
      </c>
      <c r="M30">
        <f>(14*$C$19)-((14*$C$5)-$C$6)</f>
        <v>21254.5</v>
      </c>
      <c r="N30">
        <f>(14*$D$19)-((14*$D$5)-$D$6)</f>
        <v>5896.9900000000052</v>
      </c>
      <c r="Q30" s="41"/>
      <c r="T30" s="77"/>
    </row>
    <row r="31" spans="1:20" ht="18" customHeight="1" x14ac:dyDescent="0.45">
      <c r="G31" s="83"/>
      <c r="H31" s="40"/>
      <c r="I31" s="25"/>
      <c r="K31" s="29" t="s">
        <v>88</v>
      </c>
      <c r="L31" s="2">
        <f>(19*$B$19)-((19*$B$5)-$B$6)</f>
        <v>5836.25</v>
      </c>
      <c r="M31" s="2">
        <f>(19*$C$19)-((19*$C$5)-$C$6)</f>
        <v>20818.25</v>
      </c>
      <c r="N31">
        <f>(19*$D$19)-((19*$D$5)-$D$6)</f>
        <v>5821.8899999999994</v>
      </c>
      <c r="Q31" s="41"/>
    </row>
    <row r="32" spans="1:20" ht="17.5" customHeight="1" x14ac:dyDescent="0.35">
      <c r="G32" s="41"/>
      <c r="Q32" s="80"/>
    </row>
    <row r="33" spans="3:17" ht="15.65" customHeight="1" x14ac:dyDescent="0.35">
      <c r="G33" s="40"/>
      <c r="Q33" s="80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80"/>
    </row>
    <row r="35" spans="3:17" x14ac:dyDescent="0.35">
      <c r="C35">
        <v>0</v>
      </c>
      <c r="G35" s="27"/>
      <c r="K35" t="s">
        <v>89</v>
      </c>
      <c r="L35" s="2">
        <f>(99*$B$19)+(($B$5-(99*$B$6)))</f>
        <v>8551.25</v>
      </c>
      <c r="M35" s="2">
        <f>(99*C$19)+((C$5-(99*C$6)))</f>
        <v>35638.25</v>
      </c>
      <c r="N35" s="2">
        <f>(99*$B$19)+(($B$5-(99*$B$6)))</f>
        <v>8551.25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5785.25</v>
      </c>
      <c r="M38" s="2">
        <f>(22*$C$19)-((22*$C$5)-$C$6)</f>
        <v>20556.5</v>
      </c>
      <c r="N38">
        <f>(22*$D$19)-((22*$D$5)-$D$6)</f>
        <v>5776.8300000000017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Trader</dc:creator>
  <cp:keywords/>
  <dc:description/>
  <cp:lastModifiedBy>Brad Augunas</cp:lastModifiedBy>
  <cp:revision/>
  <dcterms:created xsi:type="dcterms:W3CDTF">2018-10-10T14:08:30Z</dcterms:created>
  <dcterms:modified xsi:type="dcterms:W3CDTF">2025-06-27T13:03:55Z</dcterms:modified>
  <cp:category/>
  <cp:contentStatus/>
</cp:coreProperties>
</file>